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20" yWindow="-120" windowWidth="23280" windowHeight="13200" tabRatio="689"/>
  </bookViews>
  <sheets>
    <sheet name="1.pielikums_kopsavilkums" sheetId="32" r:id="rId1"/>
    <sheet name="2.pielikums_izdevumi_pa_EKK" sheetId="44" r:id="rId2"/>
    <sheet name="3.pielikums_Saistību apmērs" sheetId="43" r:id="rId3"/>
  </sheets>
  <definedNames>
    <definedName name="_xlnm._FilterDatabase" localSheetId="0" hidden="1">'1.pielikums_kopsavilkums'!$A$7:$J$311</definedName>
    <definedName name="_xlnm._FilterDatabase" localSheetId="2" hidden="1">'3.pielikums_Saistību apmērs'!$A$7:$WVS$120</definedName>
    <definedName name="Excel_BuiltIn_Print_Titles_1">#REF!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20" i="43" l="1"/>
  <c r="N120" i="43"/>
  <c r="M120" i="43"/>
  <c r="M123" i="43" s="1"/>
  <c r="L120" i="43"/>
  <c r="K120" i="43"/>
  <c r="J120" i="43"/>
  <c r="I120" i="43"/>
  <c r="G120" i="43"/>
  <c r="F120" i="43"/>
  <c r="H119" i="43"/>
  <c r="P119" i="43" s="1"/>
  <c r="H118" i="43"/>
  <c r="P118" i="43" s="1"/>
  <c r="H117" i="43"/>
  <c r="P117" i="43" s="1"/>
  <c r="H116" i="43"/>
  <c r="P116" i="43" s="1"/>
  <c r="H115" i="43"/>
  <c r="P115" i="43" s="1"/>
  <c r="P114" i="43"/>
  <c r="H114" i="43"/>
  <c r="H113" i="43"/>
  <c r="P112" i="43"/>
  <c r="P111" i="43"/>
  <c r="P110" i="43"/>
  <c r="P109" i="43"/>
  <c r="O107" i="43"/>
  <c r="O123" i="43" s="1"/>
  <c r="N107" i="43"/>
  <c r="M107" i="43"/>
  <c r="L107" i="43"/>
  <c r="K107" i="43"/>
  <c r="K123" i="43" s="1"/>
  <c r="J107" i="43"/>
  <c r="J123" i="43" s="1"/>
  <c r="I107" i="43"/>
  <c r="I123" i="43" s="1"/>
  <c r="G107" i="43"/>
  <c r="F107" i="43"/>
  <c r="P106" i="43"/>
  <c r="H106" i="43"/>
  <c r="P105" i="43"/>
  <c r="P104" i="43"/>
  <c r="P103" i="43"/>
  <c r="H102" i="43"/>
  <c r="P102" i="43" s="1"/>
  <c r="H101" i="43"/>
  <c r="P101" i="43" s="1"/>
  <c r="H100" i="43"/>
  <c r="P100" i="43" s="1"/>
  <c r="H99" i="43"/>
  <c r="P99" i="43" s="1"/>
  <c r="H98" i="43"/>
  <c r="P98" i="43" s="1"/>
  <c r="P97" i="43"/>
  <c r="H97" i="43"/>
  <c r="H96" i="43"/>
  <c r="P96" i="43" s="1"/>
  <c r="H95" i="43"/>
  <c r="P95" i="43" s="1"/>
  <c r="H94" i="43"/>
  <c r="P94" i="43" s="1"/>
  <c r="H93" i="43"/>
  <c r="P93" i="43" s="1"/>
  <c r="H92" i="43"/>
  <c r="P92" i="43" s="1"/>
  <c r="H91" i="43"/>
  <c r="P91" i="43" s="1"/>
  <c r="H90" i="43"/>
  <c r="P90" i="43" s="1"/>
  <c r="H89" i="43"/>
  <c r="P89" i="43" s="1"/>
  <c r="H88" i="43"/>
  <c r="P88" i="43" s="1"/>
  <c r="H87" i="43"/>
  <c r="P87" i="43" s="1"/>
  <c r="P86" i="43"/>
  <c r="H86" i="43"/>
  <c r="H85" i="43"/>
  <c r="P85" i="43" s="1"/>
  <c r="H84" i="43"/>
  <c r="P84" i="43" s="1"/>
  <c r="H83" i="43"/>
  <c r="P83" i="43" s="1"/>
  <c r="H82" i="43"/>
  <c r="P82" i="43" s="1"/>
  <c r="P81" i="43"/>
  <c r="H81" i="43"/>
  <c r="H80" i="43"/>
  <c r="P80" i="43" s="1"/>
  <c r="H79" i="43"/>
  <c r="P79" i="43" s="1"/>
  <c r="H78" i="43"/>
  <c r="P78" i="43" s="1"/>
  <c r="H77" i="43"/>
  <c r="P77" i="43" s="1"/>
  <c r="H76" i="43"/>
  <c r="P76" i="43" s="1"/>
  <c r="H75" i="43"/>
  <c r="P75" i="43" s="1"/>
  <c r="H74" i="43"/>
  <c r="P74" i="43" s="1"/>
  <c r="H73" i="43"/>
  <c r="P73" i="43" s="1"/>
  <c r="H72" i="43"/>
  <c r="P72" i="43" s="1"/>
  <c r="H71" i="43"/>
  <c r="P71" i="43" s="1"/>
  <c r="P70" i="43"/>
  <c r="H70" i="43"/>
  <c r="H69" i="43"/>
  <c r="P69" i="43" s="1"/>
  <c r="H68" i="43"/>
  <c r="P68" i="43" s="1"/>
  <c r="H67" i="43"/>
  <c r="P67" i="43" s="1"/>
  <c r="H66" i="43"/>
  <c r="P66" i="43" s="1"/>
  <c r="P65" i="43"/>
  <c r="H65" i="43"/>
  <c r="H64" i="43"/>
  <c r="P64" i="43" s="1"/>
  <c r="H63" i="43"/>
  <c r="P63" i="43" s="1"/>
  <c r="H62" i="43"/>
  <c r="P62" i="43" s="1"/>
  <c r="H61" i="43"/>
  <c r="P61" i="43" s="1"/>
  <c r="H60" i="43"/>
  <c r="P60" i="43" s="1"/>
  <c r="H59" i="43"/>
  <c r="P59" i="43" s="1"/>
  <c r="H58" i="43"/>
  <c r="P58" i="43" s="1"/>
  <c r="H57" i="43"/>
  <c r="P57" i="43" s="1"/>
  <c r="H56" i="43"/>
  <c r="P56" i="43" s="1"/>
  <c r="H55" i="43"/>
  <c r="P55" i="43" s="1"/>
  <c r="P54" i="43"/>
  <c r="H54" i="43"/>
  <c r="H53" i="43"/>
  <c r="P53" i="43" s="1"/>
  <c r="H52" i="43"/>
  <c r="P52" i="43" s="1"/>
  <c r="H51" i="43"/>
  <c r="P51" i="43" s="1"/>
  <c r="H50" i="43"/>
  <c r="P50" i="43" s="1"/>
  <c r="P49" i="43"/>
  <c r="H49" i="43"/>
  <c r="H48" i="43"/>
  <c r="P48" i="43" s="1"/>
  <c r="H47" i="43"/>
  <c r="P47" i="43" s="1"/>
  <c r="H46" i="43"/>
  <c r="P46" i="43" s="1"/>
  <c r="H45" i="43"/>
  <c r="P45" i="43" s="1"/>
  <c r="H44" i="43"/>
  <c r="P44" i="43" s="1"/>
  <c r="H43" i="43"/>
  <c r="P43" i="43" s="1"/>
  <c r="H42" i="43"/>
  <c r="P42" i="43" s="1"/>
  <c r="H41" i="43"/>
  <c r="P41" i="43" s="1"/>
  <c r="H40" i="43"/>
  <c r="P40" i="43" s="1"/>
  <c r="H39" i="43"/>
  <c r="P39" i="43" s="1"/>
  <c r="P38" i="43"/>
  <c r="H38" i="43"/>
  <c r="H37" i="43"/>
  <c r="P37" i="43" s="1"/>
  <c r="H36" i="43"/>
  <c r="P36" i="43" s="1"/>
  <c r="H35" i="43"/>
  <c r="P35" i="43" s="1"/>
  <c r="H34" i="43"/>
  <c r="P34" i="43" s="1"/>
  <c r="P33" i="43"/>
  <c r="H33" i="43"/>
  <c r="H32" i="43"/>
  <c r="P32" i="43" s="1"/>
  <c r="H31" i="43"/>
  <c r="P31" i="43" s="1"/>
  <c r="H30" i="43"/>
  <c r="P30" i="43" s="1"/>
  <c r="H29" i="43"/>
  <c r="P29" i="43" s="1"/>
  <c r="H28" i="43"/>
  <c r="P28" i="43" s="1"/>
  <c r="H27" i="43"/>
  <c r="P27" i="43" s="1"/>
  <c r="H26" i="43"/>
  <c r="P26" i="43" s="1"/>
  <c r="H25" i="43"/>
  <c r="P25" i="43" s="1"/>
  <c r="H24" i="43"/>
  <c r="P24" i="43" s="1"/>
  <c r="H23" i="43"/>
  <c r="P23" i="43" s="1"/>
  <c r="P22" i="43"/>
  <c r="H22" i="43"/>
  <c r="H21" i="43"/>
  <c r="P21" i="43" s="1"/>
  <c r="H20" i="43"/>
  <c r="P20" i="43" s="1"/>
  <c r="H19" i="43"/>
  <c r="P19" i="43" s="1"/>
  <c r="H18" i="43"/>
  <c r="P18" i="43" s="1"/>
  <c r="P17" i="43"/>
  <c r="H17" i="43"/>
  <c r="H16" i="43"/>
  <c r="P16" i="43" s="1"/>
  <c r="H15" i="43"/>
  <c r="P15" i="43" s="1"/>
  <c r="H14" i="43"/>
  <c r="P14" i="43" s="1"/>
  <c r="H13" i="43"/>
  <c r="P13" i="43" s="1"/>
  <c r="H12" i="43"/>
  <c r="P12" i="43" s="1"/>
  <c r="H11" i="43"/>
  <c r="P11" i="43" s="1"/>
  <c r="H10" i="43"/>
  <c r="P10" i="43" s="1"/>
  <c r="H9" i="43"/>
  <c r="P9" i="43" s="1"/>
  <c r="L123" i="43" l="1"/>
  <c r="H120" i="43"/>
  <c r="N123" i="43"/>
  <c r="I126" i="43"/>
  <c r="L126" i="43"/>
  <c r="M126" i="43"/>
  <c r="J126" i="43"/>
  <c r="N126" i="43"/>
  <c r="K126" i="43"/>
  <c r="P107" i="43"/>
  <c r="P113" i="43"/>
  <c r="P120" i="43" s="1"/>
  <c r="H107" i="43"/>
  <c r="H123" i="43" s="1"/>
  <c r="H126" i="43" s="1"/>
  <c r="P123" i="43" l="1"/>
</calcChain>
</file>

<file path=xl/sharedStrings.xml><?xml version="1.0" encoding="utf-8"?>
<sst xmlns="http://schemas.openxmlformats.org/spreadsheetml/2006/main" count="1546" uniqueCount="1060">
  <si>
    <t>NODOKĻI ATSEVIŠĶĀM PRECĒM UN PAKALPOJUMU VEIDIEM</t>
  </si>
  <si>
    <t>NAUDAS SODI UN SANKCIJAS</t>
  </si>
  <si>
    <t>PĀRĒJIE NENODOKĻU IEŅĒMUMI</t>
  </si>
  <si>
    <t>Dažādi nenodokļu ieņēmumi</t>
  </si>
  <si>
    <t>VALSTS BUDŽETA TRANSFERTI</t>
  </si>
  <si>
    <t>PAŠVALDĪBU BUDŽETU TRANSFERTI</t>
  </si>
  <si>
    <t>01.000</t>
  </si>
  <si>
    <t>VISPĀRĒJIE VALDĪBAS DIENESTI</t>
  </si>
  <si>
    <t>1117</t>
  </si>
  <si>
    <t>1120</t>
  </si>
  <si>
    <t>01.720</t>
  </si>
  <si>
    <t>1721</t>
  </si>
  <si>
    <t>01.830</t>
  </si>
  <si>
    <t>1831</t>
  </si>
  <si>
    <t>03.000</t>
  </si>
  <si>
    <t>SABIEDRISKĀ KĀRTĪBA UN DROŠĪBA</t>
  </si>
  <si>
    <t>3610</t>
  </si>
  <si>
    <t>04.000</t>
  </si>
  <si>
    <t>EKONOMISKĀ DARBĪBA</t>
  </si>
  <si>
    <t>04.430</t>
  </si>
  <si>
    <t>Būvniecība</t>
  </si>
  <si>
    <t>4431</t>
  </si>
  <si>
    <t>04.500</t>
  </si>
  <si>
    <t>Transports</t>
  </si>
  <si>
    <t>4507</t>
  </si>
  <si>
    <t>Tūrisms</t>
  </si>
  <si>
    <t>04.740</t>
  </si>
  <si>
    <t>4746</t>
  </si>
  <si>
    <t>04.920</t>
  </si>
  <si>
    <t>4921</t>
  </si>
  <si>
    <t>05.000</t>
  </si>
  <si>
    <t>VIDES AIZSARDZĪBA</t>
  </si>
  <si>
    <t>05.100</t>
  </si>
  <si>
    <t>Atkritumu apsaimniekošana</t>
  </si>
  <si>
    <t>5101</t>
  </si>
  <si>
    <t>05.200</t>
  </si>
  <si>
    <t>Notekūdeņu apsaimniekošana</t>
  </si>
  <si>
    <t>5201</t>
  </si>
  <si>
    <t>06.000</t>
  </si>
  <si>
    <t>06.200</t>
  </si>
  <si>
    <t>Teritoriju attīstība</t>
  </si>
  <si>
    <t>6210</t>
  </si>
  <si>
    <t>6212</t>
  </si>
  <si>
    <t>6213</t>
  </si>
  <si>
    <t>6214</t>
  </si>
  <si>
    <t>6218</t>
  </si>
  <si>
    <t>6226</t>
  </si>
  <si>
    <t>6227</t>
  </si>
  <si>
    <t>06.400</t>
  </si>
  <si>
    <t>Ielu apgaismošana</t>
  </si>
  <si>
    <t>6410</t>
  </si>
  <si>
    <t>06.600</t>
  </si>
  <si>
    <t>6610</t>
  </si>
  <si>
    <t>6615</t>
  </si>
  <si>
    <t>08.000</t>
  </si>
  <si>
    <t>08.100</t>
  </si>
  <si>
    <t>8110</t>
  </si>
  <si>
    <t>8111</t>
  </si>
  <si>
    <t>Bibliotēkas</t>
  </si>
  <si>
    <t>8211</t>
  </si>
  <si>
    <t>Siguldas novada bibliotēka</t>
  </si>
  <si>
    <t>8213</t>
  </si>
  <si>
    <t>Siguldas pagasta Centra bibliotēka</t>
  </si>
  <si>
    <t>8214</t>
  </si>
  <si>
    <t>Siguldas pagasta Jūdažu bibliotēka</t>
  </si>
  <si>
    <t>8215</t>
  </si>
  <si>
    <t>8216</t>
  </si>
  <si>
    <t>08.230</t>
  </si>
  <si>
    <t>Kultūras centri, nami, klubi</t>
  </si>
  <si>
    <t>8231</t>
  </si>
  <si>
    <t>8232</t>
  </si>
  <si>
    <t>8233</t>
  </si>
  <si>
    <t>8235</t>
  </si>
  <si>
    <t>8237</t>
  </si>
  <si>
    <t>8610</t>
  </si>
  <si>
    <t>09.000</t>
  </si>
  <si>
    <t>IZGLĪTĪBA</t>
  </si>
  <si>
    <t>09.100</t>
  </si>
  <si>
    <t>9101</t>
  </si>
  <si>
    <t>9102</t>
  </si>
  <si>
    <t>9103</t>
  </si>
  <si>
    <t>9104</t>
  </si>
  <si>
    <t>9106</t>
  </si>
  <si>
    <t>9107</t>
  </si>
  <si>
    <t>9108</t>
  </si>
  <si>
    <t>9109</t>
  </si>
  <si>
    <t>09.210</t>
  </si>
  <si>
    <t>9211</t>
  </si>
  <si>
    <t>9213</t>
  </si>
  <si>
    <t>9214</t>
  </si>
  <si>
    <t>9216</t>
  </si>
  <si>
    <t>9217</t>
  </si>
  <si>
    <t>9218</t>
  </si>
  <si>
    <t>9220</t>
  </si>
  <si>
    <t>9231</t>
  </si>
  <si>
    <t>09.510</t>
  </si>
  <si>
    <t>9512</t>
  </si>
  <si>
    <t>Siguldas novada Jaunrades centrs</t>
  </si>
  <si>
    <t>9514</t>
  </si>
  <si>
    <t>9515</t>
  </si>
  <si>
    <t>09.810</t>
  </si>
  <si>
    <t>Pārējā izglītības vadība</t>
  </si>
  <si>
    <t>9811</t>
  </si>
  <si>
    <t>10.900</t>
  </si>
  <si>
    <t>SOCIĀLĀ AIZSARDZĪBA</t>
  </si>
  <si>
    <t>1091</t>
  </si>
  <si>
    <t>1094</t>
  </si>
  <si>
    <t>1098</t>
  </si>
  <si>
    <t>FINANSĒŠANA</t>
  </si>
  <si>
    <t>Akcijas un cita līdzdalība komersantu pamatkapitālā</t>
  </si>
  <si>
    <t>Pakalpojumi</t>
  </si>
  <si>
    <t>Nemateriālie ieguldījumi</t>
  </si>
  <si>
    <t>1121</t>
  </si>
  <si>
    <t>82311</t>
  </si>
  <si>
    <t>Siguldas Valsts ģimnāzija</t>
  </si>
  <si>
    <t>1093</t>
  </si>
  <si>
    <t>04.120</t>
  </si>
  <si>
    <t>4121</t>
  </si>
  <si>
    <t>9812</t>
  </si>
  <si>
    <t>1097</t>
  </si>
  <si>
    <t>6611</t>
  </si>
  <si>
    <t>Mālpils dienesta viesnīca</t>
  </si>
  <si>
    <t>8217</t>
  </si>
  <si>
    <t>Mālpils bibliotēka</t>
  </si>
  <si>
    <t>8218</t>
  </si>
  <si>
    <t>8238</t>
  </si>
  <si>
    <t>Mālpils Kultūras centrs</t>
  </si>
  <si>
    <t>91101</t>
  </si>
  <si>
    <t>92201</t>
  </si>
  <si>
    <t>9513</t>
  </si>
  <si>
    <t>Mālpils mūzikas un mākslas skola</t>
  </si>
  <si>
    <t>10991</t>
  </si>
  <si>
    <t>03.200</t>
  </si>
  <si>
    <t>05.600</t>
  </si>
  <si>
    <t>Pārējā citur neklasificētā vides aizsardzība</t>
  </si>
  <si>
    <t>8114</t>
  </si>
  <si>
    <t>91103</t>
  </si>
  <si>
    <t>Krimuldas vidusskola</t>
  </si>
  <si>
    <t>8219</t>
  </si>
  <si>
    <t>8220</t>
  </si>
  <si>
    <t>8239</t>
  </si>
  <si>
    <t>8240</t>
  </si>
  <si>
    <t>91104</t>
  </si>
  <si>
    <t>91105</t>
  </si>
  <si>
    <t>10993</t>
  </si>
  <si>
    <t>3200</t>
  </si>
  <si>
    <t>91102</t>
  </si>
  <si>
    <t>92202</t>
  </si>
  <si>
    <t>92203</t>
  </si>
  <si>
    <t>92204</t>
  </si>
  <si>
    <t>92205</t>
  </si>
  <si>
    <t>9516</t>
  </si>
  <si>
    <t>9517</t>
  </si>
  <si>
    <t>9518</t>
  </si>
  <si>
    <t>Valsts nodeva par civilstāvokļa aktu reģistrēšanu, grozīšanu un papildināšanu</t>
  </si>
  <si>
    <t>Pašvaldības nodeva par tirdzniecību publiskās vietās</t>
  </si>
  <si>
    <t>Pašvaldības nodeva par reklāmas, afišu un sludinājumu izvietošanu publiskās vietās</t>
  </si>
  <si>
    <t>Pārējās mērķdotācijas</t>
  </si>
  <si>
    <t>Mācību maksa</t>
  </si>
  <si>
    <t>Ieņēmumi no vecāku maksām</t>
  </si>
  <si>
    <t>Ieņēmumi par zemes nomu</t>
  </si>
  <si>
    <t>5600</t>
  </si>
  <si>
    <t>8221</t>
  </si>
  <si>
    <t>8241</t>
  </si>
  <si>
    <t>Azartspēļu nodoklis</t>
  </si>
  <si>
    <t>Pārējās valsts nodevas, kuras ieskaita pašvaldības budžetā</t>
  </si>
  <si>
    <t>Piedzītie un labprātīgi atmaksātie līdzekļi</t>
  </si>
  <si>
    <t>Līgumsodi un procentu maksājumi par saistību neizpildi</t>
  </si>
  <si>
    <t>10995</t>
  </si>
  <si>
    <t>8115</t>
  </si>
  <si>
    <t>Lēdurgas pamatskola</t>
  </si>
  <si>
    <t>Anšlava Eglīša ekspozīcija</t>
  </si>
  <si>
    <t>82401</t>
  </si>
  <si>
    <t>04.730</t>
  </si>
  <si>
    <t>Mālpils vidusskola</t>
  </si>
  <si>
    <t>Krimuldas Sporta centrs</t>
  </si>
  <si>
    <t>Sociālās aprūpes māja "Pēterupe"</t>
  </si>
  <si>
    <t>Sociālās aprūpes māja "Mālpils"</t>
  </si>
  <si>
    <t>Sociālās aprūpes māja "Gaismiņas"</t>
  </si>
  <si>
    <t>Sociālās aprūpes māja "Gauja"</t>
  </si>
  <si>
    <t>Veco ļaužu nams "Krimulda"</t>
  </si>
  <si>
    <t>10990</t>
  </si>
  <si>
    <t>Ugunsdrošības un civilās aizsardzības pasākumi</t>
  </si>
  <si>
    <t>1100</t>
  </si>
  <si>
    <t>1200</t>
  </si>
  <si>
    <t>2100</t>
  </si>
  <si>
    <t>2200</t>
  </si>
  <si>
    <t>2300</t>
  </si>
  <si>
    <t>2400</t>
  </si>
  <si>
    <t>2500</t>
  </si>
  <si>
    <t>3290</t>
  </si>
  <si>
    <t>4000</t>
  </si>
  <si>
    <t>4300</t>
  </si>
  <si>
    <t>5100</t>
  </si>
  <si>
    <t>5200</t>
  </si>
  <si>
    <t>6200</t>
  </si>
  <si>
    <t>6300</t>
  </si>
  <si>
    <t>6400</t>
  </si>
  <si>
    <t>7200</t>
  </si>
  <si>
    <t>01.100</t>
  </si>
  <si>
    <t>1111</t>
  </si>
  <si>
    <t>Pārvalde</t>
  </si>
  <si>
    <t>Pakalpojumu centrs</t>
  </si>
  <si>
    <t>Dzimtsarakstu nodaļa</t>
  </si>
  <si>
    <t>Informācijas tehnoloģijas nodaļa</t>
  </si>
  <si>
    <t>Mālpils PII "Māllēpīte"</t>
  </si>
  <si>
    <t>01.700</t>
  </si>
  <si>
    <t>Pašvaldības budžeta iekšējā valsts parāda darījumi</t>
  </si>
  <si>
    <t>01.800</t>
  </si>
  <si>
    <t>Norēķini ar pašvaldību budžetiem-par izglītību</t>
  </si>
  <si>
    <t>03.600</t>
  </si>
  <si>
    <t>Pašvaldības policija</t>
  </si>
  <si>
    <t>04.100</t>
  </si>
  <si>
    <t>Bērnu un jauniešu nodarbinātības pasākumi vasaras brīvlaikā</t>
  </si>
  <si>
    <t>04.400</t>
  </si>
  <si>
    <t>Būvniecības kontroles nodaļa</t>
  </si>
  <si>
    <t>Ielu un ceļu uzturēšana no valsts mērķdotācijas līdzekļiem</t>
  </si>
  <si>
    <t>04.700</t>
  </si>
  <si>
    <t>473101</t>
  </si>
  <si>
    <t>473102</t>
  </si>
  <si>
    <t>473103</t>
  </si>
  <si>
    <t>Livonija ordeņa Siguldas pils</t>
  </si>
  <si>
    <t>473105</t>
  </si>
  <si>
    <t>Pils Komplekss</t>
  </si>
  <si>
    <t>ID kartes un to apkalpošana</t>
  </si>
  <si>
    <t>473107</t>
  </si>
  <si>
    <t>473108</t>
  </si>
  <si>
    <t>GNP apmeklētāju centrs</t>
  </si>
  <si>
    <t>473111</t>
  </si>
  <si>
    <t>Siguldas Jaunā pils</t>
  </si>
  <si>
    <t>Līdzfinansējums infrastruktūras sakārtošanai</t>
  </si>
  <si>
    <t>04.900</t>
  </si>
  <si>
    <t>Pašvaldības īpašuma atsavināšana</t>
  </si>
  <si>
    <t xml:space="preserve">Īpašumu un vides pārvaldības nodaļa
</t>
  </si>
  <si>
    <t>Pašvaldības īpašumu remonts un apsaimniekošana</t>
  </si>
  <si>
    <t>Siguldas pils kompleksa sabiedriskā-biroja ēka</t>
  </si>
  <si>
    <t>Siguldas pils kompleksa Jaunā pils</t>
  </si>
  <si>
    <t>Pašvaldības dzīvokļu uzturēšana</t>
  </si>
  <si>
    <t>Dzelzceļa stacijas ēkas un laukuma apsaimniekošana</t>
  </si>
  <si>
    <t>Allažu sporta halle</t>
  </si>
  <si>
    <t>Koncesijas uzraudzība</t>
  </si>
  <si>
    <t>Autotransporta uzturēšana</t>
  </si>
  <si>
    <t>Sporta komitejas lēmumu īstenošana</t>
  </si>
  <si>
    <t>08.210</t>
  </si>
  <si>
    <t>Mores pagasta bibliotēka</t>
  </si>
  <si>
    <t>Allažu pagasta bibliotēka</t>
  </si>
  <si>
    <t>Inčukalna  bibliotēka</t>
  </si>
  <si>
    <t>Krimuldas pagasta bibliotēkas</t>
  </si>
  <si>
    <t>Lēdurgas pagasta bibliotēkas</t>
  </si>
  <si>
    <t>Siguldas novada Kultūras centrs</t>
  </si>
  <si>
    <t>Siguldas pils paviljons</t>
  </si>
  <si>
    <t>Siguldas pagasta Kultūras nams</t>
  </si>
  <si>
    <t>Mores pagasta Tautas nams</t>
  </si>
  <si>
    <t>Allažu pagasta Tautas nams</t>
  </si>
  <si>
    <t>Siguldas koncertzāle "Baltais flīģelis''</t>
  </si>
  <si>
    <t>Inčukalna Tautas nams</t>
  </si>
  <si>
    <t>Krimuldas Tautas nams</t>
  </si>
  <si>
    <t>Lēdurgas kultūras nams</t>
  </si>
  <si>
    <t>08.610</t>
  </si>
  <si>
    <t>Izglītības, kultūras atbalsta fonds un kultūras projekti</t>
  </si>
  <si>
    <t xml:space="preserve"> PII "ĀBELĪTE"</t>
  </si>
  <si>
    <t>PII "Pīlādzītis"</t>
  </si>
  <si>
    <t>PII "Saulīte"</t>
  </si>
  <si>
    <t>Privātie bērnudārzi</t>
  </si>
  <si>
    <t>PII ''Ieviņa''</t>
  </si>
  <si>
    <t>Allažu pamatskolas pirmskolas grupas</t>
  </si>
  <si>
    <t>PII "Pasaciņa" Skolas ielā 5</t>
  </si>
  <si>
    <t>PII "Tornīši", Skolas ielā 3</t>
  </si>
  <si>
    <t>Inčukalna PII "Minka"</t>
  </si>
  <si>
    <t>PII "Krimulda"</t>
  </si>
  <si>
    <t>PII "Ezerciems"</t>
  </si>
  <si>
    <t>Lēdurgas PII grupas</t>
  </si>
  <si>
    <t>Maijas Pīlāgas Lēdurgas Mākslas un mūzikas skola</t>
  </si>
  <si>
    <t>Siguldas sākumskola Laurenči</t>
  </si>
  <si>
    <t>Siguldas 1.pamatskola</t>
  </si>
  <si>
    <t>Siguldas pilsētas vidusskola</t>
  </si>
  <si>
    <t>Mores pamatskola</t>
  </si>
  <si>
    <t>Privātās vidusskolas, sākumskolas</t>
  </si>
  <si>
    <t>Allažu pamatskola</t>
  </si>
  <si>
    <t>Inčukalna pamatskola</t>
  </si>
  <si>
    <t>Siguldas Mākslu skola ''Baltais Flīģelis''</t>
  </si>
  <si>
    <t>Sporta skola</t>
  </si>
  <si>
    <t>Inčukalna mūzikas skola</t>
  </si>
  <si>
    <t>Krimuldas mūzikas un mākslas skola</t>
  </si>
  <si>
    <t>Tehnoloģiju izglītības centrs</t>
  </si>
  <si>
    <t>10.000</t>
  </si>
  <si>
    <t>SN pašvaldības Sociālais dienests</t>
  </si>
  <si>
    <t>Asistentu pakalpojumi</t>
  </si>
  <si>
    <t>Pakalpojumi bērniem un pieaugušajiem ar  invalīditāti</t>
  </si>
  <si>
    <t>Algoti pagaidu sabiedriskie darbi</t>
  </si>
  <si>
    <t>Sociālās aprūpes centrs</t>
  </si>
  <si>
    <t>Struktūrvienība</t>
  </si>
  <si>
    <t>Krājumi, materiāli, energoresursi, preces, biroja preces un inventārs</t>
  </si>
  <si>
    <t>Funkcionālā kategorija</t>
  </si>
  <si>
    <t>Darba samaksa</t>
  </si>
  <si>
    <t>Darba devēja VSAOI, pabalsti un kompensācijas</t>
  </si>
  <si>
    <t>Komandējumi un dienesta braucieni</t>
  </si>
  <si>
    <t>Izdevumi periodikas iegādei bibliotēku krājumiem</t>
  </si>
  <si>
    <t>Budžeta iestāžu nodokļu maksājumi</t>
  </si>
  <si>
    <t>Subsīdijas un dotācijas komersantiem, biedrībām un nodibinājumiem</t>
  </si>
  <si>
    <t>PROCENTU IZDEVUMI</t>
  </si>
  <si>
    <t>Pārējie procentu maksājumi</t>
  </si>
  <si>
    <t>PAMATLĪDZEKĻI</t>
  </si>
  <si>
    <t>Sociālie pabalsti naudā</t>
  </si>
  <si>
    <t>Sociālie pabalsti natūrā</t>
  </si>
  <si>
    <t>Pārējie klasifikācijā neminētie maksājumi iedzīvotājiem natūrā un kompensācijas</t>
  </si>
  <si>
    <t>Pašvaldību budžeta kārtējo izdevumu transferti</t>
  </si>
  <si>
    <t>KOPĀ</t>
  </si>
  <si>
    <t>Vispārēja rakstura transferti starp valsts pārvaldes dažādiem līmeņiem</t>
  </si>
  <si>
    <t>Subsīdijas un dotācijas komersantiem</t>
  </si>
  <si>
    <t>Pārējie neklasificētie sabiedriskās kārtības un drošības pakalpojumi</t>
  </si>
  <si>
    <t>Vispārējās nodarbinātības jautājumi</t>
  </si>
  <si>
    <t>Pārējā citur neklasificēta ekonomiskā darbība</t>
  </si>
  <si>
    <t>TERITORIJU UN MĀJOKĻU APSAIMNIEKOŠANA</t>
  </si>
  <si>
    <t>Pārējie pašvaldības teritorijas mājokļu apsaimn. izdevumi</t>
  </si>
  <si>
    <t>ATPŪTA, KULTŪRA UN RELIĢIJA</t>
  </si>
  <si>
    <t>Atpūtas un sporta pasākumi</t>
  </si>
  <si>
    <t>Sidgundas bibliotēka</t>
  </si>
  <si>
    <t>Kultūras pārvalde</t>
  </si>
  <si>
    <t>Pamatizglītība</t>
  </si>
  <si>
    <t>Interešu izglītība ( Līmeņos nedefinētā izglītība)</t>
  </si>
  <si>
    <t>Sociālais dienests ar visiem pakalpojumiem</t>
  </si>
  <si>
    <t>Inčukalna sporta pasākumi un sporta laukumu uzturēšana</t>
  </si>
  <si>
    <t>Pārējās nodevas, ko uzliek pašvaldība</t>
  </si>
  <si>
    <t>9529</t>
  </si>
  <si>
    <t>Pašvaldības  nodeva par izklaidējoša rakstura pasākumu sarīkošanu publiskās vietās</t>
  </si>
  <si>
    <t>Pašvaldību nodevas</t>
  </si>
  <si>
    <t>9500</t>
  </si>
  <si>
    <t>9490</t>
  </si>
  <si>
    <t>9450</t>
  </si>
  <si>
    <t>Valsts nodeva par uzvārda, vārda un tautības ieraksta maiņu personu apliecinošos dokumentos</t>
  </si>
  <si>
    <t>9430</t>
  </si>
  <si>
    <t>Valsts nodeva par apliecinājumiem un citu funkciju pildīšanu bāriņtiesās</t>
  </si>
  <si>
    <t>9420</t>
  </si>
  <si>
    <t>Valsts nodevas, kuras ieskaita pašvaldību budžeta</t>
  </si>
  <si>
    <t>9400</t>
  </si>
  <si>
    <t>Nodeva par ziņu par deklarēto dzīvesvietu reģistrāciju</t>
  </si>
  <si>
    <t>9186</t>
  </si>
  <si>
    <t>Nodeva par informācijas saņemšanu no Fizisko personu reģistra</t>
  </si>
  <si>
    <t>9183</t>
  </si>
  <si>
    <t>Valsts nodeva par citu personu apliecinošu un tiesību apliecinošu dokumentu izsniegšanu</t>
  </si>
  <si>
    <t>9180</t>
  </si>
  <si>
    <t>VALSTS (PAŠVALDĪBU) NODEVAS UN KANCELEJAS NODEVAS</t>
  </si>
  <si>
    <t>9000.</t>
  </si>
  <si>
    <t>Procentu ieņēmumi par atlikto maksājumu un vēl nesamaksātās pirkuma maksas daļas</t>
  </si>
  <si>
    <t>8640</t>
  </si>
  <si>
    <t>Procentu ieņēmumi no depozītiem un kontu atlikumiem.</t>
  </si>
  <si>
    <t>8600.</t>
  </si>
  <si>
    <t>IEŅĒMUMI NO UZŅĒMĒJDARBĪBAS UN  ĪPAŠUMA</t>
  </si>
  <si>
    <t>8000.</t>
  </si>
  <si>
    <t>Dabas resursu nodoklis par dabas resursu ieguvi un vides piesārņošanu</t>
  </si>
  <si>
    <t>5531</t>
  </si>
  <si>
    <t>NODOKĻI UN MAKSĀJUMI PAR TIESĪBĀM LIETOT ATSEVIŠĶAS PRECES</t>
  </si>
  <si>
    <t>5500</t>
  </si>
  <si>
    <t>5410</t>
  </si>
  <si>
    <t>5400</t>
  </si>
  <si>
    <t>Nodokļi</t>
  </si>
  <si>
    <t>5000.</t>
  </si>
  <si>
    <t>Kavējuma nauda par mājokļiem</t>
  </si>
  <si>
    <t>41322</t>
  </si>
  <si>
    <t>Nekustamā īpašuma nodokļa par mājokļiem parādi par iepriekšējiem gadiem</t>
  </si>
  <si>
    <t>41321</t>
  </si>
  <si>
    <t>Nekustamais īpašuma nodokļa par mājokļiem kārtējā saimn.gada ieņēmumi</t>
  </si>
  <si>
    <t>4131</t>
  </si>
  <si>
    <t>Kavējuma nauda par NĪN par ēkām</t>
  </si>
  <si>
    <t>41222</t>
  </si>
  <si>
    <t>Nekustamā īpašuma nodokļa par ēkām parādi par iepriekšējiem gadiem</t>
  </si>
  <si>
    <t>41221</t>
  </si>
  <si>
    <t>Nekustamā īpašuma nodokļa par ēkām un būvēm kārtējā saimn.gada ieņēmumi</t>
  </si>
  <si>
    <t>Kavējuma nauda par NīN par zemi</t>
  </si>
  <si>
    <t>41122</t>
  </si>
  <si>
    <t>Nekustamā īpašuma nodokļa par zemi iepriekšējo gadu parādi</t>
  </si>
  <si>
    <t>41121</t>
  </si>
  <si>
    <t>Nekustamā īpašuma nodokļa par zemi kārtējā saimnieciskā gada ieņēmumi</t>
  </si>
  <si>
    <t>4111</t>
  </si>
  <si>
    <t>Nekustamā īpašuma nodoklis</t>
  </si>
  <si>
    <t>4100.</t>
  </si>
  <si>
    <t>ĪPAŠUMA NODOKLIS</t>
  </si>
  <si>
    <t>4000.</t>
  </si>
  <si>
    <t>Pārējie iepriekš neklasificētie pašu ieņēmumi</t>
  </si>
  <si>
    <t>213999</t>
  </si>
  <si>
    <t>Dalības maksa semināros, sacensībās</t>
  </si>
  <si>
    <t>213998</t>
  </si>
  <si>
    <t>Būvvaldes  pakalpojumi</t>
  </si>
  <si>
    <t>213996</t>
  </si>
  <si>
    <t>Apbedīšanas  pakalpojumi</t>
  </si>
  <si>
    <t>213995</t>
  </si>
  <si>
    <t>Ieņēmumi par grāmatu realizāciju-PVN 5 %</t>
  </si>
  <si>
    <t>2139941</t>
  </si>
  <si>
    <t>Ieņēmumi par ID karšu un suvenīru realizāciju</t>
  </si>
  <si>
    <t>213994</t>
  </si>
  <si>
    <t>Laulību ceremoniju pakalpojumi</t>
  </si>
  <si>
    <t>213992</t>
  </si>
  <si>
    <t>Koncesijas uzraudzības pakalpojumi</t>
  </si>
  <si>
    <t>213991</t>
  </si>
  <si>
    <t>Citi ieņēmumi par maksas pakalpojumiem</t>
  </si>
  <si>
    <t>21399</t>
  </si>
  <si>
    <t>Ieņēmumi par biļešu realizāciju</t>
  </si>
  <si>
    <t>21393</t>
  </si>
  <si>
    <t>Maksa par personu uzturēšanos soc.aprūpes iestādēs</t>
  </si>
  <si>
    <t>21391</t>
  </si>
  <si>
    <t>Pārēji ieņēmumi par nomu un īri</t>
  </si>
  <si>
    <t>21389</t>
  </si>
  <si>
    <t>21384</t>
  </si>
  <si>
    <t>Ieņēmumi no kustamā īpašuma iznomāšanas</t>
  </si>
  <si>
    <t>21383</t>
  </si>
  <si>
    <t>Ieņēmumi par viesnīcu pakalpojumiem</t>
  </si>
  <si>
    <t>21382</t>
  </si>
  <si>
    <t>Ieņēmumi par apsaimniekošanu</t>
  </si>
  <si>
    <t>213815</t>
  </si>
  <si>
    <t>Ieņēmumi par atkritumu izvešanu</t>
  </si>
  <si>
    <t>213814</t>
  </si>
  <si>
    <t>Ieņēmumi par elektrību</t>
  </si>
  <si>
    <t>213813</t>
  </si>
  <si>
    <t>Ieņēmumi par ūdeni, kanalizāciju</t>
  </si>
  <si>
    <t>213812</t>
  </si>
  <si>
    <t>Ieņēmumi par apkuri</t>
  </si>
  <si>
    <t>213811</t>
  </si>
  <si>
    <t>Ieņēmumi par telpu nomu</t>
  </si>
  <si>
    <t>213810</t>
  </si>
  <si>
    <t>21381</t>
  </si>
  <si>
    <t>Ieņēmumi par pārējo dokumentu izsniegšanu un pārējiem kancelejas pakalpojumiem</t>
  </si>
  <si>
    <t>21379</t>
  </si>
  <si>
    <t>Pārējie ieņēmumi par izglītības pakalpojumiem</t>
  </si>
  <si>
    <t>21359</t>
  </si>
  <si>
    <t>21352</t>
  </si>
  <si>
    <t>21351</t>
  </si>
  <si>
    <t>Ieņēmumi no budžeta iestāžu un struktūrvienību sniegtajiem maksas pakalpojumiemu un citi pašu ieņēmumi</t>
  </si>
  <si>
    <t>21300</t>
  </si>
  <si>
    <t>BUDŽETA IESTĀŽU IEŅĒMUMI</t>
  </si>
  <si>
    <t xml:space="preserve">Pārējie pašvaldības saņemtie transferti no citām pašvaldībām </t>
  </si>
  <si>
    <t>192003</t>
  </si>
  <si>
    <t>Pašvaldības saņemtie transferti no citām pašvaldībām izglītības funkciju nodrošināšanai</t>
  </si>
  <si>
    <t>192001</t>
  </si>
  <si>
    <t>Ieņēmumi pašvaldību budžetā no citām pašvaldībām</t>
  </si>
  <si>
    <t>19200</t>
  </si>
  <si>
    <t>19000</t>
  </si>
  <si>
    <t>Pašvaldību budžetā saņemtā dotācija no pašvaldību finanšu izlīdzināšanas fonda</t>
  </si>
  <si>
    <t>Pašvaldību no valsts budžeta iestādēm saņemtie transferti RS pol.instrumentu un pārējās ārvalstu fin.pal. līdzfinansētajiem projektiem (pasākumiem)</t>
  </si>
  <si>
    <t>18630</t>
  </si>
  <si>
    <t>18629</t>
  </si>
  <si>
    <t>Mērķdotācija pašvaldību izglītības iestāžu piecgadīgo un sešgadīgo bērnu apmācībai</t>
  </si>
  <si>
    <t>18625</t>
  </si>
  <si>
    <t>Mērķdotācija pašvaldību pamatizglītības, vispārējās izglītības un daļējai interešu izglītības finanšēšanai</t>
  </si>
  <si>
    <t>18624</t>
  </si>
  <si>
    <t>Mērķdotācijas kultūras pasākumiem</t>
  </si>
  <si>
    <t>18622</t>
  </si>
  <si>
    <t>Mērķdotācija izglītības pasākumiem</t>
  </si>
  <si>
    <t>18621</t>
  </si>
  <si>
    <t xml:space="preserve">Pašvaldību saņemtie valsts budžeta transferti </t>
  </si>
  <si>
    <t>18620</t>
  </si>
  <si>
    <t>Pašvaldību saņemtie transferti no valsts budžeta</t>
  </si>
  <si>
    <t>18600</t>
  </si>
  <si>
    <t>Pašvaldību saņemtie transferti no valsts budžeta daļēji finansētām atvasinātām publiskām personām un no budžeta nefinansētām iestādēm</t>
  </si>
  <si>
    <t>17200</t>
  </si>
  <si>
    <t>No valsts budžeta daļēji finansēto atvasināto publisko personu un budžeta nefinansēto iestāžu transferti</t>
  </si>
  <si>
    <t>17000</t>
  </si>
  <si>
    <t>Ieņēmumi no pašvaldību kustamā īpašuma un mantas realizācijas</t>
  </si>
  <si>
    <t>13400</t>
  </si>
  <si>
    <t>Ieņēmumi no zemes īpašuma pārdošanas</t>
  </si>
  <si>
    <t>13210</t>
  </si>
  <si>
    <t>Ieņēmumi no zemes, meža īpašuma pārdošanas</t>
  </si>
  <si>
    <t>13200</t>
  </si>
  <si>
    <t>Ieņēmumi no ēku un būvju īpašuma pārdošanas</t>
  </si>
  <si>
    <t>13100</t>
  </si>
  <si>
    <t>IEŅĒMUMI NO VALSTS (PAŠVALDĪBAS) ĪPAŠUMA PĀRDOŠANAS UN NO NODOKĻU PAMATPARĀDA KA</t>
  </si>
  <si>
    <t>13000</t>
  </si>
  <si>
    <t>Pārējie dažādi nenodokļu ieņēmumi, kas nav iepriekš klasificēti šajā klasifikato</t>
  </si>
  <si>
    <t>12399</t>
  </si>
  <si>
    <t>12395</t>
  </si>
  <si>
    <t>12393</t>
  </si>
  <si>
    <t>12300</t>
  </si>
  <si>
    <t>Ieņēmumi no zaudējumu atlīdzības par meža resursiem nodarītiem kaitējumiem</t>
  </si>
  <si>
    <t>12260</t>
  </si>
  <si>
    <t>12000</t>
  </si>
  <si>
    <t>Saņemts no Valsts kases sadales konta pārskata gadā ieskaitītais iedzīvotāju ienākuma nodoklis</t>
  </si>
  <si>
    <t>1112</t>
  </si>
  <si>
    <t>Ieņēmumi no iedzīvotāju ienākuma nodokļa</t>
  </si>
  <si>
    <t>11010</t>
  </si>
  <si>
    <t>BUDŽETA NODOKĻU IEŅĒMUMI</t>
  </si>
  <si>
    <t>11000</t>
  </si>
  <si>
    <t>Naudas sodi, ko uzliek  par pārkāpumiem ceļu satiksmē</t>
  </si>
  <si>
    <t>10154</t>
  </si>
  <si>
    <t>Naudas sodi, ko uzliek pašvaldība-administratīvā komisija, Pašvaldības policija</t>
  </si>
  <si>
    <t>10140</t>
  </si>
  <si>
    <t>Naudas sodi</t>
  </si>
  <si>
    <t>10100</t>
  </si>
  <si>
    <t>10000</t>
  </si>
  <si>
    <t>1000</t>
  </si>
  <si>
    <t>ATLĪDZĪBA</t>
  </si>
  <si>
    <t>2000</t>
  </si>
  <si>
    <t>PRECES UN PAKALPOJUMI</t>
  </si>
  <si>
    <t>3000</t>
  </si>
  <si>
    <t>SUBSĪDIJAS UN DOTĀCIJAS</t>
  </si>
  <si>
    <t>Subsīdijas un dotācijas komersantiem, biedrībām, nodibinājumiem ES pol. instr.un pārējās ārvalstu finanšu palīdzības līdzfinansēto projektu un pasākumu ietavros</t>
  </si>
  <si>
    <t>5000</t>
  </si>
  <si>
    <t>PAMATKAPITĀLA VEIDOŠANA</t>
  </si>
  <si>
    <t>6000</t>
  </si>
  <si>
    <t>SOCIĀLIE PABALSTI</t>
  </si>
  <si>
    <t>7000</t>
  </si>
  <si>
    <t>TRANSVERTI, DOTĀCIJAS UN MĒRĶDOTĀCIJAS PAŠVALDĪBĀM, PAŠU RESURSI,DALĪBAS MAKSA</t>
  </si>
  <si>
    <t>9000</t>
  </si>
  <si>
    <t>KAPITĀLO IZDEVUMU TRANSFERTI, MĒRĶDOTĀCIJAS</t>
  </si>
  <si>
    <t>9200</t>
  </si>
  <si>
    <t>Kapitālo izdevumu transferti starp vienas pašvaldības dažādiem budžeta veidiem</t>
  </si>
  <si>
    <t>Bāriņtiesa</t>
  </si>
  <si>
    <t>1041</t>
  </si>
  <si>
    <t>ATBALSTS ĢIMENĒM AR BĒRNIEM</t>
  </si>
  <si>
    <t>10.400</t>
  </si>
  <si>
    <t>Inčukalna sporta centrs</t>
  </si>
  <si>
    <t>92209</t>
  </si>
  <si>
    <t>Lēdurgas sporta centrs</t>
  </si>
  <si>
    <t>92208</t>
  </si>
  <si>
    <t>Mālpils sporta centrs</t>
  </si>
  <si>
    <t>92207</t>
  </si>
  <si>
    <t>Inčukalna pamatskolas pirmsskolas grupas</t>
  </si>
  <si>
    <t>91108</t>
  </si>
  <si>
    <t>Mores pamatskolas pirmsskolas grupas</t>
  </si>
  <si>
    <t>91107</t>
  </si>
  <si>
    <t>Pirmsskolas izglītība</t>
  </si>
  <si>
    <t>Inciema bibliotēka</t>
  </si>
  <si>
    <t>8223</t>
  </si>
  <si>
    <t>Mālpils sporta pasākumi un sporta laukumu uzturēšana</t>
  </si>
  <si>
    <t>8120</t>
  </si>
  <si>
    <t>Lēdurgas, Krimuldas sporta pasākumi un sporta laukumu uzturēšana, t.sk. "Namiņš"</t>
  </si>
  <si>
    <t>Ēkas uzturēšana Lēdurgā</t>
  </si>
  <si>
    <t>6225</t>
  </si>
  <si>
    <t>Ēkas uzturēšana Raganā</t>
  </si>
  <si>
    <t>6224</t>
  </si>
  <si>
    <t>Ēkas uzturēšana Mālpilī</t>
  </si>
  <si>
    <t>6223</t>
  </si>
  <si>
    <t>Ēkas uzturēšana Inčukalnā</t>
  </si>
  <si>
    <t>6222</t>
  </si>
  <si>
    <t>Turaidas skolas ēkas uzturēšana</t>
  </si>
  <si>
    <t>62210</t>
  </si>
  <si>
    <t>Vides pārvaldības nodaļa</t>
  </si>
  <si>
    <t>Vides aizsardzības pasākumi no DRN</t>
  </si>
  <si>
    <t>Lietusūdeņu kanalizācija</t>
  </si>
  <si>
    <t>Privatizācija</t>
  </si>
  <si>
    <t>Vairāku mērķu attīstības projekti</t>
  </si>
  <si>
    <t>Lēdurgas dendroparks</t>
  </si>
  <si>
    <t>473113</t>
  </si>
  <si>
    <t>Transportbūvju nodaļa</t>
  </si>
  <si>
    <t xml:space="preserve">Autotransports </t>
  </si>
  <si>
    <t>04.510</t>
  </si>
  <si>
    <t>Vispārēja rakstura transferti no pašvaldību budžeta pašvaldību budžetam</t>
  </si>
  <si>
    <t>Pašvaldības budžetu parāda darījumi</t>
  </si>
  <si>
    <t>Izpildvara, likumdošanas vara</t>
  </si>
  <si>
    <t>Funkcionālās kategorijas apakškods</t>
  </si>
  <si>
    <t>Struktūrvienības/iestādes nosaukums</t>
  </si>
  <si>
    <t>Struktūrvienības/iestādes kods</t>
  </si>
  <si>
    <t>BUDŽETA IZDEVUMI KOPĀ</t>
  </si>
  <si>
    <t>Ekonomiskā kategorija</t>
  </si>
  <si>
    <t>Ekonomiskās kategorijas kods un nosaukums</t>
  </si>
  <si>
    <t>Aizdevumu saņemšana</t>
  </si>
  <si>
    <t>Aizdevuma pamatsummas atmaksa</t>
  </si>
  <si>
    <t>Budžeta plāns, EUR</t>
  </si>
  <si>
    <t>Starptautiskā sadarbība</t>
  </si>
  <si>
    <t>Budžeta plāns pēc grozījumiem, EUR</t>
  </si>
  <si>
    <t>Budžeta grozījumi, EUR</t>
  </si>
  <si>
    <t>Kompensācijas, kuras izmaksā personām, pamatojoties uz Latvijas tiesu nolēmumiem</t>
  </si>
  <si>
    <t>6500</t>
  </si>
  <si>
    <t>Kapsētu pārvaldības nodaļa</t>
  </si>
  <si>
    <t>82381</t>
  </si>
  <si>
    <t>PII "ĀBELĪTE"</t>
  </si>
  <si>
    <t>Mālpils Mūzikas un mākslas skola</t>
  </si>
  <si>
    <t>Siguldas Sporta skola</t>
  </si>
  <si>
    <t>Inčukalna Mūzikas un mākslas skola</t>
  </si>
  <si>
    <t>Krimuldas Mūzikas un mākslas skola</t>
  </si>
  <si>
    <t>Maijas Pīlāgas Lēdurgas mākslas skola</t>
  </si>
  <si>
    <t>Aizdevējs</t>
  </si>
  <si>
    <t>Līguma noslēgšanas datums</t>
  </si>
  <si>
    <t>Atmaksas termiņš</t>
  </si>
  <si>
    <t>Aizņēmuma līguma
summa, EUR</t>
  </si>
  <si>
    <t>Parāds uz pārskata gada sākumu, EUR</t>
  </si>
  <si>
    <t>Saistību apmērs, EUR</t>
  </si>
  <si>
    <t>Saistības kopā, EUR</t>
  </si>
  <si>
    <t>turpmākajos gados</t>
  </si>
  <si>
    <t>AIZŅĒMUMI</t>
  </si>
  <si>
    <t>1</t>
  </si>
  <si>
    <t>Valsts kase</t>
  </si>
  <si>
    <t>2</t>
  </si>
  <si>
    <t>3</t>
  </si>
  <si>
    <t>09.04.2020</t>
  </si>
  <si>
    <t>20.03.2030</t>
  </si>
  <si>
    <t>4</t>
  </si>
  <si>
    <t>06.09.2018</t>
  </si>
  <si>
    <t>20.08.2048</t>
  </si>
  <si>
    <t>5</t>
  </si>
  <si>
    <t>06.08.2018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</si>
  <si>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</si>
  <si>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</si>
  <si>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</si>
  <si>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</si>
  <si>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</si>
  <si>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</si>
  <si>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</si>
  <si>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</si>
  <si>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</si>
  <si>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</si>
  <si>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</si>
  <si>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28.10.2019</t>
  </si>
  <si>
    <t>20.08.2038</t>
  </si>
  <si>
    <t>17</t>
  </si>
  <si>
    <t>20.04.2026</t>
  </si>
  <si>
    <t>18</t>
  </si>
  <si>
    <t>11.04.2018</t>
  </si>
  <si>
    <t>20.03.2025</t>
  </si>
  <si>
    <t>19</t>
  </si>
  <si>
    <t>26.07.2016</t>
  </si>
  <si>
    <t>20.07.2031</t>
  </si>
  <si>
    <t>20</t>
  </si>
  <si>
    <t>20.07.2041</t>
  </si>
  <si>
    <t>21</t>
  </si>
  <si>
    <t>P-198/2017 – Pils ielas (krustojums ar Pils, Cēsu, Līvkalna ielām) apļveida krustojuma atjaunošana Siguldā, Siguldas novadā</t>
  </si>
  <si>
    <t>24.05.2017</t>
  </si>
  <si>
    <t>20.05.2032</t>
  </si>
  <si>
    <t>22</t>
  </si>
  <si>
    <t>23</t>
  </si>
  <si>
    <t>16.06.2021</t>
  </si>
  <si>
    <t>20.05.2036</t>
  </si>
  <si>
    <t>16.06.2015</t>
  </si>
  <si>
    <t>20.06.2030</t>
  </si>
  <si>
    <t>25</t>
  </si>
  <si>
    <t>29.02.2016</t>
  </si>
  <si>
    <t>20.02.2041</t>
  </si>
  <si>
    <t>26</t>
  </si>
  <si>
    <t>27</t>
  </si>
  <si>
    <t>28</t>
  </si>
  <si>
    <t>01.06.2018</t>
  </si>
  <si>
    <t>20.05.2038</t>
  </si>
  <si>
    <t>29</t>
  </si>
  <si>
    <t>17.08.2020</t>
  </si>
  <si>
    <t>20.07.2035</t>
  </si>
  <si>
    <t>30</t>
  </si>
  <si>
    <t>31</t>
  </si>
  <si>
    <t>05.03.2019</t>
  </si>
  <si>
    <t>20.02.2044</t>
  </si>
  <si>
    <t>32</t>
  </si>
  <si>
    <t>22.07.2015</t>
  </si>
  <si>
    <t>33</t>
  </si>
  <si>
    <t>34</t>
  </si>
  <si>
    <t>35</t>
  </si>
  <si>
    <t>13.11.2019</t>
  </si>
  <si>
    <t>20.10.2034</t>
  </si>
  <si>
    <t>36</t>
  </si>
  <si>
    <t>09.12.2019</t>
  </si>
  <si>
    <t>20.11.2044</t>
  </si>
  <si>
    <t>37</t>
  </si>
  <si>
    <t>10.09.2020</t>
  </si>
  <si>
    <t>20.08.2045</t>
  </si>
  <si>
    <t>38</t>
  </si>
  <si>
    <t>26.08.2015</t>
  </si>
  <si>
    <t>20.08.2030</t>
  </si>
  <si>
    <t>39</t>
  </si>
  <si>
    <t>40</t>
  </si>
  <si>
    <t>41</t>
  </si>
  <si>
    <t>06.07.2017</t>
  </si>
  <si>
    <t>20.06.2032</t>
  </si>
  <si>
    <t>42</t>
  </si>
  <si>
    <t>43</t>
  </si>
  <si>
    <t>44</t>
  </si>
  <si>
    <t>22.11.2016</t>
  </si>
  <si>
    <t>20.11.2031</t>
  </si>
  <si>
    <t>45</t>
  </si>
  <si>
    <t>46</t>
  </si>
  <si>
    <t>47</t>
  </si>
  <si>
    <t>09.09.2015</t>
  </si>
  <si>
    <t>20.09.2030</t>
  </si>
  <si>
    <t>48</t>
  </si>
  <si>
    <t>30.11.2016</t>
  </si>
  <si>
    <t>49</t>
  </si>
  <si>
    <t>28.12.2016</t>
  </si>
  <si>
    <t>20.12.2031</t>
  </si>
  <si>
    <t>50</t>
  </si>
  <si>
    <t>51</t>
  </si>
  <si>
    <t>15.12.2015</t>
  </si>
  <si>
    <t>20.12.2030</t>
  </si>
  <si>
    <t>52</t>
  </si>
  <si>
    <t>53</t>
  </si>
  <si>
    <t>54</t>
  </si>
  <si>
    <t>16.12.2015</t>
  </si>
  <si>
    <t>55</t>
  </si>
  <si>
    <t>P-447/2017 – Paparžu ielas pārbūve Siguldā, Siguldas novadā</t>
  </si>
  <si>
    <t>17.08.2017</t>
  </si>
  <si>
    <t>20.08.2032</t>
  </si>
  <si>
    <t>56</t>
  </si>
  <si>
    <t>02.08.2018</t>
  </si>
  <si>
    <t>20.07.2028</t>
  </si>
  <si>
    <t>57</t>
  </si>
  <si>
    <t>P-448/2017 – Allažu pamatskolas atjaunošana (energoefektivitātes paaugstināšana) Skolas ielā 5, Allažos</t>
  </si>
  <si>
    <t>58</t>
  </si>
  <si>
    <t>07.08.2018</t>
  </si>
  <si>
    <t>59</t>
  </si>
  <si>
    <t>P-457/2017 – PII Pasaciņa ēkas Skolas 3, Siguldā, Siguldas novadā telpu atjaunošana</t>
  </si>
  <si>
    <t>25.08.2017</t>
  </si>
  <si>
    <t>20.08.2027</t>
  </si>
  <si>
    <t>60</t>
  </si>
  <si>
    <t>07.12.2020</t>
  </si>
  <si>
    <t>20.11.2045</t>
  </si>
  <si>
    <t>61</t>
  </si>
  <si>
    <t>62</t>
  </si>
  <si>
    <t>31.08.2018</t>
  </si>
  <si>
    <t>20.08.2028</t>
  </si>
  <si>
    <t>63</t>
  </si>
  <si>
    <t>20.09.2032</t>
  </si>
  <si>
    <t>64</t>
  </si>
  <si>
    <t>20.09.2027</t>
  </si>
  <si>
    <t>65</t>
  </si>
  <si>
    <t>14.09.2018</t>
  </si>
  <si>
    <t>20.09.2028</t>
  </si>
  <si>
    <t>66</t>
  </si>
  <si>
    <t>18.10.2017</t>
  </si>
  <si>
    <t>20.10.2032</t>
  </si>
  <si>
    <t>67</t>
  </si>
  <si>
    <t>P-626/2017 – Jāņa Poruka ielas pārbūve ar lietusūdens kanalizācijas sistēmas un lietusūdens attīrīšanas sistēmas iekārtu izbūvi.</t>
  </si>
  <si>
    <t>02.11.2017</t>
  </si>
  <si>
    <t>68</t>
  </si>
  <si>
    <t>10.05.2019</t>
  </si>
  <si>
    <t>20.04.2034</t>
  </si>
  <si>
    <t>69</t>
  </si>
  <si>
    <t>21.03.2017</t>
  </si>
  <si>
    <t>20.03.2037</t>
  </si>
  <si>
    <t>70</t>
  </si>
  <si>
    <t>71</t>
  </si>
  <si>
    <t>P-690/2017 – Gājēju celiņa izbūve autoceļa V83 posmā no Televīzijas ielas līdz Nākotnes ielai Siguldā, Siguldas novadā</t>
  </si>
  <si>
    <t>20.12.2017</t>
  </si>
  <si>
    <t>20.12.2032</t>
  </si>
  <si>
    <t>72</t>
  </si>
  <si>
    <t>73</t>
  </si>
  <si>
    <t>20.04.2044</t>
  </si>
  <si>
    <t>74</t>
  </si>
  <si>
    <t>P-692/2017 – Kult.iestādes invest. projekta Siguldas Kultūras centra pārbūve par zema patēriņa enerģijas ēku.</t>
  </si>
  <si>
    <t>28.12.2017</t>
  </si>
  <si>
    <t>20.12.2037</t>
  </si>
  <si>
    <t>75</t>
  </si>
  <si>
    <t>29.11.2018</t>
  </si>
  <si>
    <t>20.11.2028</t>
  </si>
  <si>
    <t>76</t>
  </si>
  <si>
    <t>10.12.2018</t>
  </si>
  <si>
    <t>77</t>
  </si>
  <si>
    <t>25.03.2020</t>
  </si>
  <si>
    <t>20.03.2035</t>
  </si>
  <si>
    <t>78</t>
  </si>
  <si>
    <t>79</t>
  </si>
  <si>
    <t>07.03.2018</t>
  </si>
  <si>
    <t>80</t>
  </si>
  <si>
    <t>81</t>
  </si>
  <si>
    <t>15.08.2018</t>
  </si>
  <si>
    <t>20.02.2033</t>
  </si>
  <si>
    <t>82</t>
  </si>
  <si>
    <t>03.12.2020</t>
  </si>
  <si>
    <t>20.11.2040</t>
  </si>
  <si>
    <t>83</t>
  </si>
  <si>
    <t>06.10.2020</t>
  </si>
  <si>
    <t>20.09.2040</t>
  </si>
  <si>
    <t>84</t>
  </si>
  <si>
    <t>03.08.2021</t>
  </si>
  <si>
    <t>22.07.2041</t>
  </si>
  <si>
    <t>85</t>
  </si>
  <si>
    <t>21.07.2036</t>
  </si>
  <si>
    <t>86</t>
  </si>
  <si>
    <t>13.09.2021</t>
  </si>
  <si>
    <t>20.08.2041</t>
  </si>
  <si>
    <t>87</t>
  </si>
  <si>
    <t>88</t>
  </si>
  <si>
    <t>15.09.2021</t>
  </si>
  <si>
    <t>20.08.2036</t>
  </si>
  <si>
    <t>89</t>
  </si>
  <si>
    <t>29.10.2021</t>
  </si>
  <si>
    <t>21.10.2041</t>
  </si>
  <si>
    <t>90</t>
  </si>
  <si>
    <t>20.10.2036</t>
  </si>
  <si>
    <t>91</t>
  </si>
  <si>
    <t>10.12.2021</t>
  </si>
  <si>
    <t>20.11.2041</t>
  </si>
  <si>
    <t>92</t>
  </si>
  <si>
    <t>23.03.2022</t>
  </si>
  <si>
    <t>20.03.2042</t>
  </si>
  <si>
    <t>93</t>
  </si>
  <si>
    <t>10.08.2022</t>
  </si>
  <si>
    <t>21.07.2042</t>
  </si>
  <si>
    <t>94</t>
  </si>
  <si>
    <t>23.08.2022</t>
  </si>
  <si>
    <t>20.08.2042</t>
  </si>
  <si>
    <t>95</t>
  </si>
  <si>
    <t>AIZŅĒMUMI KOPĀ</t>
  </si>
  <si>
    <t>GALVOJUMI</t>
  </si>
  <si>
    <t>A1/1/1/14/814ES Kohēzijas fonda finansētā PR "Ūdensaimniecības" pakalpojumu attīstība Siguldas pilsētā</t>
  </si>
  <si>
    <t>24.10.2014</t>
  </si>
  <si>
    <t>20.12.2025</t>
  </si>
  <si>
    <t>19.07.2018</t>
  </si>
  <si>
    <t>20.06.2028</t>
  </si>
  <si>
    <t>13.08.2020</t>
  </si>
  <si>
    <t>20.07.2030</t>
  </si>
  <si>
    <t>03.07.2018</t>
  </si>
  <si>
    <t>20.06.2043</t>
  </si>
  <si>
    <t>18.07.2019</t>
  </si>
  <si>
    <t>20.06.2044</t>
  </si>
  <si>
    <t>24.09.2014</t>
  </si>
  <si>
    <t>20.12.2039</t>
  </si>
  <si>
    <t>20.11.2018</t>
  </si>
  <si>
    <t>20.11.2048</t>
  </si>
  <si>
    <t>22.09.2016</t>
  </si>
  <si>
    <t>20.09.2046</t>
  </si>
  <si>
    <t>25.11.2014</t>
  </si>
  <si>
    <t>20.12.2044</t>
  </si>
  <si>
    <t>09.06.2015</t>
  </si>
  <si>
    <t>20.05.2040</t>
  </si>
  <si>
    <t>GALVOJUMI KOPĀ</t>
  </si>
  <si>
    <t>SAISTĪBAS KOPĀ</t>
  </si>
  <si>
    <t>Saistību apjoms % no plānotajiem pamatbudžeta ieņēmumiem</t>
  </si>
  <si>
    <t>x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</si>
  <si>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</si>
  <si>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Daina, lūdzu pārbaudi</t>
  </si>
  <si>
    <t>Būvniecības kontroles pārvalde</t>
  </si>
  <si>
    <t>Siguldas pagasta bibliotēka</t>
  </si>
  <si>
    <t>"Skulmju dzimtas mājas" ekspozīcija</t>
  </si>
  <si>
    <t>Atbalsts energoresursiem</t>
  </si>
  <si>
    <t>Reklāmas pakalpojumi</t>
  </si>
  <si>
    <t>Citi iepriekš neklasificētie maksas pakalpojumi un pašu ieņēmumi</t>
  </si>
  <si>
    <t>Pašvaldības nodeva par būvatļaujas izdošanu vai būvniecības ieceres akceptu</t>
  </si>
  <si>
    <t>Kompensācijas, kuras izmaksā personām, pamatojoties uz Latvijas tiesu, Eiropas Savienības Tiesas, Eiropas Cilvēktiesību tiesas nolēmumiem</t>
  </si>
  <si>
    <t>Līdzfinansējums biedrībām projektu realizēšanai</t>
  </si>
  <si>
    <t>Zaļo un dārza atkritumu laukuma apsaimniekošana</t>
  </si>
  <si>
    <t>Inčukalna kopienas centrs</t>
  </si>
  <si>
    <t>Dziesmu svētki</t>
  </si>
  <si>
    <t>Skolu asistentu pakalpojumi</t>
  </si>
  <si>
    <t>Skolēnu stipendijas</t>
  </si>
  <si>
    <t>09.610</t>
  </si>
  <si>
    <t>Izglītojamo pārvadājumu pakalpojumi</t>
  </si>
  <si>
    <t>Izglītojamo pārvadājumi</t>
  </si>
  <si>
    <t>09.620</t>
  </si>
  <si>
    <t>Izglītojamo ēdināšanas pakalpojumi</t>
  </si>
  <si>
    <t>96201</t>
  </si>
  <si>
    <t>Izglītojamo ēdināšana PII Ābelīte</t>
  </si>
  <si>
    <t>96202</t>
  </si>
  <si>
    <t>Izglītojamo ēdināšana PII Pīlādzītis</t>
  </si>
  <si>
    <t>96203</t>
  </si>
  <si>
    <t>Izglītojamo ēdināšana PII Saulīte</t>
  </si>
  <si>
    <t>96204</t>
  </si>
  <si>
    <t>Izglītojamo ēdināšana PII Ieviņa</t>
  </si>
  <si>
    <t>96205</t>
  </si>
  <si>
    <t>Izglītojamo ēdināšana Allažu pamatskolas PII grupas</t>
  </si>
  <si>
    <t>96206</t>
  </si>
  <si>
    <t>Izglītojamo ēdināšana PII Pasaciņa</t>
  </si>
  <si>
    <t>96207</t>
  </si>
  <si>
    <t>Izglītojamo ēdināšana PII Tornīši</t>
  </si>
  <si>
    <t>96208</t>
  </si>
  <si>
    <t>Izglītojamo ēdināšana PII Māllēpīte</t>
  </si>
  <si>
    <t>96209</t>
  </si>
  <si>
    <t>Izglītojamo ēdināšana PII Minka</t>
  </si>
  <si>
    <t>96210</t>
  </si>
  <si>
    <t>Izglītojamo ēdināšana PII Krimulda</t>
  </si>
  <si>
    <t>96211</t>
  </si>
  <si>
    <t>Izglītojamo ēdināšana PII Ezerciems</t>
  </si>
  <si>
    <t>96214</t>
  </si>
  <si>
    <t>Izglītojamo ēdināšana Inčukalna pamatskolas PII grupas</t>
  </si>
  <si>
    <t>96216</t>
  </si>
  <si>
    <t>Izglītojamo ēdināšana Siguldas Valsts ģimnāzija</t>
  </si>
  <si>
    <t>96217</t>
  </si>
  <si>
    <t>Izglītojamo ēdināšana Siguldas sākumskola Laurenči</t>
  </si>
  <si>
    <t>96218</t>
  </si>
  <si>
    <t>Izglītojamo ēdināšana Siguldas 1.pamatskola</t>
  </si>
  <si>
    <t>96219</t>
  </si>
  <si>
    <t>Izglītojamo ēdināšana Siguldas pilsētas vidusskola</t>
  </si>
  <si>
    <t>96220</t>
  </si>
  <si>
    <t>Izglītojamo ēdināšana Mores pamatskola</t>
  </si>
  <si>
    <t>96221</t>
  </si>
  <si>
    <t>Izglītojamo ēdināšana Allažu pamatskola</t>
  </si>
  <si>
    <t>96222</t>
  </si>
  <si>
    <t>Izglītojamo ēdināšana Mālpils vidusskola</t>
  </si>
  <si>
    <t>96223</t>
  </si>
  <si>
    <t>Izglītojamo ēdināšana Inčukalna pamatskola</t>
  </si>
  <si>
    <t>96224</t>
  </si>
  <si>
    <t>Izglītojamo ēdināšana Krimuldas vidusskola</t>
  </si>
  <si>
    <t>96225</t>
  </si>
  <si>
    <t>Izglītojamo ēdināšana Lēdurgas pamatskola</t>
  </si>
  <si>
    <t>09.630</t>
  </si>
  <si>
    <t>Izglītojamo izmitināšanas pakalpojumi</t>
  </si>
  <si>
    <t>Izglītojamo izmitināšana Siguldas sākumskola Laurenči</t>
  </si>
  <si>
    <t>10922</t>
  </si>
  <si>
    <t>Atbalsts Ukraiņu civiliedzīvotājiem</t>
  </si>
  <si>
    <t>Budžeta iestādes saņemtā atlīdzība no apdrošināšanas sabiedrības par bojātu NĪP un kustamo mantu, tai skaitā autov cietušu a/m</t>
  </si>
  <si>
    <t>20.12.2040</t>
  </si>
  <si>
    <t>07.05.2021</t>
  </si>
  <si>
    <t>03.10.2017</t>
  </si>
  <si>
    <t>20.03.2032</t>
  </si>
  <si>
    <t>22.02.2038</t>
  </si>
  <si>
    <t>P-305/2021- Enerģētikas ielas un tās inženierkomunikāciju pārbūve īstenošanai</t>
  </si>
  <si>
    <t>15.11.2022</t>
  </si>
  <si>
    <t>20.10.2037</t>
  </si>
  <si>
    <t>17.11.2022</t>
  </si>
  <si>
    <t>30.11.2022</t>
  </si>
  <si>
    <t>20.11.2025</t>
  </si>
  <si>
    <t>infrastruktūras uzlabošana A1/1/18/816</t>
  </si>
  <si>
    <t>infrastruktūras uzlabošana A1/1/16/368</t>
  </si>
  <si>
    <t>infrastruktūras uzlabošana A1/1/14/898</t>
  </si>
  <si>
    <t>5103</t>
  </si>
  <si>
    <t xml:space="preserve">Teritorijas attīstības pārvalde (Īpašumu un Investīciju nodaļas)
</t>
  </si>
  <si>
    <t>Īpašumu un teritorijas uzturēšana Inčukalnā</t>
  </si>
  <si>
    <t>Īpašumu un teritorijas uzturēšana Mālpilī</t>
  </si>
  <si>
    <t>Īpašumu un teritorijas uzturēšana Raganā</t>
  </si>
  <si>
    <t>Īpašumu un teritorijas uzturēšana Lēdurgā</t>
  </si>
  <si>
    <t>Jūdažu bibliotēka un sabiedriskais centrs</t>
  </si>
  <si>
    <t>Krimuldas pagasta bibliotēka</t>
  </si>
  <si>
    <t>823901</t>
  </si>
  <si>
    <t>9230</t>
  </si>
  <si>
    <t>9232</t>
  </si>
  <si>
    <t>9610</t>
  </si>
  <si>
    <t>9630</t>
  </si>
  <si>
    <t>Atbalsts ģimenēm ar bērniem</t>
  </si>
  <si>
    <t>Bērnudārzu asistentu pakalpojumi</t>
  </si>
  <si>
    <t>Izglītības un sporta pārvaldes Izglītības nodaļa</t>
  </si>
  <si>
    <t>Administrācija un mārketinga nodaļa</t>
  </si>
  <si>
    <t>Tūrisma nodaļa</t>
  </si>
  <si>
    <t>Attīstības projektu un uzņēmējdarbības nodaļa</t>
  </si>
  <si>
    <t>Pilsētas plānošanas nodaļa (līdz 31.08.2023)</t>
  </si>
  <si>
    <t>Sabiedrisko attiecību nodaļa (līdz 31.08.2023)</t>
  </si>
  <si>
    <t>Sabiedrisko attiecību pārvalde</t>
  </si>
  <si>
    <t>1116</t>
  </si>
  <si>
    <t>Pārējie iepriekš neklasificētie īpašiem mērķiem noteiktie ieņēmumi</t>
  </si>
  <si>
    <t>Nr. p. k.</t>
  </si>
  <si>
    <t>P-279/2023 Nekustamā īpašuma Raiņa ielā 3, Siguldā, iegāde investīciju īstenošanai</t>
  </si>
  <si>
    <t>11.09.2023</t>
  </si>
  <si>
    <t>P-280/2023 Livonijas ordeņa Siguldas pils vēsturiskā mūra ārkārtas atjaunošana Pils ielā 18, Siguldā, Siguldas novadā</t>
  </si>
  <si>
    <t>20.08.2043</t>
  </si>
  <si>
    <t>P-295/2023 Rūpniecības ielas seguma atjaunošana Lēdurgā, Lēdurgas pagastā, Siguldas novadā</t>
  </si>
  <si>
    <t>13.09.2023</t>
  </si>
  <si>
    <t>96</t>
  </si>
  <si>
    <t>97</t>
  </si>
  <si>
    <t>98</t>
  </si>
  <si>
    <t>P-299/2023 Kantora, Zvaigžņu, Mēness ielu pārbūve Sidgundas ciemā, Siguldas novadā</t>
  </si>
  <si>
    <t>Valdības funkcija</t>
  </si>
  <si>
    <t>Ieņēmumi par nomu un īri</t>
  </si>
  <si>
    <t>Sporta centra pakalpojumi</t>
  </si>
  <si>
    <t>Vēlēšanu komisija</t>
  </si>
  <si>
    <t>Iemaksas Finanšu izlīdzināšanas fondā</t>
  </si>
  <si>
    <t>Operatīvās komunikācijas centrs</t>
  </si>
  <si>
    <t>Līdzdalības budžeta projekti</t>
  </si>
  <si>
    <t>Izglītības un sporta pārvaldes Sporta nodaļa</t>
  </si>
  <si>
    <t>Budžeta līdzekļu atlikums 01.01.2024.</t>
  </si>
  <si>
    <t>Budžeta līdzekļu atlikums 31.12.2024.</t>
  </si>
  <si>
    <t>Siguldas novada pašvaldības 2024. gada saistību apmērs saimnieciskajā gadā un turpmākajos gados</t>
  </si>
  <si>
    <t>1115</t>
  </si>
  <si>
    <t>1832</t>
  </si>
  <si>
    <t>3201</t>
  </si>
  <si>
    <t>4741</t>
  </si>
  <si>
    <r>
      <t xml:space="preserve">BUDŽETA IEŅĒMUMI ATBILSTOŠI </t>
    </r>
    <r>
      <rPr>
        <b/>
        <u/>
        <sz val="14"/>
        <rFont val="Times New Roman"/>
        <family val="1"/>
        <charset val="186"/>
      </rPr>
      <t>EKONOMISKAI KATEGORIJAI</t>
    </r>
  </si>
  <si>
    <r>
      <t xml:space="preserve">BUDŽETA IZDEVUMI ATBILSTOŠI </t>
    </r>
    <r>
      <rPr>
        <b/>
        <u/>
        <sz val="14"/>
        <rFont val="Times New Roman"/>
        <family val="1"/>
        <charset val="186"/>
      </rPr>
      <t>EKONOMISKAI KATEGORIJAI</t>
    </r>
  </si>
  <si>
    <r>
      <t xml:space="preserve">BUDŽETA IZDEVUMI ATBILSTOŠI </t>
    </r>
    <r>
      <rPr>
        <b/>
        <u/>
        <sz val="14"/>
        <rFont val="Times New Roman"/>
        <family val="1"/>
        <charset val="186"/>
      </rPr>
      <t>FUNKCIONĀLAI KATEGORIJAI</t>
    </r>
  </si>
  <si>
    <t>Sagatavoja Ekonomikas nodaļas vadītāja/ galvenā ekonomiste I.Kalpiša-Āboliņa</t>
  </si>
  <si>
    <t>Citas nozares</t>
  </si>
  <si>
    <t>Ugunsdrošības, ugunsdzēsības, glābšanas un civilās drošības dienesti</t>
  </si>
  <si>
    <t>Vispārējas vadības sektora parāda darījumi</t>
  </si>
  <si>
    <t>24</t>
  </si>
  <si>
    <t>P-297/2023 Tīnes ielas seguma atjaunošana Upmalās, Mālpils pagastā, Siguldas novadā</t>
  </si>
  <si>
    <t>28.11.2023</t>
  </si>
  <si>
    <t>20.11.2043</t>
  </si>
  <si>
    <t>29.12.2023</t>
  </si>
  <si>
    <t>20.12.2048</t>
  </si>
  <si>
    <t>"Centralizētās notekūdeņu savākšanas sistēmas ierīkošana Inčukalnā" A1/1/19/269</t>
  </si>
  <si>
    <t>"Centralizētās notekūdeņu savākšanas sistēmas ierīkošana Inčukalnā" 2.kārta A1/1/18/391</t>
  </si>
  <si>
    <t>ERAF projekts "Ūdenssaimniecības attīstība Inčukalna novada Inčukalna ciemā"  A1/1/14/713</t>
  </si>
  <si>
    <t>P-388/2023 Projekts  "PII "Tornīši" āra kāpņu un atbalsta sienu atjaunošana un āra nojumju pārbūve"</t>
  </si>
  <si>
    <t>P-389/2023 Projekts  "Mālpils Kultūras centra pārbūves darbi un inženiertīklu ierīkošana Nākotnes ielā 5, Mālpilī, Mālpils pagastā, Siguldas novadā"</t>
  </si>
  <si>
    <t>3.  pielikums
 Siguldas novada pašvaldības 2024. gada 2. aprīļa saistošajiem noteikumiem Nr. 14
"Grozījumi Siguldas novada pašvaldības domes 2024. gada 15. februāra 
saistošajos noteikumos Nr. 4 "Par Siguldas novada pašvaldības budžetu 2024. gadam"  (prot. Nr. 6, 2. §)</t>
  </si>
  <si>
    <t>P-205/2015 – Siguldas pils kompleksa saimn. ēkas Pils ielā 16 pārbūve</t>
  </si>
  <si>
    <t>P-256/2015 – Jumta siltināšana un seguma atjaunošana sporta zāles fasādes, vestibila un 2 klašu remonts Siguldas 1. pamatskolā</t>
  </si>
  <si>
    <t>P-257/2015 – Fasādes un iekštelpu remonts, skatuves iekārtu iegāde un uzstādīšana, koncertzāles akustisko paneļu iegāde, uzstādīšanas ventilācijas modernizācija, ''Baltais flīģelis''</t>
  </si>
  <si>
    <t>P-326/2015 – PII Saulīte teritorijas labiekārtošanas darbu veikšana</t>
  </si>
  <si>
    <t>P-327/2015 – PII Ābelīte remonts</t>
  </si>
  <si>
    <t>P-328/2015 – Laurenču sākumskolas pagrabstāva rekonstrukcija / pārbūve un kāpņu izbūve Laurenču ielā 7, Siguldā, Siguldas novadā</t>
  </si>
  <si>
    <t>P-353/2015 – Pils ielas no Cēsu ielas līdz Raiņa ielai un Cēsu ielas no Raiņa ielas līdz Pils ielai asfaltbetona seguma vienlaidus remonts Siguldā, Siguldas novadā.</t>
  </si>
  <si>
    <t>P-433/2015 – Autostāvvietu izbūve Institūta ielā un Mores ielā, Peltēs, Siguldas pagastā, Siguldas novadā</t>
  </si>
  <si>
    <t>P-434/2015 – Gājēju celiņa izbūve Zaļkalna ielā un Klusās ielas pārbūve Allažu pagastā, Siguldas novadā</t>
  </si>
  <si>
    <t>P-429/2015 – Ēkas Skolas ielā 3, Siguldā, Siguldas novadā, telpu remonts pirmsskolas izglītības iestādes darbības nodrošināšanai</t>
  </si>
  <si>
    <t>P-436/2015 – Siguldas novada pašvaldības ceļu un ielu investīciju projekts – 4 objekti</t>
  </si>
  <si>
    <t>P-21/2016 – Siguldas sporta kompleksa projektēšana un būvniecība</t>
  </si>
  <si>
    <t>P-178/2016 – Fasādes remonts Siguldas Mākslu skolā "Baltais Flīģelis"</t>
  </si>
  <si>
    <t>P-179/2016 – Dienesta viesnīcas ēkas pārbūve par Laurenču sākumskolas mācību korpusu Puķu ielā 2, Siguldā</t>
  </si>
  <si>
    <t>P-341/2016 – Laurenču ielas atjaunošana Siguldā, P-341/2016</t>
  </si>
  <si>
    <t>P-342/2016 – Gājēju celiņa izbūve Strēlnieku ielā posmā no Pulkveža Brieža ielas līdz Gāles ielai, P 342/2016</t>
  </si>
  <si>
    <t>P-343/2016 – Siguldas novada administrācijas un kultūras nama ēkas vienkāršotā atjaunošana Zinātnes ielā 7</t>
  </si>
  <si>
    <t>P-354/2016 – Televīzijas ielas pārbūve posmā no Līvkalna ielas līdz Dārza ielai, Siguldā, Siguldas novadā</t>
  </si>
  <si>
    <t>P-379/2016 – Jaunās Laurenču sākumskolas mācību korpusu automašīnu stāvlaukuma izbūve</t>
  </si>
  <si>
    <t>P-380/2016 – Līvkalna ielas pārbūve posmā no Krišjāņa Barona ielas līdz Televīzijas ielai Siguldā, Siguldas novadā</t>
  </si>
  <si>
    <t>P-69/2017 – Siguldas novada administrācijas un kultūras nama ēkas vienkāršotā atjaunošana Zinātnes ielā II</t>
  </si>
  <si>
    <t>P-335/2017 – Kalna ielas (no valsts galvenā autoceļa A2 līdz Noliktavu ielai) asfaltbetona seguma vienlaidus remonts Siguldā, Siguldas novadā.</t>
  </si>
  <si>
    <t>P-329/2017 – Lakstīgalas, Ziedu, Lāčplēša (no Ziedu ielas līdz Jāņa Čakstes ielai), Jāņa Čakstes ielas asfaltbetona seguma vienlaidus remonts Siguldā, Siguldas novadā</t>
  </si>
  <si>
    <t>P-533/2017 – Autoceļa A2-Mednieki-V85(Jūdaži) grants seguma remonts Siguldas pagastā, Siguldas novadā</t>
  </si>
  <si>
    <t>P-534/2017 – Uzņēmējdarbības atbalsta pasākumi Siguldas novada pašvaldības ražošanas apbūvei piegulošajās teritorijās" īstenošanai</t>
  </si>
  <si>
    <t>P-594/2017 – Nākotnes ielas pārbūve posmā no Tilta ielas līdz Riekstu ielai</t>
  </si>
  <si>
    <t>P-78/2018 – ERAF 5.6.2.0/16/I/020 – Siguldas Pils kompleksa ēku pārbūve, revitalizācija uzņēmējdarbības atbalstam</t>
  </si>
  <si>
    <t>P-77/2018 – ERAF 5.6.2.0/16/I/020 – Siguldas Pils kompleksa ēku pārbūve, revitalizācija uzņēmējdarbības atbalstam</t>
  </si>
  <si>
    <t>P-139/2018 – pašvald. autonomo funkciju veikš.nepieciešamā transporta (jauna autobusa) iegāde</t>
  </si>
  <si>
    <t>P-447/2018 – sociālo iestāžu investīciju projekta "Sociālās aprūpes mājas "Gaismiņas", Stīveros, Allažu pagastā, Siguldas novadā vienkāršotā fasādes atjaunošana" īstenošanai</t>
  </si>
  <si>
    <t>P-439/2018 – ERAF Uzņēmējdarbības veicināšanai nepieciešamās intrastruktūras attīstība, Rūpniecības iela</t>
  </si>
  <si>
    <t>P-416/2018 – ERAF Uzņēmējdarbības veicināšanai nepieciešamās infrastruktūras attīstība, Rikteres iela</t>
  </si>
  <si>
    <t>PP-21/2018 – Investīciju projektu īstenošanai (saistību pārjaunošana)</t>
  </si>
  <si>
    <t>P-517/2018 – Siguldas novada pašvaldības pirmsskolas izglītības iestāžu un Allažu pamatskolas iekštelpu atjaunošana</t>
  </si>
  <si>
    <t>P-534/2018 – ERAF Uzņēmējdarbības veicināšanai nepieciešamās infrastruktūras attīstība, Piena iela</t>
  </si>
  <si>
    <t>P-540/2018 – Miera ielas seguma pārbūve un asfaltbetona virskārtas atjaunošana Pulkveža Brieža ielā, Siguldā, Siguldas novadā, Lāčplēša ielā, Siguldā, Siguldas novadā, Birztalu ielā, Allažos, Siguldas novadā</t>
  </si>
  <si>
    <t>P-693/2018 – Grants seguma atjaunošana un apaugumu noņemšana autoceļiem Siguldas novadā</t>
  </si>
  <si>
    <t xml:space="preserve">
P-710/2018 – ERAF projekta (Nr.5.5.1.0/17/I/004) "Kultūra, vēsture, arhitektūra Gaujas un laika lokos" īstenošanai
</t>
  </si>
  <si>
    <t>P-25/2019, A2.1.19/55 – ERAF projekta (Nr.8.1.2.0/17/I/005) "Siguldas Valsts ģimnāzijas un Siguldas 1.pamatskolas atjaunošana, pārbūve un materiāltehniskās bāzes modernizācija" īstenošanai</t>
  </si>
  <si>
    <t>P-68/2019 – Grants autoceļa 9427 P8-"Pelītes"(posmā no valsts reģionālā autoceļa P8 Inciems-Sigulda-Ķegums līdz autoceļam 9427 "Egles"-"Rugāji"pārbūve Siguldas pagastā, Siguldas novadā</t>
  </si>
  <si>
    <t>P-67/2019 – Meldru ielas un Doņu ielas pārbūve Siguldā, Siguldas novadā</t>
  </si>
  <si>
    <t>PP-11/2019 – Investīciju projektu īstenošana</t>
  </si>
  <si>
    <t>P-267/2019 – Starptautiski nozīmīga pasākuma nodrošināšanai nepieciešamās Peldu ielas, Siguldā, Siguldas novadā, avārijas seku likvidēšanai</t>
  </si>
  <si>
    <t>P-285/2019 – ERAF projekta "Kultūra, vēsture, arhitektūra Gaujas un laika lokos" īstenošanai</t>
  </si>
  <si>
    <t>P-72/2020 – ELFLA projekta"Siguldas novada pašvaldības trīs grants ceļu posmu pārbūve Allažu um Mores pagastos"īstenošanai</t>
  </si>
  <si>
    <t>P-248/2020 – projekta "Atbrīvotāju ielas pārbūve" īstenošanai</t>
  </si>
  <si>
    <t>P-247/2020 – projekta "Pirmsskolas izglītības iestādes "Tornīši" un Allažu pamatskolas izglītības grupu paplašināšana" īstenošanai</t>
  </si>
  <si>
    <t>P-293/2020 – ERAF projekta (Nr.5.5.1.0/17/I/004) "Kultūra, vēsture, arhitektūra Gaujas un laika lokos" īstenošanai</t>
  </si>
  <si>
    <t>P-359/2020 – Projekta "Jaunās un Krasta ielas pārbūve"īstenošanai</t>
  </si>
  <si>
    <t>P-480/2020 – ERAF projekta (Nr.5.5.1.0/17/I/004) "Kultūra, vēsture, arhitektūra Gaujas un laika lokos" īstenošanai</t>
  </si>
  <si>
    <t>P-481/2020 – ERAF projekta (Nr.8.1.2.0/17/I/005) "Siguldas Valsts ģimnāzijas un Siguldas 1.pamatskolas atjaunošana, pārbūve un materiāltehniskās bāzes modernizācija" īstenošanai</t>
  </si>
  <si>
    <t>P-131/2021 – Krimuldas vidusskolas stadiona rekonstrukcijai</t>
  </si>
  <si>
    <t>P-201/2021 – projekta "Jūdažu ielas pārbūve Siguldā, Siguldas novadā" īstenošanai</t>
  </si>
  <si>
    <t>P-304/2021 – Vainagu ielas pārbūve Siguldā, Siguldas novadā īstenošanai</t>
  </si>
  <si>
    <t>P-395/2021 – projekta "Mālpils novada vidusskolas mācību telpu remonts un labiekārtošana, elektrosadales tīkla pārbūve" īstenošanai</t>
  </si>
  <si>
    <t>P-396/2021 – ERAF projekta (Nr.3.3.1.0/20/I/015) "Uzņēmējdarbības atbalsta pasākumi Siguldas novada pašvaldības ražošanas apbūvei pieguļošajās teritorijās – Limbu ceļa pārbūve" īstenošanai</t>
  </si>
  <si>
    <t>P-487/2021 – KF projekta (Nr.5.2.1.2/20/A/001) "Zaļo un dārza atkritumu kompostēšanas laukuma izveide Siguldas novadā" īstenošanai</t>
  </si>
  <si>
    <t>P-488/2021 – ERAF projekta (Nr.5.6.2.0/20/I/006) "Lauku ielas pārbūve, teritorijas revitalizācija uzņēmējdarbības atbalstam" īstenošanai</t>
  </si>
  <si>
    <t>P-568/2021 – projekta "Amatu mājas izglītības iestādes mājturības, tehnoloģiju un mākslas nodarbībām, mūžizglītības pasākumiem un amatu prasmju darbnīcu izveidei pārbūve" īstenošanai</t>
  </si>
  <si>
    <t>P-20/2022 – ERAF projekta "Grupu mājas būvniecība sociālo un atelpas brīža pakalpojumu nodrošināšanai Siguldas novadā"</t>
  </si>
  <si>
    <t>P-183/2022 – Multifunkcionāla aktīvās atpūtas parka un sporta laukuma būvniecība Raiņa parkā, Siguldā</t>
  </si>
  <si>
    <t>P-237/2022 – Projekta "Grants ceļa Baņģi – Pilskalni pārbūve" investīciju īstenošanai</t>
  </si>
  <si>
    <t>P-236/2022 – Projekta "Komunikāciju remontdarbi Inčukalna pirmsskolas izglītības iestādē "Minka" Inčukalnā" investīciju īstenošanai</t>
  </si>
  <si>
    <t>P-235/2022 – Projekta "Inčukalna pamatskolas virtuves bloka remontdarbi" investīciju īstenošanai</t>
  </si>
  <si>
    <t>P-234/2022 – projekta"Mālpils vidusskolas virtuves bloka un ēdamzāles telpu apdares un komunikāciju remontdarbi" investīciju īstenošanai"</t>
  </si>
  <si>
    <t>P-355/2022 – projekta "Vecās pasta ēkas Atmodas ielā 2, Inčukalnā, atjaunošana un funkcija maiņa" investīciju īstenošanai</t>
  </si>
  <si>
    <t>P-356/2022 – prioritārā investīciju projekta "Siguldas sporta skolas siltumapgādes rekonstrukcija" īstenošanai</t>
  </si>
  <si>
    <t>P-357/2022 – projekta "Remontdarbi pirmsskolas iestadē "Ezerciems"" investīciju īstenošanai</t>
  </si>
  <si>
    <t>P-358/2022 – projekta "Komunikāciju un konstrukciju remontdarbi "Mālpils pirmsskolas izglītības iestadē "Māllēpīte"" investīciju īstenošanai</t>
  </si>
  <si>
    <t>P-359/2022 – projekta "Apkures sistēmas izbūve Garlība Merķeļa Lēdurgas pamatskolā" investīciju īstenošanai</t>
  </si>
  <si>
    <t>P-367/2022 – budžeta un finanšu vadībai</t>
  </si>
  <si>
    <t>P-469/2020 – Projekta "Grants ceļa Sidgunda–Ezeri–Kārde"2. un 3. posma īstenošanai</t>
  </si>
  <si>
    <t>P-394/2021 – projekta "Grants ceļa Baņģi–Pilskalni pārbūve" īstenošanai</t>
  </si>
  <si>
    <t>P-296/2023 Ceļa posmu 6837 (Laimas–Vējiņi–meh.sektors–Valmieras ceļš) un 6838 (Ceļš uz mehānisko sektoru) seguma atjaunošana Raganā, Krimuldas pagastā, Siguldas novadā</t>
  </si>
  <si>
    <t>P-298/2023 Autoceļa 6831 (Putniņi–Staņģi) seguma atjaunošana Krimuldas pagastā, Siguldas novadā</t>
  </si>
  <si>
    <t>A1/1/18/472 – Galvojums "Ūdenssaimniecības pakalpojumu attīstība Siguldas notekūdeņu aglomerācijā V.kārta, Nr.5.3.1.0/16/I/001</t>
  </si>
  <si>
    <t>A1/1/20/549 – Projekta "Ūdensapgādes tīklu paplašināšanas būvdarbi Eiropas Savienības Kohēzijas fonda līdzfinansētā ūdenssaimniecības projekta "Ūdenssaimniecības pakalpojumu attīstība Siguldas notekūdeņu aglomerācijā, V kārta" Nr.5.3.1.0/16/I/001 aktivitāšu teritorijā"  īstenošanai</t>
  </si>
  <si>
    <t>KF projekti siltumenerģijas ražošanas efektivitātes paaugstināš., zudumu samazināšana"</t>
  </si>
  <si>
    <r>
      <t xml:space="preserve">Siguldas novada pašvaldības domes priekšsēdētājs </t>
    </r>
    <r>
      <rPr>
        <i/>
        <sz val="12"/>
        <rFont val="Times New Roman"/>
        <family val="1"/>
        <charset val="186"/>
      </rPr>
      <t>L. Kumskis</t>
    </r>
  </si>
  <si>
    <t>P-71/2020 – ELFLA projekta"Siguldas novada pašvaldības trīs grants ceļu posmu pārbūve Siguldas um Mores pagastos" īstenošanai</t>
  </si>
  <si>
    <t>P-110/2020 – ELFLA projekta "Grants ceļu atjaunošana Mālpils novadā" īstenošanai</t>
  </si>
  <si>
    <t>P-401/2023 ES fondu projekts "Dienas aprūpes centrs personām ar garīga rakstura traucējumiem un sociālās rehabilitācijas pakalpojumi bērniem ar funkcionāliem traucējumiem Krimuldas novadā"</t>
  </si>
  <si>
    <t>A1/1/20/551-KF projekta Nr.5.3.1.0/16/I/001 "Ūdenssaimniecības pakalpojumu attīstība Siguldas notekūdeņu aglomerācijā, V kārta"  īstenošanai</t>
  </si>
  <si>
    <t>P-69/2019 – EKII projekta(Nr.EKII-1/5) – "Siltumnīcefekta gāzu emisiju samazināšana valsts nozīmes arhitektūras piemineklī Nr.8333 "Jaunā pils"" īstenošanai</t>
  </si>
  <si>
    <t>P-68/2017 – EKII projekta (Nr.EKII-2/6) Siltumnīcefekta gāzu emisiju samazināšana Siguldas novada Kultūras centra ēkā</t>
  </si>
  <si>
    <t>P-199/2017 – Pulkv. Brieža ielas (no P.Brieža, Lauktehnikas un Vildogas ielām) apļveida krustojuma atjaunošana</t>
  </si>
  <si>
    <t>P-448/2018 – Grants seguma atjaunošana un apaugumu noņemšana autoceļiem: Pullēni–Strazdiņi; Vecumnieki–Bisenieki; Vecumnieki–Pullēni; Baznīca–kapliča; Pansionāts–Alkšņi un autoceļam: Kalni–Pādes, Allažu pagastā, Siguldas novadā</t>
  </si>
  <si>
    <t>SIGULDAS NOVADA PAŠVALDĪBAS PAMATBUDŽETA IZDEVUMU  TĀME 2024. GADAM</t>
  </si>
  <si>
    <t>2.  pielikums
 Siguldas novada pašvaldības 2024. gada 2. aprīļa saistošajiem noteikumiem Nr. 14
"Grozījumi Siguldas novada pašvaldības domes 2024. gada 15. februāra 
saistošajos noteikumos Nr. 4 "Par Siguldas novada pašvaldības budžetu 2024. gadam”  (prot. Nr. 6, 2. §)</t>
  </si>
  <si>
    <t xml:space="preserve">1. pielikums
 Siguldas novada pašvaldības 2024. gada 2. aprīļa saistošajiem noteikumiem Nr. 14
"Grozījumi Siguldas novada pašvaldības domes 2024. gada 15. februāra 
saistošajos noteikumos Nr. 4 "Par Siguldas novada pašvaldības budžetu 2024. gadam" (prot. Nr. 6, 2. §)
</t>
  </si>
  <si>
    <t xml:space="preserve">SIGULDAS NOVADA PAŠVALDĪBAS BUDŽETS 2024. GADAM </t>
  </si>
  <si>
    <t>Sagatavoja Ekonomikas nodaļas vadītāja/ galvenā ekonomiste I. Kalpiša-Āboliņa</t>
  </si>
  <si>
    <t>P-242/2018 – Mores amatu māja – Ēdnīcas pārbūve par Amatu māju, katlu mājas pārbūve par sociālās aprūpes centru un katlu mājas novietošana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</si>
</sst>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  <charset val="186"/>
    </font>
    <font>
      <sz val="10"/>
      <color rgb="FF000000"/>
      <name val="Arial"/>
      <family val="2"/>
      <charset val="186"/>
    </font>
    <font>
      <sz val="10"/>
      <name val="Arial"/>
      <family val="2"/>
      <charset val="186"/>
    </font>
    <font>
      <b/>
      <sz val="14"/>
      <color rgb="FF35383A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i/>
      <sz val="12"/>
      <name val="Times New Roman"/>
      <family val="1"/>
      <charset val="186"/>
    </font>
    <font>
      <b/>
      <sz val="14"/>
      <name val="Times New Roman"/>
      <family val="1"/>
      <charset val="186"/>
    </font>
    <font>
      <b/>
      <u/>
      <sz val="14"/>
      <name val="Times New Roman"/>
      <family val="1"/>
      <charset val="186"/>
    </font>
    <font>
      <i/>
      <sz val="14"/>
      <name val="Times New Roman"/>
      <family val="1"/>
      <charset val="186"/>
    </font>
    <font>
      <sz val="14"/>
      <name val="Times New Roman"/>
      <family val="1"/>
      <charset val="186"/>
    </font>
    <font>
      <b/>
      <i/>
      <sz val="12"/>
      <name val="Times New Roman"/>
      <family val="1"/>
      <charset val="186"/>
    </font>
    <font>
      <sz val="12"/>
      <color rgb="FFFF0000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0"/>
      <color rgb="FF000000"/>
      <name val="Times New Roman"/>
      <family val="1"/>
      <charset val="186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CCFFFF"/>
      </patternFill>
    </fill>
    <fill>
      <patternFill patternType="solid">
        <fgColor rgb="FFF9F9F9"/>
      </patternFill>
    </fill>
    <fill>
      <patternFill patternType="solid">
        <fgColor rgb="FFF5F5F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ill="0" applyBorder="0" applyAlignment="0" applyProtection="0"/>
    <xf numFmtId="0" fontId="1" fillId="0" borderId="0"/>
    <xf numFmtId="0" fontId="2" fillId="0" borderId="0"/>
  </cellStyleXfs>
  <cellXfs count="233">
    <xf numFmtId="0" fontId="0" fillId="0" borderId="0" xfId="0"/>
    <xf numFmtId="0" fontId="5" fillId="0" borderId="0" xfId="0" applyFont="1"/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3" fontId="7" fillId="2" borderId="0" xfId="0" applyNumberFormat="1" applyFont="1" applyFill="1" applyAlignment="1">
      <alignment horizontal="center" vertical="center" wrapText="1"/>
    </xf>
    <xf numFmtId="0" fontId="8" fillId="0" borderId="0" xfId="0" applyFont="1"/>
    <xf numFmtId="0" fontId="5" fillId="2" borderId="0" xfId="0" applyFont="1" applyFill="1"/>
    <xf numFmtId="3" fontId="7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right" vertical="center" indent="1"/>
    </xf>
    <xf numFmtId="0" fontId="8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7" fillId="6" borderId="1" xfId="1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8" fillId="0" borderId="0" xfId="1" applyFont="1"/>
    <xf numFmtId="0" fontId="5" fillId="0" borderId="0" xfId="1" applyFont="1"/>
    <xf numFmtId="3" fontId="7" fillId="4" borderId="1" xfId="1" applyNumberFormat="1" applyFont="1" applyFill="1" applyBorder="1" applyAlignment="1">
      <alignment horizontal="right" vertical="center" indent="1"/>
    </xf>
    <xf numFmtId="3" fontId="8" fillId="0" borderId="0" xfId="1" applyNumberFormat="1" applyFont="1"/>
    <xf numFmtId="0" fontId="7" fillId="3" borderId="1" xfId="1" applyFont="1" applyFill="1" applyBorder="1" applyAlignment="1">
      <alignment horizontal="center" vertical="center" wrapText="1"/>
    </xf>
    <xf numFmtId="3" fontId="7" fillId="5" borderId="1" xfId="1" applyNumberFormat="1" applyFont="1" applyFill="1" applyBorder="1" applyAlignment="1">
      <alignment horizontal="right" vertical="center" indent="1"/>
    </xf>
    <xf numFmtId="0" fontId="5" fillId="3" borderId="1" xfId="1" applyFont="1" applyFill="1" applyBorder="1" applyAlignment="1">
      <alignment horizontal="center" vertical="center" wrapText="1"/>
    </xf>
    <xf numFmtId="3" fontId="5" fillId="3" borderId="1" xfId="1" applyNumberFormat="1" applyFont="1" applyFill="1" applyBorder="1" applyAlignment="1">
      <alignment horizontal="right" vertical="center" indent="1"/>
    </xf>
    <xf numFmtId="3" fontId="5" fillId="0" borderId="1" xfId="1" applyNumberFormat="1" applyFont="1" applyBorder="1" applyAlignment="1">
      <alignment horizontal="right" vertical="center" indent="1"/>
    </xf>
    <xf numFmtId="0" fontId="7" fillId="3" borderId="0" xfId="1" applyFont="1" applyFill="1" applyAlignment="1">
      <alignment horizontal="center" vertical="center" wrapText="1"/>
    </xf>
    <xf numFmtId="3" fontId="7" fillId="7" borderId="1" xfId="1" applyNumberFormat="1" applyFont="1" applyFill="1" applyBorder="1" applyAlignment="1">
      <alignment horizontal="right" vertical="center" indent="1"/>
    </xf>
    <xf numFmtId="0" fontId="7" fillId="3" borderId="5" xfId="1" applyFont="1" applyFill="1" applyBorder="1" applyAlignment="1">
      <alignment horizontal="center" vertical="center" wrapText="1"/>
    </xf>
    <xf numFmtId="0" fontId="7" fillId="3" borderId="6" xfId="1" applyFont="1" applyFill="1" applyBorder="1" applyAlignment="1">
      <alignment horizontal="center" vertical="center" wrapText="1"/>
    </xf>
    <xf numFmtId="0" fontId="7" fillId="3" borderId="17" xfId="1" applyFont="1" applyFill="1" applyBorder="1" applyAlignment="1">
      <alignment horizontal="center" vertical="center" wrapText="1"/>
    </xf>
    <xf numFmtId="0" fontId="5" fillId="3" borderId="17" xfId="1" applyFont="1" applyFill="1" applyBorder="1" applyAlignment="1">
      <alignment horizontal="center" vertical="center" wrapText="1"/>
    </xf>
    <xf numFmtId="3" fontId="5" fillId="3" borderId="17" xfId="1" applyNumberFormat="1" applyFont="1" applyFill="1" applyBorder="1" applyAlignment="1">
      <alignment horizontal="right" vertical="center" indent="1"/>
    </xf>
    <xf numFmtId="0" fontId="5" fillId="3" borderId="16" xfId="1" applyFont="1" applyFill="1" applyBorder="1" applyAlignment="1">
      <alignment horizontal="center" vertical="center" wrapText="1"/>
    </xf>
    <xf numFmtId="3" fontId="5" fillId="3" borderId="16" xfId="1" applyNumberFormat="1" applyFont="1" applyFill="1" applyBorder="1" applyAlignment="1">
      <alignment horizontal="right" vertical="center" indent="1"/>
    </xf>
    <xf numFmtId="3" fontId="7" fillId="7" borderId="1" xfId="0" applyNumberFormat="1" applyFont="1" applyFill="1" applyBorder="1" applyAlignment="1">
      <alignment horizontal="right" vertical="center" indent="1"/>
    </xf>
    <xf numFmtId="3" fontId="8" fillId="0" borderId="0" xfId="0" applyNumberFormat="1" applyFont="1"/>
    <xf numFmtId="3" fontId="7" fillId="5" borderId="1" xfId="0" applyNumberFormat="1" applyFont="1" applyFill="1" applyBorder="1" applyAlignment="1">
      <alignment horizontal="right" vertical="center" indent="1"/>
    </xf>
    <xf numFmtId="0" fontId="7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3" fontId="5" fillId="3" borderId="1" xfId="0" applyNumberFormat="1" applyFont="1" applyFill="1" applyBorder="1" applyAlignment="1">
      <alignment horizontal="right" vertical="center" indent="1"/>
    </xf>
    <xf numFmtId="3" fontId="5" fillId="0" borderId="1" xfId="0" applyNumberFormat="1" applyFont="1" applyBorder="1" applyAlignment="1">
      <alignment horizontal="right" vertical="center" inden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7" fillId="2" borderId="0" xfId="0" applyNumberFormat="1" applyFont="1" applyFill="1" applyAlignment="1">
      <alignment horizontal="center" vertical="center"/>
    </xf>
    <xf numFmtId="3" fontId="5" fillId="2" borderId="0" xfId="0" applyNumberFormat="1" applyFont="1" applyFill="1" applyAlignment="1">
      <alignment horizontal="center" vertical="center"/>
    </xf>
    <xf numFmtId="0" fontId="11" fillId="0" borderId="0" xfId="0" applyFont="1"/>
    <xf numFmtId="0" fontId="12" fillId="2" borderId="0" xfId="0" applyFont="1" applyFill="1"/>
    <xf numFmtId="3" fontId="7" fillId="0" borderId="1" xfId="0" applyNumberFormat="1" applyFont="1" applyBorder="1" applyAlignment="1">
      <alignment horizontal="right" vertical="center" indent="1"/>
    </xf>
    <xf numFmtId="0" fontId="7" fillId="2" borderId="8" xfId="0" applyFont="1" applyFill="1" applyBorder="1" applyAlignment="1">
      <alignment horizontal="center" vertical="center"/>
    </xf>
    <xf numFmtId="0" fontId="5" fillId="2" borderId="1" xfId="0" applyFont="1" applyFill="1" applyBorder="1"/>
    <xf numFmtId="3" fontId="5" fillId="2" borderId="0" xfId="0" applyNumberFormat="1" applyFont="1" applyFill="1" applyAlignment="1">
      <alignment horizontal="right" vertical="center" indent="1"/>
    </xf>
    <xf numFmtId="0" fontId="6" fillId="2" borderId="0" xfId="0" applyFont="1" applyFill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3" fontId="5" fillId="2" borderId="0" xfId="0" applyNumberFormat="1" applyFont="1" applyFill="1"/>
    <xf numFmtId="0" fontId="7" fillId="2" borderId="0" xfId="0" applyFont="1" applyFill="1"/>
    <xf numFmtId="0" fontId="13" fillId="0" borderId="0" xfId="0" applyFont="1"/>
    <xf numFmtId="0" fontId="9" fillId="2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9" fillId="0" borderId="0" xfId="0" applyFont="1" applyAlignment="1">
      <alignment horizontal="right" vertical="center" indent="1"/>
    </xf>
    <xf numFmtId="49" fontId="5" fillId="0" borderId="0" xfId="2" applyNumberFormat="1" applyFont="1" applyAlignment="1">
      <alignment vertical="center" wrapText="1"/>
    </xf>
    <xf numFmtId="0" fontId="5" fillId="0" borderId="0" xfId="2" applyFont="1"/>
    <xf numFmtId="3" fontId="6" fillId="2" borderId="0" xfId="2" applyNumberFormat="1" applyFont="1" applyFill="1" applyAlignment="1">
      <alignment horizontal="right" wrapText="1"/>
    </xf>
    <xf numFmtId="0" fontId="7" fillId="0" borderId="0" xfId="2" applyFont="1"/>
    <xf numFmtId="0" fontId="5" fillId="0" borderId="11" xfId="2" applyFont="1" applyBorder="1" applyAlignment="1">
      <alignment horizontal="center" vertical="center" wrapText="1"/>
    </xf>
    <xf numFmtId="0" fontId="5" fillId="9" borderId="11" xfId="2" applyFont="1" applyFill="1" applyBorder="1" applyAlignment="1">
      <alignment horizontal="center" vertical="center" wrapText="1"/>
    </xf>
    <xf numFmtId="49" fontId="5" fillId="0" borderId="11" xfId="2" applyNumberFormat="1" applyFont="1" applyBorder="1" applyAlignment="1">
      <alignment horizontal="center" vertical="center"/>
    </xf>
    <xf numFmtId="49" fontId="5" fillId="0" borderId="11" xfId="2" applyNumberFormat="1" applyFont="1" applyBorder="1" applyAlignment="1">
      <alignment horizontal="left" vertical="center" wrapText="1"/>
    </xf>
    <xf numFmtId="3" fontId="5" fillId="0" borderId="11" xfId="2" applyNumberFormat="1" applyFont="1" applyBorder="1" applyAlignment="1">
      <alignment horizontal="right" vertical="center"/>
    </xf>
    <xf numFmtId="3" fontId="7" fillId="0" borderId="11" xfId="2" applyNumberFormat="1" applyFont="1" applyBorder="1" applyAlignment="1">
      <alignment horizontal="right" vertical="center"/>
    </xf>
    <xf numFmtId="0" fontId="5" fillId="0" borderId="0" xfId="2" applyFont="1" applyAlignment="1">
      <alignment horizontal="center" vertical="center"/>
    </xf>
    <xf numFmtId="49" fontId="5" fillId="0" borderId="12" xfId="2" applyNumberFormat="1" applyFont="1" applyBorder="1" applyAlignment="1">
      <alignment horizontal="center" vertical="center"/>
    </xf>
    <xf numFmtId="49" fontId="5" fillId="0" borderId="12" xfId="2" applyNumberFormat="1" applyFont="1" applyBorder="1" applyAlignment="1">
      <alignment horizontal="left" vertical="center" wrapText="1"/>
    </xf>
    <xf numFmtId="3" fontId="5" fillId="0" borderId="12" xfId="2" applyNumberFormat="1" applyFont="1" applyBorder="1" applyAlignment="1">
      <alignment horizontal="right" vertical="center"/>
    </xf>
    <xf numFmtId="3" fontId="7" fillId="0" borderId="12" xfId="2" applyNumberFormat="1" applyFont="1" applyBorder="1" applyAlignment="1">
      <alignment horizontal="right" vertical="center"/>
    </xf>
    <xf numFmtId="49" fontId="5" fillId="0" borderId="1" xfId="2" applyNumberFormat="1" applyFont="1" applyBorder="1" applyAlignment="1">
      <alignment horizontal="center" vertical="center"/>
    </xf>
    <xf numFmtId="49" fontId="5" fillId="0" borderId="1" xfId="2" applyNumberFormat="1" applyFont="1" applyBorder="1" applyAlignment="1">
      <alignment horizontal="left" vertical="center" wrapText="1"/>
    </xf>
    <xf numFmtId="3" fontId="5" fillId="0" borderId="1" xfId="2" applyNumberFormat="1" applyFont="1" applyBorder="1" applyAlignment="1">
      <alignment horizontal="right" vertical="center"/>
    </xf>
    <xf numFmtId="3" fontId="7" fillId="0" borderId="1" xfId="2" applyNumberFormat="1" applyFont="1" applyBorder="1" applyAlignment="1">
      <alignment horizontal="right" vertical="center"/>
    </xf>
    <xf numFmtId="49" fontId="5" fillId="2" borderId="1" xfId="2" applyNumberFormat="1" applyFont="1" applyFill="1" applyBorder="1" applyAlignment="1">
      <alignment horizontal="left" vertical="center" wrapText="1"/>
    </xf>
    <xf numFmtId="49" fontId="5" fillId="2" borderId="1" xfId="2" applyNumberFormat="1" applyFont="1" applyFill="1" applyBorder="1" applyAlignment="1">
      <alignment horizontal="center" vertical="center"/>
    </xf>
    <xf numFmtId="49" fontId="5" fillId="0" borderId="1" xfId="2" applyNumberFormat="1" applyFont="1" applyBorder="1" applyAlignment="1">
      <alignment horizontal="center" vertical="center" wrapText="1"/>
    </xf>
    <xf numFmtId="49" fontId="5" fillId="0" borderId="11" xfId="3" applyNumberFormat="1" applyFont="1" applyBorder="1" applyAlignment="1">
      <alignment horizontal="center" vertical="center"/>
    </xf>
    <xf numFmtId="3" fontId="5" fillId="0" borderId="11" xfId="3" applyNumberFormat="1" applyFont="1" applyBorder="1" applyAlignment="1">
      <alignment horizontal="right" vertical="center"/>
    </xf>
    <xf numFmtId="3" fontId="7" fillId="0" borderId="11" xfId="4" applyNumberFormat="1" applyFont="1" applyBorder="1" applyAlignment="1">
      <alignment horizontal="right" vertical="center"/>
    </xf>
    <xf numFmtId="3" fontId="5" fillId="0" borderId="11" xfId="5" applyNumberFormat="1" applyFont="1" applyBorder="1" applyAlignment="1" applyProtection="1">
      <alignment horizontal="right" vertical="center"/>
      <protection locked="0"/>
    </xf>
    <xf numFmtId="3" fontId="7" fillId="5" borderId="11" xfId="2" applyNumberFormat="1" applyFont="1" applyFill="1" applyBorder="1" applyAlignment="1">
      <alignment horizontal="right" vertical="center"/>
    </xf>
    <xf numFmtId="0" fontId="14" fillId="0" borderId="0" xfId="2" applyFont="1"/>
    <xf numFmtId="3" fontId="7" fillId="8" borderId="11" xfId="2" applyNumberFormat="1" applyFont="1" applyFill="1" applyBorder="1" applyAlignment="1">
      <alignment horizontal="right" vertical="center"/>
    </xf>
    <xf numFmtId="10" fontId="5" fillId="0" borderId="11" xfId="6" applyNumberFormat="1" applyFont="1" applyFill="1" applyBorder="1" applyAlignment="1">
      <alignment horizontal="center" vertical="center"/>
    </xf>
    <xf numFmtId="9" fontId="5" fillId="0" borderId="11" xfId="6" applyFont="1" applyFill="1" applyBorder="1" applyAlignment="1">
      <alignment horizontal="center" vertical="center"/>
    </xf>
    <xf numFmtId="49" fontId="6" fillId="0" borderId="0" xfId="5" applyNumberFormat="1" applyFont="1" applyAlignment="1" applyProtection="1">
      <alignment vertical="center" wrapText="1"/>
      <protection locked="0"/>
    </xf>
    <xf numFmtId="49" fontId="15" fillId="0" borderId="0" xfId="5" applyNumberFormat="1" applyFont="1" applyAlignment="1">
      <alignment vertical="center" wrapText="1"/>
    </xf>
    <xf numFmtId="3" fontId="5" fillId="0" borderId="0" xfId="2" applyNumberFormat="1" applyFont="1" applyAlignment="1">
      <alignment vertical="center" wrapText="1"/>
    </xf>
    <xf numFmtId="3" fontId="5" fillId="0" borderId="6" xfId="2" applyNumberFormat="1" applyFont="1" applyBorder="1" applyAlignment="1">
      <alignment vertical="center" wrapText="1"/>
    </xf>
    <xf numFmtId="0" fontId="7" fillId="0" borderId="0" xfId="2" applyFont="1" applyAlignment="1">
      <alignment horizontal="center" vertical="center"/>
    </xf>
    <xf numFmtId="0" fontId="7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right" vertical="center" indent="1"/>
    </xf>
    <xf numFmtId="0" fontId="9" fillId="2" borderId="0" xfId="2" applyFont="1" applyFill="1" applyAlignment="1">
      <alignment horizontal="center" vertical="center"/>
    </xf>
    <xf numFmtId="0" fontId="9" fillId="0" borderId="0" xfId="2" applyFont="1" applyAlignment="1">
      <alignment horizontal="center" vertical="center"/>
    </xf>
    <xf numFmtId="0" fontId="12" fillId="2" borderId="0" xfId="2" applyFont="1" applyFill="1" applyAlignment="1">
      <alignment horizontal="center" vertical="center"/>
    </xf>
    <xf numFmtId="0" fontId="12" fillId="0" borderId="0" xfId="2" applyFont="1" applyAlignment="1">
      <alignment horizontal="center" vertical="center"/>
    </xf>
    <xf numFmtId="0" fontId="12" fillId="0" borderId="0" xfId="2" applyFont="1" applyAlignment="1">
      <alignment horizontal="right" vertical="center" indent="1"/>
    </xf>
    <xf numFmtId="3" fontId="5" fillId="0" borderId="0" xfId="0" applyNumberFormat="1" applyFont="1"/>
    <xf numFmtId="0" fontId="1" fillId="0" borderId="0" xfId="7"/>
    <xf numFmtId="3" fontId="4" fillId="3" borderId="22" xfId="7" applyNumberFormat="1" applyFont="1" applyFill="1" applyBorder="1" applyAlignment="1">
      <alignment horizontal="center" vertical="center"/>
    </xf>
    <xf numFmtId="3" fontId="16" fillId="10" borderId="22" xfId="7" applyNumberFormat="1" applyFont="1" applyFill="1" applyBorder="1" applyAlignment="1">
      <alignment horizontal="center" vertical="center"/>
    </xf>
    <xf numFmtId="0" fontId="16" fillId="3" borderId="22" xfId="7" applyFont="1" applyFill="1" applyBorder="1" applyAlignment="1">
      <alignment horizontal="center" vertical="center" wrapText="1"/>
    </xf>
    <xf numFmtId="3" fontId="4" fillId="11" borderId="22" xfId="7" applyNumberFormat="1" applyFont="1" applyFill="1" applyBorder="1" applyAlignment="1">
      <alignment horizontal="center" vertical="center"/>
    </xf>
    <xf numFmtId="0" fontId="16" fillId="11" borderId="22" xfId="7" applyFont="1" applyFill="1" applyBorder="1" applyAlignment="1">
      <alignment horizontal="center" vertical="center" wrapText="1"/>
    </xf>
    <xf numFmtId="0" fontId="16" fillId="12" borderId="1" xfId="7" applyFont="1" applyFill="1" applyBorder="1" applyAlignment="1">
      <alignment horizontal="center" vertical="center" wrapText="1"/>
    </xf>
    <xf numFmtId="0" fontId="4" fillId="0" borderId="0" xfId="7" applyFont="1"/>
    <xf numFmtId="0" fontId="3" fillId="0" borderId="0" xfId="7" applyFont="1" applyAlignment="1">
      <alignment vertical="top"/>
    </xf>
    <xf numFmtId="0" fontId="6" fillId="2" borderId="0" xfId="8" applyFont="1" applyFill="1" applyAlignment="1">
      <alignment horizontal="left" vertical="center"/>
    </xf>
    <xf numFmtId="0" fontId="7" fillId="0" borderId="0" xfId="8" applyFont="1" applyAlignment="1">
      <alignment horizontal="left" vertical="center"/>
    </xf>
    <xf numFmtId="0" fontId="7" fillId="0" borderId="0" xfId="8" applyFont="1" applyAlignment="1">
      <alignment horizontal="center" vertical="center"/>
    </xf>
    <xf numFmtId="0" fontId="5" fillId="0" borderId="0" xfId="8" applyFont="1" applyAlignment="1">
      <alignment horizontal="center" vertical="center"/>
    </xf>
    <xf numFmtId="0" fontId="5" fillId="2" borderId="0" xfId="8" applyFont="1" applyFill="1" applyAlignment="1">
      <alignment horizontal="center" vertical="center"/>
    </xf>
    <xf numFmtId="0" fontId="5" fillId="2" borderId="0" xfId="8" applyFont="1" applyFill="1" applyAlignment="1">
      <alignment horizontal="right" vertical="center" indent="1"/>
    </xf>
    <xf numFmtId="0" fontId="5" fillId="2" borderId="0" xfId="8" applyFont="1" applyFill="1"/>
    <xf numFmtId="0" fontId="7" fillId="2" borderId="0" xfId="8" applyFont="1" applyFill="1" applyAlignment="1">
      <alignment horizontal="center" vertical="center"/>
    </xf>
    <xf numFmtId="0" fontId="9" fillId="2" borderId="0" xfId="8" applyFont="1" applyFill="1" applyAlignment="1">
      <alignment horizontal="center" vertical="center"/>
    </xf>
    <xf numFmtId="0" fontId="9" fillId="0" borderId="0" xfId="8" applyFont="1" applyAlignment="1">
      <alignment horizontal="center" vertical="center"/>
    </xf>
    <xf numFmtId="0" fontId="9" fillId="2" borderId="0" xfId="8" applyFont="1" applyFill="1"/>
    <xf numFmtId="0" fontId="12" fillId="2" borderId="0" xfId="8" applyFont="1" applyFill="1" applyAlignment="1">
      <alignment horizontal="center" vertical="center"/>
    </xf>
    <xf numFmtId="0" fontId="9" fillId="0" borderId="0" xfId="8" applyFont="1" applyAlignment="1">
      <alignment horizontal="right" vertical="center" indent="1"/>
    </xf>
    <xf numFmtId="0" fontId="12" fillId="2" borderId="0" xfId="8" applyFont="1" applyFill="1"/>
    <xf numFmtId="3" fontId="6" fillId="2" borderId="0" xfId="8" applyNumberFormat="1" applyFont="1" applyFill="1" applyAlignment="1">
      <alignment wrapText="1"/>
    </xf>
    <xf numFmtId="3" fontId="7" fillId="5" borderId="24" xfId="2" applyNumberFormat="1" applyFont="1" applyFill="1" applyBorder="1" applyAlignment="1">
      <alignment horizontal="right" vertical="center"/>
    </xf>
    <xf numFmtId="49" fontId="5" fillId="0" borderId="11" xfId="8" applyNumberFormat="1" applyFont="1" applyBorder="1" applyAlignment="1">
      <alignment horizontal="left" vertical="center" wrapText="1"/>
    </xf>
    <xf numFmtId="3" fontId="5" fillId="0" borderId="13" xfId="2" applyNumberFormat="1" applyFont="1" applyBorder="1" applyAlignment="1">
      <alignment horizontal="right" vertical="center"/>
    </xf>
    <xf numFmtId="3" fontId="5" fillId="0" borderId="14" xfId="2" applyNumberFormat="1" applyFont="1" applyBorder="1" applyAlignment="1">
      <alignment horizontal="right" vertical="center"/>
    </xf>
    <xf numFmtId="3" fontId="5" fillId="0" borderId="24" xfId="2" applyNumberFormat="1" applyFont="1" applyBorder="1" applyAlignment="1">
      <alignment horizontal="right" vertical="center"/>
    </xf>
    <xf numFmtId="3" fontId="5" fillId="0" borderId="17" xfId="2" applyNumberFormat="1" applyFont="1" applyBorder="1" applyAlignment="1">
      <alignment horizontal="right" vertical="center"/>
    </xf>
    <xf numFmtId="0" fontId="7" fillId="4" borderId="1" xfId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center" vertical="center" wrapText="1"/>
    </xf>
    <xf numFmtId="0" fontId="7" fillId="5" borderId="8" xfId="1" applyFont="1" applyFill="1" applyBorder="1" applyAlignment="1">
      <alignment horizontal="center" vertical="center"/>
    </xf>
    <xf numFmtId="0" fontId="7" fillId="5" borderId="9" xfId="1" applyFont="1" applyFill="1" applyBorder="1" applyAlignment="1">
      <alignment horizontal="center" vertical="center"/>
    </xf>
    <xf numFmtId="0" fontId="7" fillId="5" borderId="10" xfId="1" applyFont="1" applyFill="1" applyBorder="1" applyAlignment="1">
      <alignment horizontal="center" vertical="center"/>
    </xf>
    <xf numFmtId="3" fontId="6" fillId="0" borderId="0" xfId="0" applyNumberFormat="1" applyFont="1" applyAlignment="1">
      <alignment horizontal="right" vertical="top" wrapText="1"/>
    </xf>
    <xf numFmtId="0" fontId="7" fillId="2" borderId="0" xfId="0" applyFont="1" applyFill="1" applyAlignment="1">
      <alignment horizontal="center" vertical="center"/>
    </xf>
    <xf numFmtId="0" fontId="9" fillId="6" borderId="7" xfId="0" applyFont="1" applyFill="1" applyBorder="1" applyAlignment="1">
      <alignment horizontal="center" vertical="center"/>
    </xf>
    <xf numFmtId="0" fontId="9" fillId="6" borderId="19" xfId="0" applyFont="1" applyFill="1" applyBorder="1" applyAlignment="1">
      <alignment horizontal="center" vertical="center"/>
    </xf>
    <xf numFmtId="0" fontId="6" fillId="0" borderId="19" xfId="0" applyFont="1" applyBorder="1" applyAlignment="1">
      <alignment vertical="center"/>
    </xf>
    <xf numFmtId="0" fontId="7" fillId="6" borderId="8" xfId="1" applyFont="1" applyFill="1" applyBorder="1" applyAlignment="1">
      <alignment horizontal="center" vertical="center" wrapText="1"/>
    </xf>
    <xf numFmtId="0" fontId="7" fillId="6" borderId="9" xfId="1" applyFont="1" applyFill="1" applyBorder="1" applyAlignment="1">
      <alignment horizontal="center" vertical="center" wrapText="1"/>
    </xf>
    <xf numFmtId="0" fontId="7" fillId="6" borderId="10" xfId="1" applyFont="1" applyFill="1" applyBorder="1" applyAlignment="1">
      <alignment horizontal="center" vertical="center" wrapText="1"/>
    </xf>
    <xf numFmtId="0" fontId="7" fillId="6" borderId="1" xfId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wrapText="1"/>
    </xf>
    <xf numFmtId="0" fontId="7" fillId="3" borderId="2" xfId="1" applyFont="1" applyFill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horizontal="center" vertical="center" wrapText="1"/>
    </xf>
    <xf numFmtId="0" fontId="7" fillId="3" borderId="5" xfId="1" applyFont="1" applyFill="1" applyBorder="1" applyAlignment="1">
      <alignment horizontal="center" vertical="center" wrapText="1"/>
    </xf>
    <xf numFmtId="0" fontId="7" fillId="3" borderId="0" xfId="1" applyFont="1" applyFill="1" applyAlignment="1">
      <alignment horizontal="center" vertical="center" wrapText="1"/>
    </xf>
    <xf numFmtId="0" fontId="7" fillId="3" borderId="6" xfId="1" applyFont="1" applyFill="1" applyBorder="1" applyAlignment="1">
      <alignment horizontal="center" vertical="center" wrapText="1"/>
    </xf>
    <xf numFmtId="0" fontId="7" fillId="3" borderId="7" xfId="1" applyFont="1" applyFill="1" applyBorder="1" applyAlignment="1">
      <alignment horizontal="center" vertical="center" wrapText="1"/>
    </xf>
    <xf numFmtId="0" fontId="7" fillId="3" borderId="19" xfId="1" applyFont="1" applyFill="1" applyBorder="1" applyAlignment="1">
      <alignment horizontal="center" vertical="center" wrapText="1"/>
    </xf>
    <xf numFmtId="0" fontId="7" fillId="3" borderId="20" xfId="1" applyFont="1" applyFill="1" applyBorder="1" applyAlignment="1">
      <alignment horizontal="center" vertical="center" wrapText="1"/>
    </xf>
    <xf numFmtId="0" fontId="7" fillId="5" borderId="1" xfId="1" applyFont="1" applyFill="1" applyBorder="1" applyAlignment="1">
      <alignment horizontal="center" vertical="center"/>
    </xf>
    <xf numFmtId="0" fontId="7" fillId="7" borderId="8" xfId="1" applyFont="1" applyFill="1" applyBorder="1" applyAlignment="1">
      <alignment horizontal="center" vertical="center"/>
    </xf>
    <xf numFmtId="0" fontId="7" fillId="7" borderId="9" xfId="1" applyFont="1" applyFill="1" applyBorder="1" applyAlignment="1">
      <alignment horizontal="center" vertical="center"/>
    </xf>
    <xf numFmtId="0" fontId="7" fillId="7" borderId="10" xfId="1" applyFont="1" applyFill="1" applyBorder="1" applyAlignment="1">
      <alignment horizontal="center" vertical="center"/>
    </xf>
    <xf numFmtId="0" fontId="7" fillId="7" borderId="8" xfId="0" applyFont="1" applyFill="1" applyBorder="1" applyAlignment="1">
      <alignment horizontal="center" vertical="center"/>
    </xf>
    <xf numFmtId="0" fontId="7" fillId="7" borderId="9" xfId="0" applyFont="1" applyFill="1" applyBorder="1" applyAlignment="1">
      <alignment horizontal="center" vertical="center"/>
    </xf>
    <xf numFmtId="0" fontId="7" fillId="7" borderId="10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10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2" borderId="8" xfId="0" applyFont="1" applyFill="1" applyBorder="1" applyAlignment="1">
      <alignment horizontal="right" vertical="center"/>
    </xf>
    <xf numFmtId="0" fontId="7" fillId="2" borderId="9" xfId="0" applyFont="1" applyFill="1" applyBorder="1" applyAlignment="1">
      <alignment horizontal="right" vertical="center"/>
    </xf>
    <xf numFmtId="0" fontId="7" fillId="2" borderId="10" xfId="0" applyFont="1" applyFill="1" applyBorder="1" applyAlignment="1">
      <alignment horizontal="right" vertical="center"/>
    </xf>
    <xf numFmtId="0" fontId="5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9" fillId="6" borderId="5" xfId="0" applyFont="1" applyFill="1" applyBorder="1" applyAlignment="1">
      <alignment horizontal="center"/>
    </xf>
    <xf numFmtId="0" fontId="9" fillId="6" borderId="0" xfId="0" applyFont="1" applyFill="1" applyAlignment="1">
      <alignment horizontal="center"/>
    </xf>
    <xf numFmtId="0" fontId="6" fillId="0" borderId="0" xfId="0" applyFont="1"/>
    <xf numFmtId="0" fontId="4" fillId="0" borderId="0" xfId="7" applyFont="1" applyAlignment="1">
      <alignment horizontal="right" vertical="top" wrapText="1"/>
    </xf>
    <xf numFmtId="0" fontId="4" fillId="0" borderId="21" xfId="7" applyFont="1" applyBorder="1" applyAlignment="1">
      <alignment horizontal="right" vertical="top" wrapText="1"/>
    </xf>
    <xf numFmtId="0" fontId="16" fillId="12" borderId="1" xfId="7" applyFont="1" applyFill="1" applyBorder="1" applyAlignment="1">
      <alignment horizontal="center" vertical="center" wrapText="1"/>
    </xf>
    <xf numFmtId="0" fontId="16" fillId="10" borderId="16" xfId="7" applyFont="1" applyFill="1" applyBorder="1" applyAlignment="1">
      <alignment horizontal="center" vertical="center"/>
    </xf>
    <xf numFmtId="0" fontId="16" fillId="10" borderId="17" xfId="7" applyFont="1" applyFill="1" applyBorder="1" applyAlignment="1">
      <alignment horizontal="center" vertical="center"/>
    </xf>
    <xf numFmtId="0" fontId="16" fillId="10" borderId="22" xfId="7" applyFont="1" applyFill="1" applyBorder="1" applyAlignment="1">
      <alignment horizontal="right" vertical="center" wrapText="1"/>
    </xf>
    <xf numFmtId="0" fontId="16" fillId="3" borderId="22" xfId="7" applyFont="1" applyFill="1" applyBorder="1" applyAlignment="1">
      <alignment horizontal="center" vertical="center" wrapText="1"/>
    </xf>
    <xf numFmtId="0" fontId="16" fillId="11" borderId="22" xfId="7" applyFont="1" applyFill="1" applyBorder="1" applyAlignment="1">
      <alignment horizontal="center" vertical="center" wrapText="1"/>
    </xf>
    <xf numFmtId="0" fontId="5" fillId="2" borderId="0" xfId="8" applyFont="1" applyFill="1" applyAlignment="1">
      <alignment horizontal="right" vertical="center"/>
    </xf>
    <xf numFmtId="0" fontId="7" fillId="8" borderId="13" xfId="2" applyFont="1" applyFill="1" applyBorder="1" applyAlignment="1">
      <alignment horizontal="center"/>
    </xf>
    <xf numFmtId="0" fontId="7" fillId="8" borderId="15" xfId="2" applyFont="1" applyFill="1" applyBorder="1" applyAlignment="1">
      <alignment horizontal="center"/>
    </xf>
    <xf numFmtId="0" fontId="7" fillId="8" borderId="14" xfId="2" applyFont="1" applyFill="1" applyBorder="1" applyAlignment="1">
      <alignment horizontal="center"/>
    </xf>
    <xf numFmtId="0" fontId="7" fillId="0" borderId="13" xfId="2" applyFont="1" applyBorder="1" applyAlignment="1">
      <alignment horizontal="center"/>
    </xf>
    <xf numFmtId="0" fontId="7" fillId="0" borderId="15" xfId="2" applyFont="1" applyBorder="1" applyAlignment="1">
      <alignment horizontal="center"/>
    </xf>
    <xf numFmtId="0" fontId="7" fillId="0" borderId="14" xfId="2" applyFont="1" applyBorder="1" applyAlignment="1">
      <alignment horizontal="center"/>
    </xf>
    <xf numFmtId="0" fontId="5" fillId="0" borderId="2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  <xf numFmtId="0" fontId="5" fillId="0" borderId="4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5" fillId="0" borderId="0" xfId="2" applyFont="1" applyAlignment="1">
      <alignment horizontal="center" vertical="center" wrapText="1"/>
    </xf>
    <xf numFmtId="0" fontId="5" fillId="0" borderId="6" xfId="2" applyFont="1" applyBorder="1" applyAlignment="1">
      <alignment horizontal="center" vertical="center" wrapText="1"/>
    </xf>
    <xf numFmtId="0" fontId="5" fillId="0" borderId="7" xfId="2" applyFont="1" applyBorder="1" applyAlignment="1">
      <alignment horizontal="center" vertical="center" wrapText="1"/>
    </xf>
    <xf numFmtId="0" fontId="5" fillId="0" borderId="21" xfId="2" applyFont="1" applyBorder="1" applyAlignment="1">
      <alignment horizontal="center" vertical="center" wrapText="1"/>
    </xf>
    <xf numFmtId="0" fontId="5" fillId="0" borderId="22" xfId="2" applyFont="1" applyBorder="1" applyAlignment="1">
      <alignment horizontal="center" vertical="center" wrapText="1"/>
    </xf>
    <xf numFmtId="3" fontId="7" fillId="0" borderId="2" xfId="2" applyNumberFormat="1" applyFont="1" applyBorder="1" applyAlignment="1">
      <alignment horizontal="center" vertical="center"/>
    </xf>
    <xf numFmtId="3" fontId="7" fillId="0" borderId="4" xfId="2" applyNumberFormat="1" applyFont="1" applyBorder="1" applyAlignment="1">
      <alignment horizontal="center" vertical="center"/>
    </xf>
    <xf numFmtId="3" fontId="7" fillId="0" borderId="5" xfId="2" applyNumberFormat="1" applyFont="1" applyBorder="1" applyAlignment="1">
      <alignment horizontal="center" vertical="center"/>
    </xf>
    <xf numFmtId="3" fontId="7" fillId="0" borderId="6" xfId="2" applyNumberFormat="1" applyFont="1" applyBorder="1" applyAlignment="1">
      <alignment horizontal="center" vertical="center"/>
    </xf>
    <xf numFmtId="3" fontId="7" fillId="0" borderId="7" xfId="2" applyNumberFormat="1" applyFont="1" applyBorder="1" applyAlignment="1">
      <alignment horizontal="center" vertical="center"/>
    </xf>
    <xf numFmtId="3" fontId="7" fillId="0" borderId="22" xfId="2" applyNumberFormat="1" applyFont="1" applyBorder="1" applyAlignment="1">
      <alignment horizontal="center" vertical="center"/>
    </xf>
    <xf numFmtId="0" fontId="7" fillId="0" borderId="13" xfId="2" applyFont="1" applyBorder="1" applyAlignment="1">
      <alignment horizontal="center" vertical="center" wrapText="1"/>
    </xf>
    <xf numFmtId="0" fontId="7" fillId="0" borderId="15" xfId="2" applyFont="1" applyBorder="1" applyAlignment="1">
      <alignment horizontal="center" vertical="center" wrapText="1"/>
    </xf>
    <xf numFmtId="0" fontId="7" fillId="0" borderId="14" xfId="2" applyFont="1" applyBorder="1" applyAlignment="1">
      <alignment horizontal="center" vertical="center" wrapText="1"/>
    </xf>
    <xf numFmtId="0" fontId="7" fillId="0" borderId="12" xfId="2" applyFont="1" applyBorder="1" applyAlignment="1">
      <alignment horizontal="center" vertical="center" wrapText="1"/>
    </xf>
    <xf numFmtId="0" fontId="7" fillId="0" borderId="24" xfId="2" applyFont="1" applyBorder="1" applyAlignment="1">
      <alignment horizontal="center" vertical="center" wrapText="1"/>
    </xf>
    <xf numFmtId="0" fontId="7" fillId="8" borderId="13" xfId="2" applyFont="1" applyFill="1" applyBorder="1" applyAlignment="1">
      <alignment horizontal="center" vertical="center" wrapText="1"/>
    </xf>
    <xf numFmtId="0" fontId="7" fillId="8" borderId="15" xfId="2" applyFont="1" applyFill="1" applyBorder="1" applyAlignment="1">
      <alignment horizontal="center" vertical="center" wrapText="1"/>
    </xf>
    <xf numFmtId="0" fontId="7" fillId="8" borderId="14" xfId="2" applyFont="1" applyFill="1" applyBorder="1" applyAlignment="1">
      <alignment horizontal="center" vertical="center" wrapText="1"/>
    </xf>
    <xf numFmtId="0" fontId="7" fillId="5" borderId="24" xfId="2" applyFont="1" applyFill="1" applyBorder="1" applyAlignment="1">
      <alignment horizontal="center"/>
    </xf>
    <xf numFmtId="0" fontId="7" fillId="8" borderId="11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/>
    </xf>
    <xf numFmtId="3" fontId="6" fillId="2" borderId="0" xfId="8" applyNumberFormat="1" applyFont="1" applyFill="1" applyAlignment="1">
      <alignment horizontal="right" vertical="center" wrapText="1"/>
    </xf>
    <xf numFmtId="49" fontId="9" fillId="0" borderId="0" xfId="2" applyNumberFormat="1" applyFont="1" applyAlignment="1" applyProtection="1">
      <alignment horizontal="center" vertical="center"/>
      <protection locked="0"/>
    </xf>
    <xf numFmtId="49" fontId="5" fillId="0" borderId="23" xfId="2" applyNumberFormat="1" applyFont="1" applyBorder="1" applyAlignment="1" applyProtection="1">
      <alignment horizontal="left" vertical="center"/>
      <protection locked="0"/>
    </xf>
  </cellXfs>
  <cellStyles count="9">
    <cellStyle name="Normal" xfId="0" builtinId="0"/>
    <cellStyle name="Normal 2" xfId="1"/>
    <cellStyle name="Normal 3" xfId="2"/>
    <cellStyle name="Normal_4.piel" xfId="4"/>
    <cellStyle name="Normal_Pamatformas" xfId="5"/>
    <cellStyle name="Normal_Veidlapa_2008_oktobris_(4.piel)" xfId="3"/>
    <cellStyle name="Parasts 2" xfId="7"/>
    <cellStyle name="Parasts 3" xfId="8"/>
    <cellStyle name="Percent 2" xfId="6"/>
  </cellStyles>
  <dxfs count="0"/>
  <tableStyles count="0" defaultTableStyle="TableStyleMedium2" defaultPivotStyle="PivotStyleLight16"/>
  <colors>
    <mruColors>
      <color rgb="FFCCFF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6"/>
  <sheetViews>
    <sheetView showGridLines="0" tabSelected="1" zoomScale="80" zoomScaleNormal="80" workbookViewId="0">
      <selection activeCell="K1" sqref="K1"/>
    </sheetView>
  </sheetViews>
  <sheetFormatPr defaultColWidth="9.140625" defaultRowHeight="15.75" x14ac:dyDescent="0.25"/>
  <cols>
    <col min="1" max="1" width="8" style="2" customWidth="1"/>
    <col min="2" max="2" width="17.5703125" style="2" customWidth="1"/>
    <col min="3" max="3" width="11" style="2" customWidth="1"/>
    <col min="4" max="4" width="29.5703125" style="7" customWidth="1"/>
    <col min="5" max="5" width="19.85546875" style="8" customWidth="1"/>
    <col min="6" max="6" width="50.5703125" style="8" customWidth="1"/>
    <col min="7" max="7" width="25.42578125" style="9" customWidth="1"/>
    <col min="8" max="8" width="16.28515625" style="6" customWidth="1"/>
    <col min="9" max="9" width="23.140625" style="6" customWidth="1"/>
    <col min="10" max="10" width="17.7109375" style="5" customWidth="1"/>
    <col min="11" max="11" width="12.85546875" style="5" customWidth="1"/>
    <col min="12" max="16384" width="9.140625" style="6"/>
  </cols>
  <sheetData>
    <row r="1" spans="1:11" ht="15.75" customHeight="1" x14ac:dyDescent="0.25">
      <c r="B1" s="3"/>
      <c r="C1" s="4"/>
      <c r="D1" s="4"/>
      <c r="E1" s="141" t="s">
        <v>1056</v>
      </c>
      <c r="F1" s="141"/>
      <c r="G1" s="141"/>
      <c r="H1" s="141"/>
      <c r="I1" s="141"/>
    </row>
    <row r="2" spans="1:11" ht="42.75" customHeight="1" x14ac:dyDescent="0.25">
      <c r="A2" s="3"/>
      <c r="B2" s="3"/>
      <c r="C2" s="4"/>
      <c r="D2" s="4"/>
      <c r="E2" s="141"/>
      <c r="F2" s="141"/>
      <c r="G2" s="141"/>
      <c r="H2" s="141"/>
      <c r="I2" s="141"/>
    </row>
    <row r="3" spans="1:11" x14ac:dyDescent="0.25">
      <c r="A3" s="150" t="s">
        <v>1057</v>
      </c>
      <c r="B3" s="150"/>
      <c r="C3" s="150"/>
      <c r="D3" s="150"/>
      <c r="E3" s="150"/>
      <c r="F3" s="150"/>
      <c r="G3" s="150"/>
      <c r="H3" s="150"/>
      <c r="I3" s="150"/>
    </row>
    <row r="4" spans="1:11" ht="17.45" customHeight="1" x14ac:dyDescent="0.25">
      <c r="A4" s="150"/>
      <c r="B4" s="150"/>
      <c r="C4" s="150"/>
      <c r="D4" s="150"/>
      <c r="E4" s="150"/>
      <c r="F4" s="150"/>
      <c r="G4" s="150"/>
      <c r="H4" s="150"/>
      <c r="I4" s="150"/>
    </row>
    <row r="5" spans="1:11" x14ac:dyDescent="0.25">
      <c r="A5" s="142"/>
      <c r="B5" s="142"/>
    </row>
    <row r="6" spans="1:11" s="11" customFormat="1" ht="30.6" customHeight="1" x14ac:dyDescent="0.2">
      <c r="A6" s="143" t="s">
        <v>948</v>
      </c>
      <c r="B6" s="144"/>
      <c r="C6" s="144"/>
      <c r="D6" s="144"/>
      <c r="E6" s="144"/>
      <c r="F6" s="144"/>
      <c r="G6" s="144"/>
      <c r="H6" s="145"/>
      <c r="I6" s="145"/>
      <c r="J6" s="10"/>
      <c r="K6" s="10"/>
    </row>
    <row r="7" spans="1:11" s="15" customFormat="1" ht="45" customHeight="1" x14ac:dyDescent="0.25">
      <c r="A7" s="146" t="s">
        <v>552</v>
      </c>
      <c r="B7" s="147"/>
      <c r="C7" s="147"/>
      <c r="D7" s="148"/>
      <c r="E7" s="149" t="s">
        <v>553</v>
      </c>
      <c r="F7" s="149"/>
      <c r="G7" s="12" t="s">
        <v>556</v>
      </c>
      <c r="H7" s="13" t="s">
        <v>559</v>
      </c>
      <c r="I7" s="13" t="s">
        <v>558</v>
      </c>
      <c r="J7" s="14"/>
      <c r="K7" s="14"/>
    </row>
    <row r="8" spans="1:11" s="15" customFormat="1" x14ac:dyDescent="0.25">
      <c r="A8" s="136" t="s">
        <v>307</v>
      </c>
      <c r="B8" s="136"/>
      <c r="C8" s="136"/>
      <c r="D8" s="136"/>
      <c r="E8" s="136"/>
      <c r="F8" s="136"/>
      <c r="G8" s="16">
        <v>56627033</v>
      </c>
      <c r="H8" s="16">
        <v>260554</v>
      </c>
      <c r="I8" s="16">
        <v>56887587</v>
      </c>
      <c r="J8" s="17"/>
      <c r="K8" s="17"/>
    </row>
    <row r="9" spans="1:11" s="15" customFormat="1" ht="15" customHeight="1" x14ac:dyDescent="0.25">
      <c r="A9" s="137" t="s">
        <v>487</v>
      </c>
      <c r="B9" s="137" t="s">
        <v>1</v>
      </c>
      <c r="C9" s="138" t="s">
        <v>307</v>
      </c>
      <c r="D9" s="139"/>
      <c r="E9" s="139"/>
      <c r="F9" s="140"/>
      <c r="G9" s="19">
        <v>18900</v>
      </c>
      <c r="H9" s="19">
        <v>13000</v>
      </c>
      <c r="I9" s="19">
        <v>31900</v>
      </c>
      <c r="J9" s="14"/>
      <c r="K9" s="14"/>
    </row>
    <row r="10" spans="1:11" s="15" customFormat="1" ht="31.5" x14ac:dyDescent="0.25">
      <c r="A10" s="137"/>
      <c r="B10" s="137"/>
      <c r="C10" s="137" t="s">
        <v>486</v>
      </c>
      <c r="D10" s="137" t="s">
        <v>485</v>
      </c>
      <c r="E10" s="20" t="s">
        <v>484</v>
      </c>
      <c r="F10" s="20" t="s">
        <v>483</v>
      </c>
      <c r="G10" s="21">
        <v>13300</v>
      </c>
      <c r="H10" s="21">
        <v>13000</v>
      </c>
      <c r="I10" s="21">
        <v>26300</v>
      </c>
      <c r="J10" s="14"/>
      <c r="K10" s="14"/>
    </row>
    <row r="11" spans="1:11" s="15" customFormat="1" x14ac:dyDescent="0.25">
      <c r="A11" s="137"/>
      <c r="B11" s="137"/>
      <c r="C11" s="137"/>
      <c r="D11" s="137"/>
      <c r="E11" s="20" t="s">
        <v>482</v>
      </c>
      <c r="F11" s="20" t="s">
        <v>481</v>
      </c>
      <c r="G11" s="21">
        <v>5600</v>
      </c>
      <c r="H11" s="21"/>
      <c r="I11" s="21">
        <v>5600</v>
      </c>
      <c r="J11" s="14"/>
      <c r="K11" s="14"/>
    </row>
    <row r="12" spans="1:11" s="15" customFormat="1" ht="15" customHeight="1" x14ac:dyDescent="0.25">
      <c r="A12" s="137" t="s">
        <v>480</v>
      </c>
      <c r="B12" s="137" t="s">
        <v>479</v>
      </c>
      <c r="C12" s="138" t="s">
        <v>307</v>
      </c>
      <c r="D12" s="139"/>
      <c r="E12" s="139"/>
      <c r="F12" s="140"/>
      <c r="G12" s="19">
        <v>35279140</v>
      </c>
      <c r="H12" s="19">
        <v>0</v>
      </c>
      <c r="I12" s="19">
        <v>35279140</v>
      </c>
      <c r="J12" s="14"/>
      <c r="K12" s="14"/>
    </row>
    <row r="13" spans="1:11" s="15" customFormat="1" ht="31.5" x14ac:dyDescent="0.25">
      <c r="A13" s="137"/>
      <c r="B13" s="137"/>
      <c r="C13" s="18" t="s">
        <v>478</v>
      </c>
      <c r="D13" s="18" t="s">
        <v>477</v>
      </c>
      <c r="E13" s="20" t="s">
        <v>476</v>
      </c>
      <c r="F13" s="20" t="s">
        <v>475</v>
      </c>
      <c r="G13" s="21">
        <v>35279140</v>
      </c>
      <c r="H13" s="21"/>
      <c r="I13" s="21">
        <v>35279140</v>
      </c>
      <c r="J13" s="14"/>
      <c r="K13" s="14"/>
    </row>
    <row r="14" spans="1:11" s="15" customFormat="1" ht="15" customHeight="1" x14ac:dyDescent="0.25">
      <c r="A14" s="137" t="s">
        <v>474</v>
      </c>
      <c r="B14" s="137" t="s">
        <v>2</v>
      </c>
      <c r="C14" s="138" t="s">
        <v>307</v>
      </c>
      <c r="D14" s="139"/>
      <c r="E14" s="139"/>
      <c r="F14" s="140"/>
      <c r="G14" s="19">
        <v>70333</v>
      </c>
      <c r="H14" s="19">
        <v>0</v>
      </c>
      <c r="I14" s="19">
        <v>70333</v>
      </c>
      <c r="J14" s="14"/>
      <c r="K14" s="14"/>
    </row>
    <row r="15" spans="1:11" s="15" customFormat="1" ht="47.25" x14ac:dyDescent="0.25">
      <c r="A15" s="137"/>
      <c r="B15" s="137"/>
      <c r="C15" s="18" t="s">
        <v>473</v>
      </c>
      <c r="D15" s="18" t="s">
        <v>472</v>
      </c>
      <c r="E15" s="20" t="s">
        <v>473</v>
      </c>
      <c r="F15" s="20" t="s">
        <v>472</v>
      </c>
      <c r="G15" s="21">
        <v>2500</v>
      </c>
      <c r="H15" s="21"/>
      <c r="I15" s="21">
        <v>2500</v>
      </c>
      <c r="J15" s="14"/>
      <c r="K15" s="14"/>
    </row>
    <row r="16" spans="1:11" s="15" customFormat="1" ht="15" customHeight="1" x14ac:dyDescent="0.25">
      <c r="A16" s="137"/>
      <c r="B16" s="137"/>
      <c r="C16" s="137" t="s">
        <v>471</v>
      </c>
      <c r="D16" s="137" t="s">
        <v>3</v>
      </c>
      <c r="E16" s="20" t="s">
        <v>470</v>
      </c>
      <c r="F16" s="20" t="s">
        <v>166</v>
      </c>
      <c r="G16" s="21">
        <v>3919</v>
      </c>
      <c r="H16" s="21"/>
      <c r="I16" s="21">
        <v>3919</v>
      </c>
      <c r="J16" s="14"/>
      <c r="K16" s="14"/>
    </row>
    <row r="17" spans="1:11" s="15" customFormat="1" x14ac:dyDescent="0.25">
      <c r="A17" s="137"/>
      <c r="B17" s="137"/>
      <c r="C17" s="137"/>
      <c r="D17" s="137"/>
      <c r="E17" s="20" t="s">
        <v>469</v>
      </c>
      <c r="F17" s="20" t="s">
        <v>167</v>
      </c>
      <c r="G17" s="21">
        <v>1000</v>
      </c>
      <c r="H17" s="21"/>
      <c r="I17" s="21">
        <v>1000</v>
      </c>
      <c r="J17" s="14"/>
      <c r="K17" s="14"/>
    </row>
    <row r="18" spans="1:11" s="15" customFormat="1" ht="31.5" x14ac:dyDescent="0.25">
      <c r="A18" s="137"/>
      <c r="B18" s="137"/>
      <c r="C18" s="137"/>
      <c r="D18" s="137"/>
      <c r="E18" s="20" t="s">
        <v>468</v>
      </c>
      <c r="F18" s="20" t="s">
        <v>467</v>
      </c>
      <c r="G18" s="21">
        <v>62914</v>
      </c>
      <c r="H18" s="21"/>
      <c r="I18" s="21">
        <v>62914</v>
      </c>
      <c r="J18" s="14"/>
      <c r="K18" s="14"/>
    </row>
    <row r="19" spans="1:11" s="15" customFormat="1" ht="15" customHeight="1" x14ac:dyDescent="0.25">
      <c r="A19" s="137" t="s">
        <v>466</v>
      </c>
      <c r="B19" s="137" t="s">
        <v>465</v>
      </c>
      <c r="C19" s="138" t="s">
        <v>307</v>
      </c>
      <c r="D19" s="139"/>
      <c r="E19" s="139"/>
      <c r="F19" s="140"/>
      <c r="G19" s="19">
        <v>1747275</v>
      </c>
      <c r="H19" s="19">
        <v>0</v>
      </c>
      <c r="I19" s="19">
        <v>1747275</v>
      </c>
      <c r="J19" s="14"/>
      <c r="K19" s="14"/>
    </row>
    <row r="20" spans="1:11" s="15" customFormat="1" ht="31.5" x14ac:dyDescent="0.25">
      <c r="A20" s="137"/>
      <c r="B20" s="137"/>
      <c r="C20" s="18" t="s">
        <v>464</v>
      </c>
      <c r="D20" s="18" t="s">
        <v>463</v>
      </c>
      <c r="E20" s="20" t="s">
        <v>464</v>
      </c>
      <c r="F20" s="20" t="s">
        <v>463</v>
      </c>
      <c r="G20" s="21">
        <v>300950</v>
      </c>
      <c r="H20" s="21"/>
      <c r="I20" s="21">
        <v>300950</v>
      </c>
      <c r="J20" s="14"/>
      <c r="K20" s="14"/>
    </row>
    <row r="21" spans="1:11" s="15" customFormat="1" ht="15" customHeight="1" x14ac:dyDescent="0.25">
      <c r="A21" s="137"/>
      <c r="B21" s="137"/>
      <c r="C21" s="137" t="s">
        <v>462</v>
      </c>
      <c r="D21" s="137" t="s">
        <v>461</v>
      </c>
      <c r="E21" s="20">
        <v>13200</v>
      </c>
      <c r="F21" s="20" t="s">
        <v>461</v>
      </c>
      <c r="G21" s="21">
        <v>1380310</v>
      </c>
      <c r="H21" s="21"/>
      <c r="I21" s="21">
        <v>1380310</v>
      </c>
      <c r="J21" s="14"/>
      <c r="K21" s="14"/>
    </row>
    <row r="22" spans="1:11" s="15" customFormat="1" x14ac:dyDescent="0.25">
      <c r="A22" s="137"/>
      <c r="B22" s="137"/>
      <c r="C22" s="137"/>
      <c r="D22" s="137"/>
      <c r="E22" s="20" t="s">
        <v>460</v>
      </c>
      <c r="F22" s="20" t="s">
        <v>459</v>
      </c>
      <c r="G22" s="21">
        <v>66015</v>
      </c>
      <c r="H22" s="21"/>
      <c r="I22" s="21">
        <v>66015</v>
      </c>
      <c r="J22" s="14"/>
      <c r="K22" s="14"/>
    </row>
    <row r="23" spans="1:11" s="15" customFormat="1" ht="45" customHeight="1" x14ac:dyDescent="0.25">
      <c r="A23" s="137"/>
      <c r="B23" s="137"/>
      <c r="C23" s="18" t="s">
        <v>458</v>
      </c>
      <c r="D23" s="18" t="s">
        <v>457</v>
      </c>
      <c r="E23" s="20" t="s">
        <v>458</v>
      </c>
      <c r="F23" s="20" t="s">
        <v>457</v>
      </c>
      <c r="G23" s="21">
        <v>0</v>
      </c>
      <c r="H23" s="21"/>
      <c r="I23" s="21">
        <v>0</v>
      </c>
      <c r="J23" s="14"/>
      <c r="K23" s="14"/>
    </row>
    <row r="24" spans="1:11" s="15" customFormat="1" ht="15" customHeight="1" x14ac:dyDescent="0.25">
      <c r="A24" s="137" t="s">
        <v>456</v>
      </c>
      <c r="B24" s="137" t="s">
        <v>455</v>
      </c>
      <c r="C24" s="138" t="s">
        <v>307</v>
      </c>
      <c r="D24" s="139"/>
      <c r="E24" s="139"/>
      <c r="F24" s="140"/>
      <c r="G24" s="19">
        <v>3000</v>
      </c>
      <c r="H24" s="19">
        <v>-3000</v>
      </c>
      <c r="I24" s="19">
        <v>0</v>
      </c>
      <c r="J24" s="14"/>
      <c r="K24" s="14"/>
    </row>
    <row r="25" spans="1:11" s="15" customFormat="1" ht="94.5" x14ac:dyDescent="0.25">
      <c r="A25" s="137"/>
      <c r="B25" s="137"/>
      <c r="C25" s="18" t="s">
        <v>454</v>
      </c>
      <c r="D25" s="18" t="s">
        <v>453</v>
      </c>
      <c r="E25" s="20" t="s">
        <v>454</v>
      </c>
      <c r="F25" s="20" t="s">
        <v>453</v>
      </c>
      <c r="G25" s="21">
        <v>3000</v>
      </c>
      <c r="H25" s="22">
        <v>-3000</v>
      </c>
      <c r="I25" s="22">
        <v>0</v>
      </c>
      <c r="J25" s="14"/>
      <c r="K25" s="14"/>
    </row>
    <row r="26" spans="1:11" s="15" customFormat="1" ht="15" customHeight="1" x14ac:dyDescent="0.25">
      <c r="A26" s="137">
        <v>18000</v>
      </c>
      <c r="B26" s="137" t="s">
        <v>4</v>
      </c>
      <c r="C26" s="138" t="s">
        <v>307</v>
      </c>
      <c r="D26" s="139"/>
      <c r="E26" s="139"/>
      <c r="F26" s="140"/>
      <c r="G26" s="19">
        <v>12252600</v>
      </c>
      <c r="H26" s="19">
        <v>235987</v>
      </c>
      <c r="I26" s="19">
        <v>12488587</v>
      </c>
      <c r="J26" s="17"/>
      <c r="K26" s="17"/>
    </row>
    <row r="27" spans="1:11" s="15" customFormat="1" ht="15" customHeight="1" x14ac:dyDescent="0.25">
      <c r="A27" s="137"/>
      <c r="B27" s="137"/>
      <c r="C27" s="137" t="s">
        <v>452</v>
      </c>
      <c r="D27" s="137" t="s">
        <v>451</v>
      </c>
      <c r="E27" s="20" t="s">
        <v>450</v>
      </c>
      <c r="F27" s="20" t="s">
        <v>449</v>
      </c>
      <c r="G27" s="21"/>
      <c r="H27" s="21"/>
      <c r="I27" s="22">
        <v>0</v>
      </c>
      <c r="J27" s="14"/>
      <c r="K27" s="14"/>
    </row>
    <row r="28" spans="1:11" s="15" customFormat="1" x14ac:dyDescent="0.25">
      <c r="A28" s="137"/>
      <c r="B28" s="137"/>
      <c r="C28" s="137"/>
      <c r="D28" s="137"/>
      <c r="E28" s="20" t="s">
        <v>448</v>
      </c>
      <c r="F28" s="20" t="s">
        <v>447</v>
      </c>
      <c r="G28" s="21">
        <v>472042</v>
      </c>
      <c r="H28" s="21"/>
      <c r="I28" s="22">
        <v>472042</v>
      </c>
      <c r="J28" s="14"/>
      <c r="K28" s="14"/>
    </row>
    <row r="29" spans="1:11" s="15" customFormat="1" x14ac:dyDescent="0.25">
      <c r="A29" s="137"/>
      <c r="B29" s="137"/>
      <c r="C29" s="137"/>
      <c r="D29" s="137"/>
      <c r="E29" s="20" t="s">
        <v>446</v>
      </c>
      <c r="F29" s="20" t="s">
        <v>445</v>
      </c>
      <c r="G29" s="21">
        <v>702909</v>
      </c>
      <c r="H29" s="21">
        <v>29007</v>
      </c>
      <c r="I29" s="22">
        <v>731916</v>
      </c>
      <c r="J29" s="14"/>
      <c r="K29" s="14"/>
    </row>
    <row r="30" spans="1:11" s="15" customFormat="1" ht="31.5" x14ac:dyDescent="0.25">
      <c r="A30" s="137"/>
      <c r="B30" s="137"/>
      <c r="C30" s="137"/>
      <c r="D30" s="137"/>
      <c r="E30" s="20" t="s">
        <v>444</v>
      </c>
      <c r="F30" s="20" t="s">
        <v>443</v>
      </c>
      <c r="G30" s="21">
        <v>7031671</v>
      </c>
      <c r="H30" s="21"/>
      <c r="I30" s="22">
        <v>7031671</v>
      </c>
      <c r="J30" s="14"/>
      <c r="K30" s="14"/>
    </row>
    <row r="31" spans="1:11" s="15" customFormat="1" ht="31.5" x14ac:dyDescent="0.25">
      <c r="A31" s="137"/>
      <c r="B31" s="137"/>
      <c r="C31" s="137"/>
      <c r="D31" s="137"/>
      <c r="E31" s="20" t="s">
        <v>442</v>
      </c>
      <c r="F31" s="20" t="s">
        <v>441</v>
      </c>
      <c r="G31" s="21">
        <v>1121151</v>
      </c>
      <c r="H31" s="21"/>
      <c r="I31" s="22">
        <v>1121151</v>
      </c>
      <c r="J31" s="14"/>
      <c r="K31" s="14"/>
    </row>
    <row r="32" spans="1:11" s="15" customFormat="1" x14ac:dyDescent="0.25">
      <c r="A32" s="137"/>
      <c r="B32" s="137"/>
      <c r="C32" s="137"/>
      <c r="D32" s="137"/>
      <c r="E32" s="20" t="s">
        <v>440</v>
      </c>
      <c r="F32" s="20" t="s">
        <v>157</v>
      </c>
      <c r="G32" s="21">
        <v>2847267</v>
      </c>
      <c r="H32" s="21">
        <v>203180</v>
      </c>
      <c r="I32" s="22">
        <v>3050447</v>
      </c>
      <c r="J32" s="14"/>
      <c r="K32" s="14"/>
    </row>
    <row r="33" spans="1:11" s="15" customFormat="1" ht="47.25" x14ac:dyDescent="0.25">
      <c r="A33" s="137"/>
      <c r="B33" s="137"/>
      <c r="C33" s="137"/>
      <c r="D33" s="137"/>
      <c r="E33" s="20" t="s">
        <v>439</v>
      </c>
      <c r="F33" s="20" t="s">
        <v>438</v>
      </c>
      <c r="G33" s="21">
        <v>77560</v>
      </c>
      <c r="H33" s="21">
        <v>3800</v>
      </c>
      <c r="I33" s="21">
        <v>81360</v>
      </c>
      <c r="J33" s="14"/>
      <c r="K33" s="14"/>
    </row>
    <row r="34" spans="1:11" s="15" customFormat="1" ht="31.5" x14ac:dyDescent="0.25">
      <c r="A34" s="137"/>
      <c r="B34" s="137"/>
      <c r="C34" s="137"/>
      <c r="D34" s="137"/>
      <c r="E34" s="20">
        <v>18641</v>
      </c>
      <c r="F34" s="20" t="s">
        <v>437</v>
      </c>
      <c r="G34" s="21"/>
      <c r="H34" s="21"/>
      <c r="I34" s="21">
        <v>0</v>
      </c>
      <c r="J34" s="14"/>
      <c r="K34" s="14"/>
    </row>
    <row r="35" spans="1:11" s="15" customFormat="1" ht="15" customHeight="1" x14ac:dyDescent="0.25">
      <c r="A35" s="137" t="s">
        <v>436</v>
      </c>
      <c r="B35" s="137" t="s">
        <v>5</v>
      </c>
      <c r="C35" s="138" t="s">
        <v>307</v>
      </c>
      <c r="D35" s="139"/>
      <c r="E35" s="139"/>
      <c r="F35" s="140"/>
      <c r="G35" s="19">
        <v>301000</v>
      </c>
      <c r="H35" s="19">
        <v>0</v>
      </c>
      <c r="I35" s="19">
        <v>301000</v>
      </c>
      <c r="J35" s="14"/>
      <c r="K35" s="14"/>
    </row>
    <row r="36" spans="1:11" s="15" customFormat="1" ht="30" customHeight="1" x14ac:dyDescent="0.25">
      <c r="A36" s="137"/>
      <c r="B36" s="137"/>
      <c r="C36" s="137" t="s">
        <v>435</v>
      </c>
      <c r="D36" s="137" t="s">
        <v>434</v>
      </c>
      <c r="E36" s="20" t="s">
        <v>433</v>
      </c>
      <c r="F36" s="20" t="s">
        <v>432</v>
      </c>
      <c r="G36" s="21">
        <v>301000</v>
      </c>
      <c r="H36" s="21"/>
      <c r="I36" s="21">
        <v>301000</v>
      </c>
      <c r="J36" s="14"/>
      <c r="K36" s="14"/>
    </row>
    <row r="37" spans="1:11" s="15" customFormat="1" ht="30" customHeight="1" x14ac:dyDescent="0.25">
      <c r="A37" s="137"/>
      <c r="B37" s="137"/>
      <c r="C37" s="137"/>
      <c r="D37" s="137"/>
      <c r="E37" s="20" t="s">
        <v>431</v>
      </c>
      <c r="F37" s="20" t="s">
        <v>430</v>
      </c>
      <c r="G37" s="21">
        <v>0</v>
      </c>
      <c r="H37" s="21"/>
      <c r="I37" s="21">
        <v>0</v>
      </c>
      <c r="J37" s="14"/>
      <c r="K37" s="14"/>
    </row>
    <row r="38" spans="1:11" s="15" customFormat="1" ht="15" customHeight="1" x14ac:dyDescent="0.25">
      <c r="A38" s="137">
        <v>21000</v>
      </c>
      <c r="B38" s="137" t="s">
        <v>429</v>
      </c>
      <c r="C38" s="138" t="s">
        <v>307</v>
      </c>
      <c r="D38" s="139"/>
      <c r="E38" s="139"/>
      <c r="F38" s="140"/>
      <c r="G38" s="19">
        <v>3696500</v>
      </c>
      <c r="H38" s="19">
        <v>14567</v>
      </c>
      <c r="I38" s="19">
        <v>3711067</v>
      </c>
      <c r="J38" s="14"/>
      <c r="K38" s="14"/>
    </row>
    <row r="39" spans="1:11" s="15" customFormat="1" ht="15" customHeight="1" x14ac:dyDescent="0.25">
      <c r="A39" s="137"/>
      <c r="B39" s="137"/>
      <c r="C39" s="137" t="s">
        <v>428</v>
      </c>
      <c r="D39" s="137" t="s">
        <v>427</v>
      </c>
      <c r="E39" s="20" t="s">
        <v>426</v>
      </c>
      <c r="F39" s="20" t="s">
        <v>158</v>
      </c>
      <c r="G39" s="21">
        <v>187655</v>
      </c>
      <c r="H39" s="21"/>
      <c r="I39" s="21">
        <v>187655</v>
      </c>
      <c r="J39" s="14"/>
      <c r="K39" s="14"/>
    </row>
    <row r="40" spans="1:11" s="15" customFormat="1" x14ac:dyDescent="0.25">
      <c r="A40" s="137"/>
      <c r="B40" s="137"/>
      <c r="C40" s="137"/>
      <c r="D40" s="137"/>
      <c r="E40" s="20" t="s">
        <v>425</v>
      </c>
      <c r="F40" s="20" t="s">
        <v>159</v>
      </c>
      <c r="G40" s="21">
        <v>1819</v>
      </c>
      <c r="H40" s="21"/>
      <c r="I40" s="21">
        <v>1819</v>
      </c>
      <c r="J40" s="14"/>
      <c r="K40" s="14"/>
    </row>
    <row r="41" spans="1:11" s="15" customFormat="1" x14ac:dyDescent="0.25">
      <c r="A41" s="137"/>
      <c r="B41" s="137"/>
      <c r="C41" s="137"/>
      <c r="D41" s="137"/>
      <c r="E41" s="20" t="s">
        <v>424</v>
      </c>
      <c r="F41" s="20" t="s">
        <v>423</v>
      </c>
      <c r="G41" s="21">
        <v>58096</v>
      </c>
      <c r="H41" s="21"/>
      <c r="I41" s="21">
        <v>58096</v>
      </c>
      <c r="J41" s="14"/>
      <c r="K41" s="14"/>
    </row>
    <row r="42" spans="1:11" s="15" customFormat="1" ht="31.5" x14ac:dyDescent="0.25">
      <c r="A42" s="137"/>
      <c r="B42" s="137"/>
      <c r="C42" s="137"/>
      <c r="D42" s="137"/>
      <c r="E42" s="20" t="s">
        <v>422</v>
      </c>
      <c r="F42" s="20" t="s">
        <v>421</v>
      </c>
      <c r="G42" s="21">
        <v>2245</v>
      </c>
      <c r="H42" s="21"/>
      <c r="I42" s="21">
        <v>2245</v>
      </c>
      <c r="J42" s="14"/>
      <c r="K42" s="14"/>
    </row>
    <row r="43" spans="1:11" s="15" customFormat="1" x14ac:dyDescent="0.25">
      <c r="A43" s="137"/>
      <c r="B43" s="137"/>
      <c r="C43" s="137"/>
      <c r="D43" s="137"/>
      <c r="E43" s="20">
        <v>21380</v>
      </c>
      <c r="F43" s="20" t="s">
        <v>934</v>
      </c>
      <c r="G43" s="21">
        <v>1275</v>
      </c>
      <c r="H43" s="21"/>
      <c r="I43" s="21">
        <v>1275</v>
      </c>
      <c r="J43" s="14"/>
      <c r="K43" s="14"/>
    </row>
    <row r="44" spans="1:11" s="15" customFormat="1" ht="15" customHeight="1" x14ac:dyDescent="0.25">
      <c r="A44" s="137"/>
      <c r="B44" s="137"/>
      <c r="C44" s="137"/>
      <c r="D44" s="137"/>
      <c r="E44" s="20" t="s">
        <v>420</v>
      </c>
      <c r="F44" s="20" t="s">
        <v>418</v>
      </c>
      <c r="G44" s="21">
        <v>0</v>
      </c>
      <c r="H44" s="21"/>
      <c r="I44" s="21">
        <v>0</v>
      </c>
      <c r="J44" s="14"/>
      <c r="K44" s="14"/>
    </row>
    <row r="45" spans="1:11" s="15" customFormat="1" x14ac:dyDescent="0.25">
      <c r="A45" s="137"/>
      <c r="B45" s="137"/>
      <c r="C45" s="137"/>
      <c r="D45" s="137"/>
      <c r="E45" s="20" t="s">
        <v>419</v>
      </c>
      <c r="F45" s="20" t="s">
        <v>418</v>
      </c>
      <c r="G45" s="21">
        <v>664807</v>
      </c>
      <c r="H45" s="21"/>
      <c r="I45" s="21">
        <v>664807</v>
      </c>
      <c r="J45" s="14"/>
      <c r="K45" s="14"/>
    </row>
    <row r="46" spans="1:11" s="15" customFormat="1" x14ac:dyDescent="0.25">
      <c r="A46" s="137"/>
      <c r="B46" s="137"/>
      <c r="C46" s="137"/>
      <c r="D46" s="137"/>
      <c r="E46" s="20" t="s">
        <v>417</v>
      </c>
      <c r="F46" s="20" t="s">
        <v>416</v>
      </c>
      <c r="G46" s="21">
        <v>70741</v>
      </c>
      <c r="H46" s="21"/>
      <c r="I46" s="21">
        <v>70741</v>
      </c>
      <c r="J46" s="14"/>
      <c r="K46" s="14"/>
    </row>
    <row r="47" spans="1:11" s="15" customFormat="1" x14ac:dyDescent="0.25">
      <c r="A47" s="137"/>
      <c r="B47" s="137"/>
      <c r="C47" s="137"/>
      <c r="D47" s="137"/>
      <c r="E47" s="20" t="s">
        <v>415</v>
      </c>
      <c r="F47" s="20" t="s">
        <v>414</v>
      </c>
      <c r="G47" s="21">
        <v>35096</v>
      </c>
      <c r="H47" s="21"/>
      <c r="I47" s="21">
        <v>35096</v>
      </c>
      <c r="J47" s="14"/>
      <c r="K47" s="14"/>
    </row>
    <row r="48" spans="1:11" s="15" customFormat="1" x14ac:dyDescent="0.25">
      <c r="A48" s="137"/>
      <c r="B48" s="137"/>
      <c r="C48" s="137"/>
      <c r="D48" s="137"/>
      <c r="E48" s="20" t="s">
        <v>413</v>
      </c>
      <c r="F48" s="20" t="s">
        <v>412</v>
      </c>
      <c r="G48" s="21">
        <v>193038</v>
      </c>
      <c r="H48" s="21"/>
      <c r="I48" s="21">
        <v>193038</v>
      </c>
      <c r="J48" s="14"/>
      <c r="K48" s="14"/>
    </row>
    <row r="49" spans="1:11" s="15" customFormat="1" x14ac:dyDescent="0.25">
      <c r="A49" s="137"/>
      <c r="B49" s="137"/>
      <c r="C49" s="137"/>
      <c r="D49" s="137"/>
      <c r="E49" s="20" t="s">
        <v>411</v>
      </c>
      <c r="F49" s="20" t="s">
        <v>410</v>
      </c>
      <c r="G49" s="21">
        <v>3832</v>
      </c>
      <c r="H49" s="21"/>
      <c r="I49" s="21">
        <v>3832</v>
      </c>
      <c r="J49" s="14"/>
      <c r="K49" s="14"/>
    </row>
    <row r="50" spans="1:11" s="15" customFormat="1" x14ac:dyDescent="0.25">
      <c r="A50" s="137"/>
      <c r="B50" s="137"/>
      <c r="C50" s="137"/>
      <c r="D50" s="137"/>
      <c r="E50" s="20" t="s">
        <v>409</v>
      </c>
      <c r="F50" s="20" t="s">
        <v>408</v>
      </c>
      <c r="G50" s="21">
        <v>19617</v>
      </c>
      <c r="H50" s="21"/>
      <c r="I50" s="21">
        <v>19617</v>
      </c>
      <c r="J50" s="14"/>
      <c r="K50" s="14"/>
    </row>
    <row r="51" spans="1:11" s="15" customFormat="1" x14ac:dyDescent="0.25">
      <c r="A51" s="137"/>
      <c r="B51" s="137"/>
      <c r="C51" s="137"/>
      <c r="D51" s="137"/>
      <c r="E51" s="20" t="s">
        <v>407</v>
      </c>
      <c r="F51" s="20" t="s">
        <v>406</v>
      </c>
      <c r="G51" s="21">
        <v>93000</v>
      </c>
      <c r="H51" s="21"/>
      <c r="I51" s="21">
        <v>93000</v>
      </c>
      <c r="J51" s="14"/>
      <c r="K51" s="14"/>
    </row>
    <row r="52" spans="1:11" s="15" customFormat="1" x14ac:dyDescent="0.25">
      <c r="A52" s="137"/>
      <c r="B52" s="137"/>
      <c r="C52" s="137"/>
      <c r="D52" s="137"/>
      <c r="E52" s="20" t="s">
        <v>405</v>
      </c>
      <c r="F52" s="20" t="s">
        <v>404</v>
      </c>
      <c r="G52" s="21">
        <v>6680</v>
      </c>
      <c r="H52" s="21"/>
      <c r="I52" s="21">
        <v>6680</v>
      </c>
      <c r="J52" s="14"/>
      <c r="K52" s="14"/>
    </row>
    <row r="53" spans="1:11" s="15" customFormat="1" x14ac:dyDescent="0.25">
      <c r="A53" s="137"/>
      <c r="B53" s="137"/>
      <c r="C53" s="137"/>
      <c r="D53" s="137"/>
      <c r="E53" s="20" t="s">
        <v>403</v>
      </c>
      <c r="F53" s="20" t="s">
        <v>160</v>
      </c>
      <c r="G53" s="21">
        <v>50000</v>
      </c>
      <c r="H53" s="21"/>
      <c r="I53" s="21">
        <v>50000</v>
      </c>
      <c r="J53" s="14"/>
      <c r="K53" s="14"/>
    </row>
    <row r="54" spans="1:11" s="15" customFormat="1" x14ac:dyDescent="0.25">
      <c r="A54" s="137"/>
      <c r="B54" s="137"/>
      <c r="C54" s="137"/>
      <c r="D54" s="137"/>
      <c r="E54" s="20" t="s">
        <v>402</v>
      </c>
      <c r="F54" s="20" t="s">
        <v>401</v>
      </c>
      <c r="G54" s="21">
        <v>173624</v>
      </c>
      <c r="H54" s="21"/>
      <c r="I54" s="21">
        <v>173624</v>
      </c>
      <c r="J54" s="14"/>
      <c r="K54" s="14"/>
    </row>
    <row r="55" spans="1:11" s="15" customFormat="1" x14ac:dyDescent="0.25">
      <c r="A55" s="137"/>
      <c r="B55" s="137"/>
      <c r="C55" s="137"/>
      <c r="D55" s="137"/>
      <c r="E55" s="20" t="s">
        <v>400</v>
      </c>
      <c r="F55" s="20" t="s">
        <v>399</v>
      </c>
      <c r="G55" s="21">
        <v>1509907</v>
      </c>
      <c r="H55" s="21"/>
      <c r="I55" s="21">
        <v>1509907</v>
      </c>
      <c r="J55" s="14"/>
      <c r="K55" s="14"/>
    </row>
    <row r="56" spans="1:11" s="15" customFormat="1" x14ac:dyDescent="0.25">
      <c r="A56" s="137"/>
      <c r="B56" s="137"/>
      <c r="C56" s="137"/>
      <c r="D56" s="137"/>
      <c r="E56" s="20" t="s">
        <v>398</v>
      </c>
      <c r="F56" s="20" t="s">
        <v>397</v>
      </c>
      <c r="G56" s="21">
        <v>318881</v>
      </c>
      <c r="H56" s="21"/>
      <c r="I56" s="21">
        <v>318881</v>
      </c>
      <c r="J56" s="14"/>
      <c r="K56" s="14"/>
    </row>
    <row r="57" spans="1:11" s="15" customFormat="1" ht="47.25" x14ac:dyDescent="0.25">
      <c r="A57" s="137"/>
      <c r="B57" s="137"/>
      <c r="C57" s="137"/>
      <c r="D57" s="137"/>
      <c r="E57" s="20">
        <v>21397</v>
      </c>
      <c r="F57" s="20" t="s">
        <v>883</v>
      </c>
      <c r="G57" s="21"/>
      <c r="H57" s="22">
        <v>14567</v>
      </c>
      <c r="I57" s="22">
        <v>14567</v>
      </c>
      <c r="J57" s="14"/>
      <c r="K57" s="14"/>
    </row>
    <row r="58" spans="1:11" s="15" customFormat="1" x14ac:dyDescent="0.25">
      <c r="A58" s="137"/>
      <c r="B58" s="137"/>
      <c r="C58" s="137"/>
      <c r="D58" s="137"/>
      <c r="E58" s="20" t="s">
        <v>396</v>
      </c>
      <c r="F58" s="20" t="s">
        <v>395</v>
      </c>
      <c r="G58" s="21">
        <v>4050</v>
      </c>
      <c r="H58" s="21"/>
      <c r="I58" s="21">
        <v>4050</v>
      </c>
      <c r="J58" s="14"/>
      <c r="K58" s="14"/>
    </row>
    <row r="59" spans="1:11" s="15" customFormat="1" x14ac:dyDescent="0.25">
      <c r="A59" s="137"/>
      <c r="B59" s="137"/>
      <c r="C59" s="137"/>
      <c r="D59" s="137"/>
      <c r="E59" s="20" t="s">
        <v>394</v>
      </c>
      <c r="F59" s="20" t="s">
        <v>393</v>
      </c>
      <c r="G59" s="21">
        <v>50000</v>
      </c>
      <c r="H59" s="21"/>
      <c r="I59" s="21">
        <v>50000</v>
      </c>
      <c r="J59" s="14"/>
      <c r="K59" s="14"/>
    </row>
    <row r="60" spans="1:11" s="15" customFormat="1" x14ac:dyDescent="0.25">
      <c r="A60" s="137"/>
      <c r="B60" s="137"/>
      <c r="C60" s="137"/>
      <c r="D60" s="137"/>
      <c r="E60" s="20" t="s">
        <v>392</v>
      </c>
      <c r="F60" s="20" t="s">
        <v>391</v>
      </c>
      <c r="G60" s="21">
        <v>15200</v>
      </c>
      <c r="H60" s="21"/>
      <c r="I60" s="21">
        <v>15200</v>
      </c>
      <c r="J60" s="14"/>
      <c r="K60" s="14"/>
    </row>
    <row r="61" spans="1:11" s="15" customFormat="1" x14ac:dyDescent="0.25">
      <c r="A61" s="137"/>
      <c r="B61" s="137"/>
      <c r="C61" s="137"/>
      <c r="D61" s="137"/>
      <c r="E61" s="20">
        <v>213993</v>
      </c>
      <c r="F61" s="20" t="s">
        <v>935</v>
      </c>
      <c r="G61" s="21">
        <v>142446</v>
      </c>
      <c r="H61" s="21"/>
      <c r="I61" s="21">
        <v>142446</v>
      </c>
      <c r="J61" s="14"/>
      <c r="K61" s="14"/>
    </row>
    <row r="62" spans="1:11" s="15" customFormat="1" x14ac:dyDescent="0.25">
      <c r="A62" s="137"/>
      <c r="B62" s="137"/>
      <c r="C62" s="137"/>
      <c r="D62" s="137"/>
      <c r="E62" s="20" t="s">
        <v>390</v>
      </c>
      <c r="F62" s="20" t="s">
        <v>389</v>
      </c>
      <c r="G62" s="21">
        <v>27749</v>
      </c>
      <c r="H62" s="21"/>
      <c r="I62" s="21">
        <v>27749</v>
      </c>
      <c r="J62" s="14"/>
      <c r="K62" s="14"/>
    </row>
    <row r="63" spans="1:11" s="15" customFormat="1" x14ac:dyDescent="0.25">
      <c r="A63" s="137"/>
      <c r="B63" s="137"/>
      <c r="C63" s="137"/>
      <c r="D63" s="137"/>
      <c r="E63" s="20" t="s">
        <v>388</v>
      </c>
      <c r="F63" s="20" t="s">
        <v>387</v>
      </c>
      <c r="G63" s="21">
        <v>179</v>
      </c>
      <c r="H63" s="21"/>
      <c r="I63" s="21">
        <v>179</v>
      </c>
      <c r="J63" s="14"/>
      <c r="K63" s="14"/>
    </row>
    <row r="64" spans="1:11" s="15" customFormat="1" x14ac:dyDescent="0.25">
      <c r="A64" s="137"/>
      <c r="B64" s="137"/>
      <c r="C64" s="137"/>
      <c r="D64" s="137"/>
      <c r="E64" s="20" t="s">
        <v>386</v>
      </c>
      <c r="F64" s="20" t="s">
        <v>385</v>
      </c>
      <c r="G64" s="21"/>
      <c r="H64" s="21"/>
      <c r="I64" s="21">
        <v>0</v>
      </c>
      <c r="J64" s="14"/>
      <c r="K64" s="14"/>
    </row>
    <row r="65" spans="1:11" s="15" customFormat="1" x14ac:dyDescent="0.25">
      <c r="A65" s="137"/>
      <c r="B65" s="137"/>
      <c r="C65" s="137"/>
      <c r="D65" s="137"/>
      <c r="E65" s="20" t="s">
        <v>384</v>
      </c>
      <c r="F65" s="20" t="s">
        <v>383</v>
      </c>
      <c r="G65" s="21">
        <v>33000</v>
      </c>
      <c r="H65" s="21"/>
      <c r="I65" s="21">
        <v>33000</v>
      </c>
      <c r="J65" s="14"/>
      <c r="K65" s="14"/>
    </row>
    <row r="66" spans="1:11" s="15" customFormat="1" x14ac:dyDescent="0.25">
      <c r="A66" s="137"/>
      <c r="B66" s="137"/>
      <c r="C66" s="137"/>
      <c r="D66" s="137"/>
      <c r="E66" s="20">
        <v>213997</v>
      </c>
      <c r="F66" s="20" t="s">
        <v>819</v>
      </c>
      <c r="G66" s="21">
        <v>140</v>
      </c>
      <c r="H66" s="21"/>
      <c r="I66" s="21">
        <v>140</v>
      </c>
      <c r="J66" s="14"/>
      <c r="K66" s="14"/>
    </row>
    <row r="67" spans="1:11" s="15" customFormat="1" x14ac:dyDescent="0.25">
      <c r="A67" s="137"/>
      <c r="B67" s="137"/>
      <c r="C67" s="137"/>
      <c r="D67" s="137"/>
      <c r="E67" s="20" t="s">
        <v>382</v>
      </c>
      <c r="F67" s="20" t="s">
        <v>381</v>
      </c>
      <c r="G67" s="21">
        <v>7577</v>
      </c>
      <c r="H67" s="21"/>
      <c r="I67" s="21">
        <v>7577</v>
      </c>
      <c r="J67" s="14"/>
      <c r="K67" s="14"/>
    </row>
    <row r="68" spans="1:11" s="15" customFormat="1" x14ac:dyDescent="0.25">
      <c r="A68" s="137"/>
      <c r="B68" s="137"/>
      <c r="C68" s="137"/>
      <c r="D68" s="137"/>
      <c r="E68" s="20" t="s">
        <v>380</v>
      </c>
      <c r="F68" s="20" t="s">
        <v>379</v>
      </c>
      <c r="G68" s="21">
        <v>25846</v>
      </c>
      <c r="H68" s="21"/>
      <c r="I68" s="21">
        <v>25846</v>
      </c>
      <c r="J68" s="14"/>
      <c r="K68" s="14"/>
    </row>
    <row r="69" spans="1:11" s="15" customFormat="1" ht="45" customHeight="1" x14ac:dyDescent="0.25">
      <c r="A69" s="137"/>
      <c r="B69" s="137"/>
      <c r="C69" s="18">
        <v>21400</v>
      </c>
      <c r="D69" s="18" t="s">
        <v>820</v>
      </c>
      <c r="E69" s="20">
        <v>21429</v>
      </c>
      <c r="F69" s="20" t="s">
        <v>921</v>
      </c>
      <c r="G69" s="21">
        <v>0</v>
      </c>
      <c r="H69" s="21"/>
      <c r="I69" s="21">
        <v>0</v>
      </c>
      <c r="J69" s="14"/>
      <c r="K69" s="14"/>
    </row>
    <row r="70" spans="1:11" s="15" customFormat="1" ht="15" customHeight="1" x14ac:dyDescent="0.25">
      <c r="A70" s="137" t="s">
        <v>378</v>
      </c>
      <c r="B70" s="137" t="s">
        <v>377</v>
      </c>
      <c r="C70" s="138" t="s">
        <v>307</v>
      </c>
      <c r="D70" s="139"/>
      <c r="E70" s="139"/>
      <c r="F70" s="140"/>
      <c r="G70" s="19">
        <v>2897415</v>
      </c>
      <c r="H70" s="19">
        <v>0</v>
      </c>
      <c r="I70" s="19">
        <v>2897415</v>
      </c>
      <c r="J70" s="14"/>
      <c r="K70" s="14"/>
    </row>
    <row r="71" spans="1:11" s="15" customFormat="1" ht="31.5" x14ac:dyDescent="0.25">
      <c r="A71" s="137"/>
      <c r="B71" s="137"/>
      <c r="C71" s="137" t="s">
        <v>376</v>
      </c>
      <c r="D71" s="137" t="s">
        <v>375</v>
      </c>
      <c r="E71" s="20" t="s">
        <v>374</v>
      </c>
      <c r="F71" s="20" t="s">
        <v>373</v>
      </c>
      <c r="G71" s="21">
        <v>1527300</v>
      </c>
      <c r="H71" s="21"/>
      <c r="I71" s="21">
        <v>1527300</v>
      </c>
      <c r="J71" s="14"/>
      <c r="K71" s="14"/>
    </row>
    <row r="72" spans="1:11" s="15" customFormat="1" ht="31.5" x14ac:dyDescent="0.25">
      <c r="A72" s="137"/>
      <c r="B72" s="137"/>
      <c r="C72" s="137"/>
      <c r="D72" s="137"/>
      <c r="E72" s="20" t="s">
        <v>372</v>
      </c>
      <c r="F72" s="20" t="s">
        <v>371</v>
      </c>
      <c r="G72" s="21">
        <v>185400</v>
      </c>
      <c r="H72" s="21"/>
      <c r="I72" s="21">
        <v>185400</v>
      </c>
      <c r="J72" s="14"/>
      <c r="K72" s="14"/>
    </row>
    <row r="73" spans="1:11" s="15" customFormat="1" x14ac:dyDescent="0.25">
      <c r="A73" s="137"/>
      <c r="B73" s="137"/>
      <c r="C73" s="137"/>
      <c r="D73" s="137"/>
      <c r="E73" s="20" t="s">
        <v>370</v>
      </c>
      <c r="F73" s="20" t="s">
        <v>369</v>
      </c>
      <c r="G73" s="21">
        <v>49500</v>
      </c>
      <c r="H73" s="21"/>
      <c r="I73" s="21">
        <v>49500</v>
      </c>
      <c r="J73" s="14"/>
      <c r="K73" s="14"/>
    </row>
    <row r="74" spans="1:11" s="15" customFormat="1" ht="31.5" x14ac:dyDescent="0.25">
      <c r="A74" s="137"/>
      <c r="B74" s="137"/>
      <c r="C74" s="137"/>
      <c r="D74" s="137"/>
      <c r="E74" s="20" t="s">
        <v>117</v>
      </c>
      <c r="F74" s="20" t="s">
        <v>368</v>
      </c>
      <c r="G74" s="21">
        <v>633400</v>
      </c>
      <c r="H74" s="21"/>
      <c r="I74" s="21">
        <v>633400</v>
      </c>
      <c r="J74" s="14"/>
      <c r="K74" s="14"/>
    </row>
    <row r="75" spans="1:11" s="15" customFormat="1" ht="31.5" x14ac:dyDescent="0.25">
      <c r="A75" s="137"/>
      <c r="B75" s="137"/>
      <c r="C75" s="137"/>
      <c r="D75" s="137"/>
      <c r="E75" s="20" t="s">
        <v>367</v>
      </c>
      <c r="F75" s="20" t="s">
        <v>366</v>
      </c>
      <c r="G75" s="21">
        <v>38000</v>
      </c>
      <c r="H75" s="21"/>
      <c r="I75" s="21">
        <v>38000</v>
      </c>
      <c r="J75" s="14"/>
      <c r="K75" s="14"/>
    </row>
    <row r="76" spans="1:11" s="15" customFormat="1" x14ac:dyDescent="0.25">
      <c r="A76" s="137"/>
      <c r="B76" s="137"/>
      <c r="C76" s="137"/>
      <c r="D76" s="137"/>
      <c r="E76" s="20" t="s">
        <v>365</v>
      </c>
      <c r="F76" s="20" t="s">
        <v>364</v>
      </c>
      <c r="G76" s="21">
        <v>8800</v>
      </c>
      <c r="H76" s="21"/>
      <c r="I76" s="21">
        <v>8800</v>
      </c>
      <c r="J76" s="14"/>
      <c r="K76" s="14"/>
    </row>
    <row r="77" spans="1:11" s="15" customFormat="1" ht="31.5" x14ac:dyDescent="0.25">
      <c r="A77" s="137"/>
      <c r="B77" s="137"/>
      <c r="C77" s="137"/>
      <c r="D77" s="137"/>
      <c r="E77" s="20" t="s">
        <v>363</v>
      </c>
      <c r="F77" s="20" t="s">
        <v>362</v>
      </c>
      <c r="G77" s="21">
        <v>393115</v>
      </c>
      <c r="H77" s="21"/>
      <c r="I77" s="21">
        <v>393115</v>
      </c>
      <c r="J77" s="14"/>
      <c r="K77" s="14"/>
    </row>
    <row r="78" spans="1:11" s="15" customFormat="1" ht="31.5" x14ac:dyDescent="0.25">
      <c r="A78" s="137"/>
      <c r="B78" s="137"/>
      <c r="C78" s="137"/>
      <c r="D78" s="137"/>
      <c r="E78" s="20" t="s">
        <v>361</v>
      </c>
      <c r="F78" s="20" t="s">
        <v>360</v>
      </c>
      <c r="G78" s="21">
        <v>50400</v>
      </c>
      <c r="H78" s="21"/>
      <c r="I78" s="21">
        <v>50400</v>
      </c>
      <c r="J78" s="14"/>
      <c r="K78" s="14"/>
    </row>
    <row r="79" spans="1:11" s="15" customFormat="1" x14ac:dyDescent="0.25">
      <c r="A79" s="137"/>
      <c r="B79" s="137"/>
      <c r="C79" s="137"/>
      <c r="D79" s="137"/>
      <c r="E79" s="20" t="s">
        <v>359</v>
      </c>
      <c r="F79" s="20" t="s">
        <v>358</v>
      </c>
      <c r="G79" s="21">
        <v>11500</v>
      </c>
      <c r="H79" s="21"/>
      <c r="I79" s="21">
        <v>11500</v>
      </c>
      <c r="J79" s="14"/>
      <c r="K79" s="14"/>
    </row>
    <row r="80" spans="1:11" s="15" customFormat="1" x14ac:dyDescent="0.25">
      <c r="A80" s="137" t="s">
        <v>357</v>
      </c>
      <c r="B80" s="137" t="s">
        <v>356</v>
      </c>
      <c r="C80" s="138" t="s">
        <v>307</v>
      </c>
      <c r="D80" s="139"/>
      <c r="E80" s="139"/>
      <c r="F80" s="140"/>
      <c r="G80" s="19">
        <v>321600</v>
      </c>
      <c r="H80" s="19">
        <v>0</v>
      </c>
      <c r="I80" s="19">
        <v>321600</v>
      </c>
      <c r="J80" s="14"/>
      <c r="K80" s="14"/>
    </row>
    <row r="81" spans="1:11" s="15" customFormat="1" ht="47.25" x14ac:dyDescent="0.25">
      <c r="A81" s="137"/>
      <c r="B81" s="137"/>
      <c r="C81" s="18" t="s">
        <v>355</v>
      </c>
      <c r="D81" s="18" t="s">
        <v>0</v>
      </c>
      <c r="E81" s="20" t="s">
        <v>354</v>
      </c>
      <c r="F81" s="20" t="s">
        <v>164</v>
      </c>
      <c r="G81" s="21">
        <v>21600</v>
      </c>
      <c r="H81" s="21"/>
      <c r="I81" s="21">
        <v>21600</v>
      </c>
      <c r="J81" s="14"/>
      <c r="K81" s="14"/>
    </row>
    <row r="82" spans="1:11" s="15" customFormat="1" ht="63" x14ac:dyDescent="0.25">
      <c r="A82" s="137"/>
      <c r="B82" s="137"/>
      <c r="C82" s="18" t="s">
        <v>353</v>
      </c>
      <c r="D82" s="18" t="s">
        <v>352</v>
      </c>
      <c r="E82" s="20" t="s">
        <v>351</v>
      </c>
      <c r="F82" s="20" t="s">
        <v>350</v>
      </c>
      <c r="G82" s="21">
        <v>300000</v>
      </c>
      <c r="H82" s="21"/>
      <c r="I82" s="21">
        <v>300000</v>
      </c>
      <c r="J82" s="14"/>
      <c r="K82" s="14"/>
    </row>
    <row r="83" spans="1:11" s="15" customFormat="1" ht="15" customHeight="1" x14ac:dyDescent="0.25">
      <c r="A83" s="137" t="s">
        <v>349</v>
      </c>
      <c r="B83" s="137" t="s">
        <v>348</v>
      </c>
      <c r="C83" s="138" t="s">
        <v>307</v>
      </c>
      <c r="D83" s="139"/>
      <c r="E83" s="139"/>
      <c r="F83" s="140"/>
      <c r="G83" s="19">
        <v>0</v>
      </c>
      <c r="H83" s="19"/>
      <c r="I83" s="19">
        <v>0</v>
      </c>
      <c r="J83" s="14"/>
      <c r="K83" s="14"/>
    </row>
    <row r="84" spans="1:11" s="15" customFormat="1" ht="45" customHeight="1" x14ac:dyDescent="0.25">
      <c r="A84" s="137"/>
      <c r="B84" s="137"/>
      <c r="C84" s="18" t="s">
        <v>347</v>
      </c>
      <c r="D84" s="18" t="s">
        <v>346</v>
      </c>
      <c r="E84" s="20" t="s">
        <v>345</v>
      </c>
      <c r="F84" s="20" t="s">
        <v>344</v>
      </c>
      <c r="G84" s="21">
        <v>0</v>
      </c>
      <c r="H84" s="21"/>
      <c r="I84" s="21">
        <v>0</v>
      </c>
      <c r="J84" s="14"/>
      <c r="K84" s="14"/>
    </row>
    <row r="85" spans="1:11" s="15" customFormat="1" ht="15" customHeight="1" x14ac:dyDescent="0.25">
      <c r="A85" s="137" t="s">
        <v>343</v>
      </c>
      <c r="B85" s="137" t="s">
        <v>342</v>
      </c>
      <c r="C85" s="138" t="s">
        <v>307</v>
      </c>
      <c r="D85" s="139"/>
      <c r="E85" s="139"/>
      <c r="F85" s="140"/>
      <c r="G85" s="19">
        <v>39270</v>
      </c>
      <c r="H85" s="19">
        <v>0</v>
      </c>
      <c r="I85" s="19">
        <v>39270</v>
      </c>
      <c r="J85" s="14"/>
      <c r="K85" s="14"/>
    </row>
    <row r="86" spans="1:11" s="15" customFormat="1" ht="30" customHeight="1" x14ac:dyDescent="0.25">
      <c r="A86" s="137"/>
      <c r="B86" s="137"/>
      <c r="C86" s="137" t="s">
        <v>341</v>
      </c>
      <c r="D86" s="137" t="s">
        <v>340</v>
      </c>
      <c r="E86" s="20" t="s">
        <v>339</v>
      </c>
      <c r="F86" s="20" t="s">
        <v>338</v>
      </c>
      <c r="G86" s="21"/>
      <c r="H86" s="21"/>
      <c r="I86" s="21">
        <v>0</v>
      </c>
      <c r="J86" s="14"/>
      <c r="K86" s="14"/>
    </row>
    <row r="87" spans="1:11" s="15" customFormat="1" x14ac:dyDescent="0.25">
      <c r="A87" s="137"/>
      <c r="B87" s="137"/>
      <c r="C87" s="137"/>
      <c r="D87" s="137"/>
      <c r="E87" s="20" t="s">
        <v>337</v>
      </c>
      <c r="F87" s="20" t="s">
        <v>336</v>
      </c>
      <c r="G87" s="21">
        <v>545</v>
      </c>
      <c r="H87" s="21"/>
      <c r="I87" s="21">
        <v>545</v>
      </c>
      <c r="J87" s="14"/>
      <c r="K87" s="14"/>
    </row>
    <row r="88" spans="1:11" s="15" customFormat="1" ht="30" customHeight="1" x14ac:dyDescent="0.25">
      <c r="A88" s="137"/>
      <c r="B88" s="137"/>
      <c r="C88" s="137" t="s">
        <v>335</v>
      </c>
      <c r="D88" s="137" t="s">
        <v>334</v>
      </c>
      <c r="E88" s="20" t="s">
        <v>333</v>
      </c>
      <c r="F88" s="20" t="s">
        <v>332</v>
      </c>
      <c r="G88" s="21">
        <v>4500</v>
      </c>
      <c r="H88" s="21"/>
      <c r="I88" s="21">
        <v>4500</v>
      </c>
      <c r="J88" s="14"/>
      <c r="K88" s="14"/>
    </row>
    <row r="89" spans="1:11" s="15" customFormat="1" ht="31.5" x14ac:dyDescent="0.25">
      <c r="A89" s="137"/>
      <c r="B89" s="137"/>
      <c r="C89" s="137"/>
      <c r="D89" s="137"/>
      <c r="E89" s="20" t="s">
        <v>331</v>
      </c>
      <c r="F89" s="20" t="s">
        <v>330</v>
      </c>
      <c r="G89" s="21">
        <v>1150</v>
      </c>
      <c r="H89" s="21"/>
      <c r="I89" s="21">
        <v>1150</v>
      </c>
      <c r="J89" s="14"/>
      <c r="K89" s="14"/>
    </row>
    <row r="90" spans="1:11" s="15" customFormat="1" ht="31.5" x14ac:dyDescent="0.25">
      <c r="A90" s="137"/>
      <c r="B90" s="137"/>
      <c r="C90" s="137"/>
      <c r="D90" s="137"/>
      <c r="E90" s="20" t="s">
        <v>329</v>
      </c>
      <c r="F90" s="20" t="s">
        <v>154</v>
      </c>
      <c r="G90" s="21">
        <v>4000</v>
      </c>
      <c r="H90" s="21"/>
      <c r="I90" s="21">
        <v>4000</v>
      </c>
      <c r="J90" s="14"/>
      <c r="K90" s="14"/>
    </row>
    <row r="91" spans="1:11" s="15" customFormat="1" ht="31.5" x14ac:dyDescent="0.25">
      <c r="A91" s="137"/>
      <c r="B91" s="137"/>
      <c r="C91" s="137"/>
      <c r="D91" s="137"/>
      <c r="E91" s="20" t="s">
        <v>328</v>
      </c>
      <c r="F91" s="20" t="s">
        <v>165</v>
      </c>
      <c r="G91" s="21">
        <v>135</v>
      </c>
      <c r="H91" s="21"/>
      <c r="I91" s="21">
        <v>135</v>
      </c>
      <c r="J91" s="14"/>
      <c r="K91" s="14"/>
    </row>
    <row r="92" spans="1:11" s="15" customFormat="1" ht="31.5" x14ac:dyDescent="0.25">
      <c r="A92" s="137"/>
      <c r="B92" s="137"/>
      <c r="C92" s="137" t="s">
        <v>327</v>
      </c>
      <c r="D92" s="137" t="s">
        <v>326</v>
      </c>
      <c r="E92" s="20" t="s">
        <v>96</v>
      </c>
      <c r="F92" s="20" t="s">
        <v>325</v>
      </c>
      <c r="G92" s="21">
        <v>2000</v>
      </c>
      <c r="H92" s="21"/>
      <c r="I92" s="21">
        <v>2000</v>
      </c>
      <c r="J92" s="14"/>
      <c r="K92" s="14"/>
    </row>
    <row r="93" spans="1:11" s="15" customFormat="1" x14ac:dyDescent="0.25">
      <c r="A93" s="137"/>
      <c r="B93" s="137"/>
      <c r="C93" s="137"/>
      <c r="D93" s="137"/>
      <c r="E93" s="20" t="s">
        <v>98</v>
      </c>
      <c r="F93" s="20" t="s">
        <v>155</v>
      </c>
      <c r="G93" s="21">
        <v>25005</v>
      </c>
      <c r="H93" s="22"/>
      <c r="I93" s="22">
        <v>25005</v>
      </c>
      <c r="J93" s="14"/>
      <c r="K93" s="14"/>
    </row>
    <row r="94" spans="1:11" s="15" customFormat="1" ht="31.5" x14ac:dyDescent="0.25">
      <c r="A94" s="137"/>
      <c r="B94" s="137"/>
      <c r="C94" s="137"/>
      <c r="D94" s="137"/>
      <c r="E94" s="20" t="s">
        <v>152</v>
      </c>
      <c r="F94" s="20" t="s">
        <v>156</v>
      </c>
      <c r="G94" s="21">
        <v>800</v>
      </c>
      <c r="H94" s="21"/>
      <c r="I94" s="21">
        <v>800</v>
      </c>
      <c r="J94" s="14"/>
      <c r="K94" s="14"/>
    </row>
    <row r="95" spans="1:11" s="15" customFormat="1" ht="31.5" x14ac:dyDescent="0.25">
      <c r="A95" s="137"/>
      <c r="B95" s="137"/>
      <c r="C95" s="137"/>
      <c r="D95" s="137"/>
      <c r="E95" s="20">
        <v>9521</v>
      </c>
      <c r="F95" s="20" t="s">
        <v>821</v>
      </c>
      <c r="G95" s="21">
        <v>1000</v>
      </c>
      <c r="H95" s="21"/>
      <c r="I95" s="21">
        <v>1000</v>
      </c>
      <c r="J95" s="14"/>
      <c r="K95" s="14"/>
    </row>
    <row r="96" spans="1:11" s="15" customFormat="1" x14ac:dyDescent="0.25">
      <c r="A96" s="137"/>
      <c r="B96" s="137"/>
      <c r="C96" s="137"/>
      <c r="D96" s="137"/>
      <c r="E96" s="20" t="s">
        <v>324</v>
      </c>
      <c r="F96" s="20" t="s">
        <v>323</v>
      </c>
      <c r="G96" s="21">
        <v>135</v>
      </c>
      <c r="H96" s="21"/>
      <c r="I96" s="21">
        <v>135</v>
      </c>
      <c r="J96" s="14"/>
      <c r="K96" s="14"/>
    </row>
    <row r="97" spans="1:11" s="15" customFormat="1" x14ac:dyDescent="0.25">
      <c r="A97" s="155"/>
      <c r="B97" s="155"/>
      <c r="C97" s="155"/>
      <c r="D97" s="155"/>
      <c r="E97" s="155"/>
      <c r="F97" s="155"/>
      <c r="G97" s="155"/>
      <c r="J97" s="14"/>
      <c r="K97" s="14"/>
    </row>
    <row r="98" spans="1:11" s="11" customFormat="1" ht="30.6" customHeight="1" x14ac:dyDescent="0.2">
      <c r="A98" s="143" t="s">
        <v>949</v>
      </c>
      <c r="B98" s="144"/>
      <c r="C98" s="144"/>
      <c r="D98" s="144"/>
      <c r="E98" s="144"/>
      <c r="F98" s="144"/>
      <c r="G98" s="144"/>
      <c r="H98" s="145"/>
      <c r="I98" s="145"/>
      <c r="J98" s="10"/>
      <c r="K98" s="10"/>
    </row>
    <row r="99" spans="1:11" s="15" customFormat="1" ht="30" customHeight="1" x14ac:dyDescent="0.25">
      <c r="A99" s="146" t="s">
        <v>552</v>
      </c>
      <c r="B99" s="147"/>
      <c r="C99" s="147"/>
      <c r="D99" s="148"/>
      <c r="E99" s="149" t="s">
        <v>553</v>
      </c>
      <c r="F99" s="149"/>
      <c r="G99" s="12" t="s">
        <v>556</v>
      </c>
      <c r="H99" s="13" t="s">
        <v>559</v>
      </c>
      <c r="I99" s="13" t="s">
        <v>558</v>
      </c>
      <c r="J99" s="14"/>
      <c r="K99" s="14"/>
    </row>
    <row r="100" spans="1:11" s="15" customFormat="1" x14ac:dyDescent="0.25">
      <c r="A100" s="161" t="s">
        <v>307</v>
      </c>
      <c r="B100" s="162"/>
      <c r="C100" s="162"/>
      <c r="D100" s="162"/>
      <c r="E100" s="162"/>
      <c r="F100" s="163"/>
      <c r="G100" s="24">
        <v>60195667</v>
      </c>
      <c r="H100" s="24">
        <v>286175</v>
      </c>
      <c r="I100" s="24">
        <v>60481842</v>
      </c>
      <c r="J100" s="17"/>
      <c r="K100" s="17"/>
    </row>
    <row r="101" spans="1:11" s="15" customFormat="1" x14ac:dyDescent="0.25">
      <c r="A101" s="151" t="s">
        <v>488</v>
      </c>
      <c r="B101" s="152"/>
      <c r="C101" s="153"/>
      <c r="D101" s="137" t="s">
        <v>489</v>
      </c>
      <c r="E101" s="160" t="s">
        <v>307</v>
      </c>
      <c r="F101" s="160"/>
      <c r="G101" s="19">
        <v>31825905</v>
      </c>
      <c r="H101" s="19">
        <v>55021</v>
      </c>
      <c r="I101" s="19">
        <v>31880926</v>
      </c>
      <c r="J101" s="14"/>
      <c r="K101" s="17"/>
    </row>
    <row r="102" spans="1:11" s="15" customFormat="1" x14ac:dyDescent="0.25">
      <c r="A102" s="154"/>
      <c r="B102" s="155"/>
      <c r="C102" s="156"/>
      <c r="D102" s="137"/>
      <c r="E102" s="20" t="s">
        <v>183</v>
      </c>
      <c r="F102" s="20" t="s">
        <v>294</v>
      </c>
      <c r="G102" s="21">
        <v>24922503</v>
      </c>
      <c r="H102" s="21">
        <v>-193025</v>
      </c>
      <c r="I102" s="21">
        <v>24729478</v>
      </c>
      <c r="J102" s="17"/>
      <c r="K102" s="17"/>
    </row>
    <row r="103" spans="1:11" s="15" customFormat="1" x14ac:dyDescent="0.25">
      <c r="A103" s="157"/>
      <c r="B103" s="158"/>
      <c r="C103" s="159"/>
      <c r="D103" s="137"/>
      <c r="E103" s="20" t="s">
        <v>184</v>
      </c>
      <c r="F103" s="20" t="s">
        <v>295</v>
      </c>
      <c r="G103" s="21">
        <v>6903402</v>
      </c>
      <c r="H103" s="21">
        <v>248046</v>
      </c>
      <c r="I103" s="21">
        <v>7151448</v>
      </c>
      <c r="J103" s="17"/>
      <c r="K103" s="17"/>
    </row>
    <row r="104" spans="1:11" s="15" customFormat="1" x14ac:dyDescent="0.25">
      <c r="A104" s="151" t="s">
        <v>490</v>
      </c>
      <c r="B104" s="152"/>
      <c r="C104" s="153"/>
      <c r="D104" s="137" t="s">
        <v>491</v>
      </c>
      <c r="E104" s="160" t="s">
        <v>307</v>
      </c>
      <c r="F104" s="160"/>
      <c r="G104" s="19">
        <v>18950048</v>
      </c>
      <c r="H104" s="19">
        <v>131929</v>
      </c>
      <c r="I104" s="19">
        <v>19081977</v>
      </c>
      <c r="J104" s="17"/>
      <c r="K104" s="17"/>
    </row>
    <row r="105" spans="1:11" s="15" customFormat="1" x14ac:dyDescent="0.25">
      <c r="A105" s="154"/>
      <c r="B105" s="155"/>
      <c r="C105" s="156"/>
      <c r="D105" s="137"/>
      <c r="E105" s="20" t="s">
        <v>185</v>
      </c>
      <c r="F105" s="20" t="s">
        <v>296</v>
      </c>
      <c r="G105" s="21">
        <v>158428</v>
      </c>
      <c r="H105" s="21">
        <v>5107</v>
      </c>
      <c r="I105" s="21">
        <v>163535</v>
      </c>
      <c r="J105" s="17"/>
      <c r="K105" s="17"/>
    </row>
    <row r="106" spans="1:11" s="15" customFormat="1" x14ac:dyDescent="0.25">
      <c r="A106" s="154"/>
      <c r="B106" s="155"/>
      <c r="C106" s="156"/>
      <c r="D106" s="137"/>
      <c r="E106" s="20" t="s">
        <v>186</v>
      </c>
      <c r="F106" s="20" t="s">
        <v>110</v>
      </c>
      <c r="G106" s="21">
        <v>13662403</v>
      </c>
      <c r="H106" s="21">
        <v>8663</v>
      </c>
      <c r="I106" s="21">
        <v>13671066</v>
      </c>
      <c r="J106" s="17"/>
      <c r="K106" s="17"/>
    </row>
    <row r="107" spans="1:11" s="15" customFormat="1" ht="31.5" x14ac:dyDescent="0.25">
      <c r="A107" s="154"/>
      <c r="B107" s="155"/>
      <c r="C107" s="156"/>
      <c r="D107" s="137"/>
      <c r="E107" s="20" t="s">
        <v>187</v>
      </c>
      <c r="F107" s="20" t="s">
        <v>292</v>
      </c>
      <c r="G107" s="21">
        <v>4803526</v>
      </c>
      <c r="H107" s="21">
        <v>118159</v>
      </c>
      <c r="I107" s="21">
        <v>4921685</v>
      </c>
      <c r="J107" s="17"/>
      <c r="K107" s="17"/>
    </row>
    <row r="108" spans="1:11" s="15" customFormat="1" ht="15" customHeight="1" x14ac:dyDescent="0.25">
      <c r="A108" s="154"/>
      <c r="B108" s="155"/>
      <c r="C108" s="156"/>
      <c r="D108" s="137"/>
      <c r="E108" s="20" t="s">
        <v>188</v>
      </c>
      <c r="F108" s="20" t="s">
        <v>297</v>
      </c>
      <c r="G108" s="21">
        <v>18077</v>
      </c>
      <c r="H108" s="21">
        <v>0</v>
      </c>
      <c r="I108" s="21">
        <v>18077</v>
      </c>
      <c r="J108" s="17"/>
      <c r="K108" s="17"/>
    </row>
    <row r="109" spans="1:11" s="15" customFormat="1" x14ac:dyDescent="0.25">
      <c r="A109" s="157"/>
      <c r="B109" s="158"/>
      <c r="C109" s="159"/>
      <c r="D109" s="137"/>
      <c r="E109" s="20" t="s">
        <v>189</v>
      </c>
      <c r="F109" s="20" t="s">
        <v>298</v>
      </c>
      <c r="G109" s="21">
        <v>307614</v>
      </c>
      <c r="H109" s="21">
        <v>0</v>
      </c>
      <c r="I109" s="21">
        <v>307614</v>
      </c>
      <c r="J109" s="17"/>
      <c r="K109" s="17"/>
    </row>
    <row r="110" spans="1:11" s="15" customFormat="1" x14ac:dyDescent="0.25">
      <c r="A110" s="151" t="s">
        <v>492</v>
      </c>
      <c r="B110" s="152"/>
      <c r="C110" s="153"/>
      <c r="D110" s="137" t="s">
        <v>493</v>
      </c>
      <c r="E110" s="160" t="s">
        <v>307</v>
      </c>
      <c r="F110" s="160"/>
      <c r="G110" s="19">
        <v>1964697</v>
      </c>
      <c r="H110" s="19">
        <v>-14848</v>
      </c>
      <c r="I110" s="19">
        <v>1949849</v>
      </c>
      <c r="J110" s="17"/>
      <c r="K110" s="17"/>
    </row>
    <row r="111" spans="1:11" s="15" customFormat="1" ht="31.5" x14ac:dyDescent="0.25">
      <c r="A111" s="154"/>
      <c r="B111" s="155"/>
      <c r="C111" s="156"/>
      <c r="D111" s="137"/>
      <c r="E111" s="20" t="s">
        <v>145</v>
      </c>
      <c r="F111" s="20" t="s">
        <v>299</v>
      </c>
      <c r="G111" s="21">
        <v>1964697</v>
      </c>
      <c r="H111" s="21">
        <v>-14848</v>
      </c>
      <c r="I111" s="21">
        <v>1949849</v>
      </c>
      <c r="J111" s="17"/>
      <c r="K111" s="17"/>
    </row>
    <row r="112" spans="1:11" s="15" customFormat="1" ht="47.25" hidden="1" x14ac:dyDescent="0.25">
      <c r="A112" s="157"/>
      <c r="B112" s="158"/>
      <c r="C112" s="159"/>
      <c r="D112" s="137"/>
      <c r="E112" s="20" t="s">
        <v>190</v>
      </c>
      <c r="F112" s="20" t="s">
        <v>494</v>
      </c>
      <c r="G112" s="21">
        <v>0</v>
      </c>
      <c r="H112" s="21">
        <v>0</v>
      </c>
      <c r="I112" s="21">
        <v>0</v>
      </c>
      <c r="J112" s="17"/>
      <c r="K112" s="17"/>
    </row>
    <row r="113" spans="1:11" s="15" customFormat="1" x14ac:dyDescent="0.25">
      <c r="A113" s="151" t="s">
        <v>191</v>
      </c>
      <c r="B113" s="152"/>
      <c r="C113" s="153"/>
      <c r="D113" s="137" t="s">
        <v>300</v>
      </c>
      <c r="E113" s="160" t="s">
        <v>307</v>
      </c>
      <c r="F113" s="160"/>
      <c r="G113" s="19">
        <v>1897513</v>
      </c>
      <c r="H113" s="19">
        <v>-31841</v>
      </c>
      <c r="I113" s="19">
        <v>1865672</v>
      </c>
      <c r="J113" s="17"/>
      <c r="K113" s="17"/>
    </row>
    <row r="114" spans="1:11" s="15" customFormat="1" x14ac:dyDescent="0.25">
      <c r="A114" s="157"/>
      <c r="B114" s="158"/>
      <c r="C114" s="159"/>
      <c r="D114" s="137"/>
      <c r="E114" s="20" t="s">
        <v>192</v>
      </c>
      <c r="F114" s="20" t="s">
        <v>301</v>
      </c>
      <c r="G114" s="21">
        <v>1897513</v>
      </c>
      <c r="H114" s="21">
        <v>-31841</v>
      </c>
      <c r="I114" s="21">
        <v>1865672</v>
      </c>
      <c r="J114" s="17"/>
      <c r="K114" s="17"/>
    </row>
    <row r="115" spans="1:11" s="15" customFormat="1" ht="15" customHeight="1" x14ac:dyDescent="0.25">
      <c r="A115" s="151" t="s">
        <v>495</v>
      </c>
      <c r="B115" s="152"/>
      <c r="C115" s="153"/>
      <c r="D115" s="137" t="s">
        <v>496</v>
      </c>
      <c r="E115" s="160" t="s">
        <v>307</v>
      </c>
      <c r="F115" s="160"/>
      <c r="G115" s="19">
        <v>2717699</v>
      </c>
      <c r="H115" s="19">
        <v>144609</v>
      </c>
      <c r="I115" s="19">
        <v>2862308</v>
      </c>
      <c r="J115" s="17"/>
      <c r="K115" s="17"/>
    </row>
    <row r="116" spans="1:11" s="15" customFormat="1" x14ac:dyDescent="0.25">
      <c r="A116" s="154"/>
      <c r="B116" s="155"/>
      <c r="C116" s="156"/>
      <c r="D116" s="137"/>
      <c r="E116" s="20" t="s">
        <v>193</v>
      </c>
      <c r="F116" s="20" t="s">
        <v>111</v>
      </c>
      <c r="G116" s="21">
        <v>175500</v>
      </c>
      <c r="H116" s="21">
        <v>0</v>
      </c>
      <c r="I116" s="21">
        <v>175500</v>
      </c>
      <c r="J116" s="17"/>
      <c r="K116" s="17"/>
    </row>
    <row r="117" spans="1:11" s="15" customFormat="1" x14ac:dyDescent="0.25">
      <c r="A117" s="157"/>
      <c r="B117" s="158"/>
      <c r="C117" s="159"/>
      <c r="D117" s="137"/>
      <c r="E117" s="20" t="s">
        <v>194</v>
      </c>
      <c r="F117" s="20" t="s">
        <v>302</v>
      </c>
      <c r="G117" s="21">
        <v>2542199</v>
      </c>
      <c r="H117" s="21">
        <v>144609</v>
      </c>
      <c r="I117" s="21">
        <v>2686808</v>
      </c>
      <c r="J117" s="17"/>
      <c r="K117" s="17"/>
    </row>
    <row r="118" spans="1:11" s="15" customFormat="1" x14ac:dyDescent="0.25">
      <c r="A118" s="151" t="s">
        <v>497</v>
      </c>
      <c r="B118" s="152"/>
      <c r="C118" s="153"/>
      <c r="D118" s="137" t="s">
        <v>498</v>
      </c>
      <c r="E118" s="160" t="s">
        <v>307</v>
      </c>
      <c r="F118" s="160"/>
      <c r="G118" s="19">
        <v>1918500</v>
      </c>
      <c r="H118" s="19">
        <v>1145</v>
      </c>
      <c r="I118" s="19">
        <v>1919645</v>
      </c>
      <c r="J118" s="17"/>
      <c r="K118" s="17"/>
    </row>
    <row r="119" spans="1:11" s="15" customFormat="1" x14ac:dyDescent="0.25">
      <c r="A119" s="154"/>
      <c r="B119" s="155"/>
      <c r="C119" s="156"/>
      <c r="D119" s="137"/>
      <c r="E119" s="20" t="s">
        <v>195</v>
      </c>
      <c r="F119" s="20" t="s">
        <v>303</v>
      </c>
      <c r="G119" s="21">
        <v>439391</v>
      </c>
      <c r="H119" s="21">
        <v>0</v>
      </c>
      <c r="I119" s="21">
        <v>439391</v>
      </c>
      <c r="J119" s="17"/>
      <c r="K119" s="17"/>
    </row>
    <row r="120" spans="1:11" s="15" customFormat="1" x14ac:dyDescent="0.25">
      <c r="A120" s="154"/>
      <c r="B120" s="155"/>
      <c r="C120" s="156"/>
      <c r="D120" s="137"/>
      <c r="E120" s="20" t="s">
        <v>196</v>
      </c>
      <c r="F120" s="20" t="s">
        <v>304</v>
      </c>
      <c r="G120" s="21">
        <v>337184</v>
      </c>
      <c r="H120" s="21">
        <v>0</v>
      </c>
      <c r="I120" s="21">
        <v>337184</v>
      </c>
      <c r="J120" s="17"/>
      <c r="K120" s="17"/>
    </row>
    <row r="121" spans="1:11" s="15" customFormat="1" ht="31.5" x14ac:dyDescent="0.25">
      <c r="A121" s="154"/>
      <c r="B121" s="155"/>
      <c r="C121" s="156"/>
      <c r="D121" s="137"/>
      <c r="E121" s="20" t="s">
        <v>197</v>
      </c>
      <c r="F121" s="20" t="s">
        <v>305</v>
      </c>
      <c r="G121" s="21">
        <v>1141775</v>
      </c>
      <c r="H121" s="21">
        <v>1145</v>
      </c>
      <c r="I121" s="21">
        <v>1142920</v>
      </c>
      <c r="J121" s="17"/>
      <c r="K121" s="17"/>
    </row>
    <row r="122" spans="1:11" s="15" customFormat="1" ht="47.25" x14ac:dyDescent="0.25">
      <c r="A122" s="157"/>
      <c r="B122" s="158"/>
      <c r="C122" s="159"/>
      <c r="D122" s="137"/>
      <c r="E122" s="20">
        <v>6500</v>
      </c>
      <c r="F122" s="20" t="s">
        <v>822</v>
      </c>
      <c r="G122" s="21">
        <v>150</v>
      </c>
      <c r="H122" s="21">
        <v>0</v>
      </c>
      <c r="I122" s="21">
        <v>150</v>
      </c>
      <c r="J122" s="17"/>
      <c r="K122" s="17"/>
    </row>
    <row r="123" spans="1:11" s="15" customFormat="1" ht="15" customHeight="1" x14ac:dyDescent="0.25">
      <c r="A123" s="137" t="s">
        <v>499</v>
      </c>
      <c r="B123" s="137"/>
      <c r="C123" s="137"/>
      <c r="D123" s="137" t="s">
        <v>500</v>
      </c>
      <c r="E123" s="160" t="s">
        <v>307</v>
      </c>
      <c r="F123" s="160"/>
      <c r="G123" s="19">
        <v>921305</v>
      </c>
      <c r="H123" s="19">
        <v>160</v>
      </c>
      <c r="I123" s="19">
        <v>921465</v>
      </c>
      <c r="J123" s="17"/>
      <c r="K123" s="17"/>
    </row>
    <row r="124" spans="1:11" s="15" customFormat="1" x14ac:dyDescent="0.25">
      <c r="A124" s="137"/>
      <c r="B124" s="137"/>
      <c r="C124" s="137"/>
      <c r="D124" s="137"/>
      <c r="E124" s="20" t="s">
        <v>198</v>
      </c>
      <c r="F124" s="20" t="s">
        <v>306</v>
      </c>
      <c r="G124" s="21">
        <v>921305</v>
      </c>
      <c r="H124" s="21">
        <v>160</v>
      </c>
      <c r="I124" s="21">
        <v>921465</v>
      </c>
      <c r="J124" s="17"/>
      <c r="K124" s="17"/>
    </row>
    <row r="125" spans="1:11" s="15" customFormat="1" ht="15" hidden="1" customHeight="1" x14ac:dyDescent="0.25">
      <c r="A125" s="25"/>
      <c r="B125" s="23"/>
      <c r="C125" s="26"/>
      <c r="D125" s="27"/>
      <c r="E125" s="28">
        <v>7700</v>
      </c>
      <c r="F125" s="28" t="s">
        <v>557</v>
      </c>
      <c r="G125" s="29">
        <v>0</v>
      </c>
      <c r="J125" s="14"/>
      <c r="K125" s="17"/>
    </row>
    <row r="126" spans="1:11" s="15" customFormat="1" ht="15" hidden="1" customHeight="1" x14ac:dyDescent="0.25">
      <c r="A126" s="151" t="s">
        <v>501</v>
      </c>
      <c r="B126" s="152"/>
      <c r="C126" s="153"/>
      <c r="D126" s="137" t="s">
        <v>502</v>
      </c>
      <c r="E126" s="160" t="s">
        <v>307</v>
      </c>
      <c r="F126" s="160"/>
      <c r="G126" s="19">
        <v>0</v>
      </c>
      <c r="J126" s="14"/>
      <c r="K126" s="17"/>
    </row>
    <row r="127" spans="1:11" s="15" customFormat="1" ht="30" hidden="1" customHeight="1" x14ac:dyDescent="0.25">
      <c r="A127" s="157"/>
      <c r="B127" s="158"/>
      <c r="C127" s="159"/>
      <c r="D127" s="137"/>
      <c r="E127" s="30" t="s">
        <v>503</v>
      </c>
      <c r="F127" s="30" t="s">
        <v>504</v>
      </c>
      <c r="G127" s="31">
        <v>0</v>
      </c>
      <c r="J127" s="14"/>
      <c r="K127" s="17"/>
    </row>
    <row r="129" spans="1:13" s="11" customFormat="1" ht="30.6" customHeight="1" x14ac:dyDescent="0.2">
      <c r="A129" s="143" t="s">
        <v>950</v>
      </c>
      <c r="B129" s="144"/>
      <c r="C129" s="144"/>
      <c r="D129" s="144"/>
      <c r="E129" s="144"/>
      <c r="F129" s="144"/>
      <c r="G129" s="144"/>
      <c r="H129" s="145"/>
      <c r="I129" s="145"/>
      <c r="J129" s="10"/>
      <c r="K129" s="10"/>
    </row>
    <row r="130" spans="1:13" ht="30" customHeight="1" x14ac:dyDescent="0.25">
      <c r="A130" s="171" t="s">
        <v>293</v>
      </c>
      <c r="B130" s="172"/>
      <c r="C130" s="171" t="s">
        <v>548</v>
      </c>
      <c r="D130" s="172"/>
      <c r="E130" s="13" t="s">
        <v>550</v>
      </c>
      <c r="F130" s="13" t="s">
        <v>549</v>
      </c>
      <c r="G130" s="13" t="s">
        <v>556</v>
      </c>
      <c r="H130" s="13" t="s">
        <v>559</v>
      </c>
      <c r="I130" s="13" t="s">
        <v>558</v>
      </c>
    </row>
    <row r="131" spans="1:13" s="1" customFormat="1" x14ac:dyDescent="0.25">
      <c r="A131" s="164" t="s">
        <v>551</v>
      </c>
      <c r="B131" s="165"/>
      <c r="C131" s="165"/>
      <c r="D131" s="165"/>
      <c r="E131" s="165"/>
      <c r="F131" s="166"/>
      <c r="G131" s="32">
        <v>60195667</v>
      </c>
      <c r="H131" s="32">
        <v>286175</v>
      </c>
      <c r="I131" s="32">
        <v>60481842</v>
      </c>
      <c r="J131" s="17"/>
      <c r="K131" s="33"/>
    </row>
    <row r="132" spans="1:13" s="1" customFormat="1" ht="15" customHeight="1" x14ac:dyDescent="0.25">
      <c r="A132" s="173" t="s">
        <v>6</v>
      </c>
      <c r="B132" s="173" t="s">
        <v>7</v>
      </c>
      <c r="C132" s="167" t="s">
        <v>307</v>
      </c>
      <c r="D132" s="168"/>
      <c r="E132" s="168"/>
      <c r="F132" s="169"/>
      <c r="G132" s="34">
        <v>6598836</v>
      </c>
      <c r="H132" s="34">
        <v>-41250</v>
      </c>
      <c r="I132" s="34">
        <v>6557586</v>
      </c>
      <c r="J132" s="33"/>
      <c r="K132" s="33"/>
    </row>
    <row r="133" spans="1:13" s="1" customFormat="1" ht="15" customHeight="1" x14ac:dyDescent="0.25">
      <c r="A133" s="174"/>
      <c r="B133" s="174"/>
      <c r="C133" s="170" t="s">
        <v>199</v>
      </c>
      <c r="D133" s="170" t="s">
        <v>547</v>
      </c>
      <c r="E133" s="36">
        <v>1111</v>
      </c>
      <c r="F133" s="36" t="s">
        <v>201</v>
      </c>
      <c r="G133" s="37">
        <v>2314883</v>
      </c>
      <c r="H133" s="38">
        <v>47</v>
      </c>
      <c r="I133" s="37">
        <v>2314930</v>
      </c>
      <c r="J133" s="5"/>
      <c r="K133" s="5"/>
      <c r="M133" s="105"/>
    </row>
    <row r="134" spans="1:13" s="1" customFormat="1" ht="15" customHeight="1" x14ac:dyDescent="0.25">
      <c r="A134" s="174"/>
      <c r="B134" s="174"/>
      <c r="C134" s="170"/>
      <c r="D134" s="170"/>
      <c r="E134" s="36">
        <v>1115</v>
      </c>
      <c r="F134" s="36" t="s">
        <v>936</v>
      </c>
      <c r="G134" s="37">
        <v>5861</v>
      </c>
      <c r="H134" s="38"/>
      <c r="I134" s="37">
        <v>5861</v>
      </c>
      <c r="J134" s="5"/>
      <c r="K134" s="5"/>
      <c r="M134" s="105"/>
    </row>
    <row r="135" spans="1:13" s="1" customFormat="1" x14ac:dyDescent="0.25">
      <c r="A135" s="174"/>
      <c r="B135" s="174"/>
      <c r="C135" s="170"/>
      <c r="D135" s="170"/>
      <c r="E135" s="36">
        <v>1116</v>
      </c>
      <c r="F135" s="36" t="s">
        <v>919</v>
      </c>
      <c r="G135" s="37">
        <v>305695</v>
      </c>
      <c r="H135" s="38"/>
      <c r="I135" s="37">
        <v>305695</v>
      </c>
      <c r="J135" s="5"/>
      <c r="K135" s="33"/>
      <c r="M135" s="105"/>
    </row>
    <row r="136" spans="1:13" s="1" customFormat="1" x14ac:dyDescent="0.25">
      <c r="A136" s="174"/>
      <c r="B136" s="174"/>
      <c r="C136" s="170"/>
      <c r="D136" s="170"/>
      <c r="E136" s="36">
        <v>1117</v>
      </c>
      <c r="F136" s="36" t="s">
        <v>202</v>
      </c>
      <c r="G136" s="37">
        <v>392471</v>
      </c>
      <c r="H136" s="38">
        <v>544</v>
      </c>
      <c r="I136" s="37">
        <v>393015</v>
      </c>
      <c r="J136" s="5"/>
      <c r="K136" s="5"/>
      <c r="M136" s="105"/>
    </row>
    <row r="137" spans="1:13" s="1" customFormat="1" x14ac:dyDescent="0.25">
      <c r="A137" s="174"/>
      <c r="B137" s="174"/>
      <c r="C137" s="170"/>
      <c r="D137" s="170"/>
      <c r="E137" s="36">
        <v>1120</v>
      </c>
      <c r="F137" s="36" t="s">
        <v>203</v>
      </c>
      <c r="G137" s="37">
        <v>120526</v>
      </c>
      <c r="H137" s="38"/>
      <c r="I137" s="37">
        <v>120526</v>
      </c>
      <c r="J137" s="5"/>
      <c r="K137" s="5"/>
      <c r="M137" s="105"/>
    </row>
    <row r="138" spans="1:13" s="1" customFormat="1" x14ac:dyDescent="0.25">
      <c r="A138" s="174"/>
      <c r="B138" s="174"/>
      <c r="C138" s="170"/>
      <c r="D138" s="170"/>
      <c r="E138" s="36">
        <v>1121</v>
      </c>
      <c r="F138" s="36" t="s">
        <v>204</v>
      </c>
      <c r="G138" s="37">
        <v>599097</v>
      </c>
      <c r="H138" s="38">
        <v>-10000</v>
      </c>
      <c r="I138" s="37">
        <v>589097</v>
      </c>
      <c r="J138" s="5"/>
      <c r="K138" s="5"/>
      <c r="M138" s="105"/>
    </row>
    <row r="139" spans="1:13" s="1" customFormat="1" ht="31.5" x14ac:dyDescent="0.25">
      <c r="A139" s="174"/>
      <c r="B139" s="174"/>
      <c r="C139" s="35" t="s">
        <v>10</v>
      </c>
      <c r="D139" s="35" t="s">
        <v>546</v>
      </c>
      <c r="E139" s="36">
        <v>1721</v>
      </c>
      <c r="F139" s="36" t="s">
        <v>207</v>
      </c>
      <c r="G139" s="37">
        <v>1990171</v>
      </c>
      <c r="H139" s="38">
        <v>-31841</v>
      </c>
      <c r="I139" s="37">
        <v>1958330</v>
      </c>
      <c r="J139" s="5"/>
      <c r="K139" s="5"/>
      <c r="M139" s="105"/>
    </row>
    <row r="140" spans="1:13" s="1" customFormat="1" ht="63" customHeight="1" x14ac:dyDescent="0.25">
      <c r="A140" s="174"/>
      <c r="B140" s="174"/>
      <c r="C140" s="178" t="s">
        <v>12</v>
      </c>
      <c r="D140" s="176" t="s">
        <v>545</v>
      </c>
      <c r="E140" s="39">
        <v>1831</v>
      </c>
      <c r="F140" s="36" t="s">
        <v>209</v>
      </c>
      <c r="G140" s="37">
        <v>750000</v>
      </c>
      <c r="H140" s="38"/>
      <c r="I140" s="37">
        <v>750000</v>
      </c>
      <c r="J140" s="5"/>
      <c r="K140" s="5"/>
      <c r="M140" s="105"/>
    </row>
    <row r="141" spans="1:13" s="1" customFormat="1" x14ac:dyDescent="0.25">
      <c r="A141" s="175"/>
      <c r="B141" s="175"/>
      <c r="C141" s="179"/>
      <c r="D141" s="177"/>
      <c r="E141" s="40">
        <v>1832</v>
      </c>
      <c r="F141" s="39" t="s">
        <v>937</v>
      </c>
      <c r="G141" s="37">
        <v>120132</v>
      </c>
      <c r="H141" s="38"/>
      <c r="I141" s="37">
        <v>120132</v>
      </c>
      <c r="J141" s="5"/>
      <c r="K141" s="5"/>
      <c r="M141" s="105"/>
    </row>
    <row r="142" spans="1:13" s="1" customFormat="1" ht="15" customHeight="1" x14ac:dyDescent="0.25">
      <c r="A142" s="170" t="s">
        <v>14</v>
      </c>
      <c r="B142" s="170" t="s">
        <v>15</v>
      </c>
      <c r="C142" s="167" t="s">
        <v>307</v>
      </c>
      <c r="D142" s="168"/>
      <c r="E142" s="168"/>
      <c r="F142" s="169"/>
      <c r="G142" s="34">
        <v>1071159</v>
      </c>
      <c r="H142" s="34">
        <v>-7677</v>
      </c>
      <c r="I142" s="34">
        <v>1063482</v>
      </c>
      <c r="J142" s="5"/>
      <c r="K142" s="5"/>
      <c r="M142" s="105"/>
    </row>
    <row r="143" spans="1:13" s="1" customFormat="1" ht="31.5" customHeight="1" x14ac:dyDescent="0.25">
      <c r="A143" s="170"/>
      <c r="B143" s="170"/>
      <c r="C143" s="173" t="s">
        <v>132</v>
      </c>
      <c r="D143" s="173" t="s">
        <v>309</v>
      </c>
      <c r="E143" s="36">
        <v>3200</v>
      </c>
      <c r="F143" s="36" t="s">
        <v>182</v>
      </c>
      <c r="G143" s="37">
        <v>45213</v>
      </c>
      <c r="H143" s="38"/>
      <c r="I143" s="37">
        <v>45213</v>
      </c>
      <c r="J143" s="5"/>
      <c r="K143" s="5"/>
      <c r="M143" s="105"/>
    </row>
    <row r="144" spans="1:13" s="1" customFormat="1" x14ac:dyDescent="0.25">
      <c r="A144" s="170"/>
      <c r="B144" s="170"/>
      <c r="C144" s="175"/>
      <c r="D144" s="175"/>
      <c r="E144" s="36">
        <v>3201</v>
      </c>
      <c r="F144" s="36" t="s">
        <v>938</v>
      </c>
      <c r="G144" s="37">
        <v>49939</v>
      </c>
      <c r="H144" s="38"/>
      <c r="I144" s="37">
        <v>49939</v>
      </c>
      <c r="J144" s="5"/>
      <c r="K144" s="5"/>
      <c r="M144" s="105"/>
    </row>
    <row r="145" spans="1:13" s="1" customFormat="1" ht="47.25" x14ac:dyDescent="0.25">
      <c r="A145" s="170"/>
      <c r="B145" s="170"/>
      <c r="C145" s="35" t="s">
        <v>210</v>
      </c>
      <c r="D145" s="35" t="s">
        <v>310</v>
      </c>
      <c r="E145" s="36">
        <v>3610</v>
      </c>
      <c r="F145" s="36" t="s">
        <v>211</v>
      </c>
      <c r="G145" s="37">
        <v>976007</v>
      </c>
      <c r="H145" s="38">
        <v>-7677</v>
      </c>
      <c r="I145" s="37">
        <v>968330</v>
      </c>
      <c r="J145" s="5"/>
      <c r="K145" s="5"/>
      <c r="M145" s="105"/>
    </row>
    <row r="146" spans="1:13" s="1" customFormat="1" ht="15" customHeight="1" x14ac:dyDescent="0.25">
      <c r="A146" s="170" t="s">
        <v>17</v>
      </c>
      <c r="B146" s="170" t="s">
        <v>18</v>
      </c>
      <c r="C146" s="167" t="s">
        <v>307</v>
      </c>
      <c r="D146" s="168"/>
      <c r="E146" s="168"/>
      <c r="F146" s="169"/>
      <c r="G146" s="34">
        <v>6150166</v>
      </c>
      <c r="H146" s="34">
        <v>10588</v>
      </c>
      <c r="I146" s="34">
        <v>6160754</v>
      </c>
      <c r="J146" s="5"/>
      <c r="K146" s="5"/>
      <c r="M146" s="105"/>
    </row>
    <row r="147" spans="1:13" s="1" customFormat="1" ht="31.5" x14ac:dyDescent="0.25">
      <c r="A147" s="170"/>
      <c r="B147" s="170"/>
      <c r="C147" s="35" t="s">
        <v>116</v>
      </c>
      <c r="D147" s="35" t="s">
        <v>311</v>
      </c>
      <c r="E147" s="36">
        <v>4121</v>
      </c>
      <c r="F147" s="36" t="s">
        <v>213</v>
      </c>
      <c r="G147" s="37">
        <v>59326</v>
      </c>
      <c r="H147" s="37"/>
      <c r="I147" s="37">
        <v>59326</v>
      </c>
      <c r="J147" s="5"/>
      <c r="K147" s="5"/>
      <c r="M147" s="105"/>
    </row>
    <row r="148" spans="1:13" s="1" customFormat="1" x14ac:dyDescent="0.25">
      <c r="A148" s="170"/>
      <c r="B148" s="170"/>
      <c r="C148" s="35" t="s">
        <v>19</v>
      </c>
      <c r="D148" s="35" t="s">
        <v>20</v>
      </c>
      <c r="E148" s="36">
        <v>4431</v>
      </c>
      <c r="F148" s="36" t="s">
        <v>215</v>
      </c>
      <c r="G148" s="37">
        <v>667790</v>
      </c>
      <c r="H148" s="38">
        <v>63</v>
      </c>
      <c r="I148" s="38">
        <v>667853</v>
      </c>
      <c r="J148" s="5"/>
      <c r="K148" s="5"/>
      <c r="M148" s="105"/>
    </row>
    <row r="149" spans="1:13" s="1" customFormat="1" x14ac:dyDescent="0.25">
      <c r="A149" s="170"/>
      <c r="B149" s="170"/>
      <c r="C149" s="170" t="s">
        <v>544</v>
      </c>
      <c r="D149" s="170" t="s">
        <v>543</v>
      </c>
      <c r="E149" s="36">
        <v>4507</v>
      </c>
      <c r="F149" s="36" t="s">
        <v>542</v>
      </c>
      <c r="G149" s="37">
        <v>4019890</v>
      </c>
      <c r="H149" s="38">
        <v>12131</v>
      </c>
      <c r="I149" s="38">
        <v>4032021</v>
      </c>
      <c r="J149" s="5"/>
      <c r="K149" s="5"/>
      <c r="M149" s="105"/>
    </row>
    <row r="150" spans="1:13" s="1" customFormat="1" ht="31.5" x14ac:dyDescent="0.25">
      <c r="A150" s="170"/>
      <c r="B150" s="170"/>
      <c r="C150" s="170"/>
      <c r="D150" s="170"/>
      <c r="E150" s="36">
        <v>4509</v>
      </c>
      <c r="F150" s="36" t="s">
        <v>216</v>
      </c>
      <c r="G150" s="37">
        <v>0</v>
      </c>
      <c r="H150" s="38"/>
      <c r="I150" s="38">
        <v>0</v>
      </c>
      <c r="J150" s="5"/>
      <c r="K150" s="5"/>
      <c r="M150" s="105"/>
    </row>
    <row r="151" spans="1:13" s="1" customFormat="1" x14ac:dyDescent="0.25">
      <c r="A151" s="170"/>
      <c r="B151" s="170"/>
      <c r="C151" s="170" t="s">
        <v>173</v>
      </c>
      <c r="D151" s="170" t="s">
        <v>25</v>
      </c>
      <c r="E151" s="36">
        <v>473101</v>
      </c>
      <c r="F151" s="36" t="s">
        <v>914</v>
      </c>
      <c r="G151" s="37">
        <v>223484</v>
      </c>
      <c r="H151" s="38">
        <v>-2619</v>
      </c>
      <c r="I151" s="38">
        <v>220865</v>
      </c>
      <c r="J151" s="5"/>
      <c r="K151" s="5"/>
      <c r="M151" s="105"/>
    </row>
    <row r="152" spans="1:13" s="1" customFormat="1" x14ac:dyDescent="0.25">
      <c r="A152" s="170"/>
      <c r="B152" s="170"/>
      <c r="C152" s="170"/>
      <c r="D152" s="170"/>
      <c r="E152" s="36">
        <v>473102</v>
      </c>
      <c r="F152" s="36" t="s">
        <v>915</v>
      </c>
      <c r="G152" s="37">
        <v>349833</v>
      </c>
      <c r="H152" s="38">
        <v>-2339</v>
      </c>
      <c r="I152" s="38">
        <v>347494</v>
      </c>
      <c r="J152" s="5"/>
      <c r="K152" s="5"/>
      <c r="M152" s="105"/>
    </row>
    <row r="153" spans="1:13" s="1" customFormat="1" x14ac:dyDescent="0.25">
      <c r="A153" s="170"/>
      <c r="B153" s="170"/>
      <c r="C153" s="170"/>
      <c r="D153" s="170"/>
      <c r="E153" s="36">
        <v>473103</v>
      </c>
      <c r="F153" s="36" t="s">
        <v>221</v>
      </c>
      <c r="G153" s="37">
        <v>80185</v>
      </c>
      <c r="H153" s="38">
        <v>47</v>
      </c>
      <c r="I153" s="38">
        <v>80232</v>
      </c>
      <c r="J153" s="5"/>
      <c r="K153" s="5"/>
      <c r="M153" s="105"/>
    </row>
    <row r="154" spans="1:13" s="1" customFormat="1" x14ac:dyDescent="0.25">
      <c r="A154" s="170"/>
      <c r="B154" s="170"/>
      <c r="C154" s="170"/>
      <c r="D154" s="170"/>
      <c r="E154" s="36">
        <v>473105</v>
      </c>
      <c r="F154" s="36" t="s">
        <v>223</v>
      </c>
      <c r="G154" s="37">
        <v>153903</v>
      </c>
      <c r="H154" s="38">
        <v>1611</v>
      </c>
      <c r="I154" s="38">
        <v>155514</v>
      </c>
      <c r="J154" s="5"/>
      <c r="K154" s="5"/>
      <c r="M154" s="105"/>
    </row>
    <row r="155" spans="1:13" s="1" customFormat="1" ht="15" customHeight="1" x14ac:dyDescent="0.25">
      <c r="A155" s="170"/>
      <c r="B155" s="170"/>
      <c r="C155" s="170"/>
      <c r="D155" s="170"/>
      <c r="E155" s="36">
        <v>473106</v>
      </c>
      <c r="F155" s="36" t="s">
        <v>224</v>
      </c>
      <c r="G155" s="37">
        <v>0</v>
      </c>
      <c r="H155" s="38"/>
      <c r="I155" s="38">
        <v>0</v>
      </c>
      <c r="J155" s="5"/>
      <c r="K155" s="5"/>
      <c r="M155" s="105"/>
    </row>
    <row r="156" spans="1:13" s="1" customFormat="1" x14ac:dyDescent="0.25">
      <c r="A156" s="170"/>
      <c r="B156" s="170"/>
      <c r="C156" s="170"/>
      <c r="D156" s="170"/>
      <c r="E156" s="36">
        <v>473107</v>
      </c>
      <c r="F156" s="36" t="s">
        <v>916</v>
      </c>
      <c r="G156" s="37">
        <v>202614</v>
      </c>
      <c r="H156" s="38">
        <v>-6571</v>
      </c>
      <c r="I156" s="38">
        <v>196043</v>
      </c>
      <c r="J156" s="5"/>
      <c r="K156" s="5"/>
      <c r="M156" s="105"/>
    </row>
    <row r="157" spans="1:13" s="1" customFormat="1" x14ac:dyDescent="0.25">
      <c r="A157" s="170"/>
      <c r="B157" s="170"/>
      <c r="C157" s="170"/>
      <c r="D157" s="170"/>
      <c r="E157" s="36">
        <v>473108</v>
      </c>
      <c r="F157" s="36" t="s">
        <v>227</v>
      </c>
      <c r="G157" s="37">
        <v>56884</v>
      </c>
      <c r="H157" s="38">
        <v>59</v>
      </c>
      <c r="I157" s="38">
        <v>56943</v>
      </c>
      <c r="J157" s="5"/>
      <c r="K157" s="5"/>
      <c r="M157" s="105"/>
    </row>
    <row r="158" spans="1:13" s="1" customFormat="1" x14ac:dyDescent="0.25">
      <c r="A158" s="170"/>
      <c r="B158" s="170"/>
      <c r="C158" s="170"/>
      <c r="D158" s="170"/>
      <c r="E158" s="36">
        <v>473110</v>
      </c>
      <c r="F158" s="36" t="s">
        <v>917</v>
      </c>
      <c r="G158" s="37">
        <v>0</v>
      </c>
      <c r="H158" s="38"/>
      <c r="I158" s="38">
        <v>0</v>
      </c>
      <c r="J158" s="5"/>
      <c r="K158" s="5"/>
      <c r="M158" s="105"/>
    </row>
    <row r="159" spans="1:13" s="1" customFormat="1" x14ac:dyDescent="0.25">
      <c r="A159" s="170"/>
      <c r="B159" s="170"/>
      <c r="C159" s="170"/>
      <c r="D159" s="170"/>
      <c r="E159" s="36">
        <v>473111</v>
      </c>
      <c r="F159" s="36" t="s">
        <v>229</v>
      </c>
      <c r="G159" s="37">
        <v>34515</v>
      </c>
      <c r="H159" s="38">
        <v>2531</v>
      </c>
      <c r="I159" s="38">
        <v>37046</v>
      </c>
      <c r="J159" s="5"/>
      <c r="K159" s="5"/>
      <c r="M159" s="105"/>
    </row>
    <row r="160" spans="1:13" s="1" customFormat="1" x14ac:dyDescent="0.25">
      <c r="A160" s="170"/>
      <c r="B160" s="170"/>
      <c r="C160" s="170"/>
      <c r="D160" s="170"/>
      <c r="E160" s="36">
        <v>473112</v>
      </c>
      <c r="F160" s="36" t="s">
        <v>918</v>
      </c>
      <c r="G160" s="37">
        <v>0</v>
      </c>
      <c r="H160" s="38"/>
      <c r="I160" s="38">
        <v>0</v>
      </c>
      <c r="J160" s="5"/>
      <c r="K160" s="5"/>
      <c r="M160" s="105"/>
    </row>
    <row r="161" spans="1:13" s="1" customFormat="1" x14ac:dyDescent="0.25">
      <c r="A161" s="170"/>
      <c r="B161" s="170"/>
      <c r="C161" s="170"/>
      <c r="D161" s="170"/>
      <c r="E161" s="36">
        <v>473113</v>
      </c>
      <c r="F161" s="36" t="s">
        <v>540</v>
      </c>
      <c r="G161" s="37">
        <v>78840</v>
      </c>
      <c r="H161" s="38">
        <v>5675</v>
      </c>
      <c r="I161" s="38">
        <v>84515</v>
      </c>
      <c r="J161" s="5"/>
      <c r="K161" s="5"/>
      <c r="M161" s="105"/>
    </row>
    <row r="162" spans="1:13" s="1" customFormat="1" x14ac:dyDescent="0.25">
      <c r="A162" s="170"/>
      <c r="B162" s="170"/>
      <c r="C162" s="173" t="s">
        <v>26</v>
      </c>
      <c r="D162" s="173" t="s">
        <v>539</v>
      </c>
      <c r="E162" s="36">
        <v>4741</v>
      </c>
      <c r="F162" s="36" t="s">
        <v>939</v>
      </c>
      <c r="G162" s="37">
        <v>81187</v>
      </c>
      <c r="H162" s="38"/>
      <c r="I162" s="38">
        <v>81187</v>
      </c>
      <c r="J162" s="5"/>
      <c r="K162" s="5"/>
      <c r="M162" s="105"/>
    </row>
    <row r="163" spans="1:13" s="1" customFormat="1" ht="15" customHeight="1" x14ac:dyDescent="0.25">
      <c r="A163" s="170"/>
      <c r="B163" s="170"/>
      <c r="C163" s="174"/>
      <c r="D163" s="174"/>
      <c r="E163" s="36">
        <v>4746</v>
      </c>
      <c r="F163" s="36" t="s">
        <v>230</v>
      </c>
      <c r="G163" s="37">
        <v>126715</v>
      </c>
      <c r="H163" s="38"/>
      <c r="I163" s="38">
        <v>126715</v>
      </c>
      <c r="J163" s="5"/>
      <c r="K163" s="5"/>
      <c r="M163" s="105"/>
    </row>
    <row r="164" spans="1:13" s="1" customFormat="1" x14ac:dyDescent="0.25">
      <c r="A164" s="170"/>
      <c r="B164" s="170"/>
      <c r="C164" s="175"/>
      <c r="D164" s="175"/>
      <c r="E164" s="36">
        <v>47496</v>
      </c>
      <c r="F164" s="36" t="s">
        <v>823</v>
      </c>
      <c r="G164" s="37">
        <v>0</v>
      </c>
      <c r="H164" s="38"/>
      <c r="I164" s="38">
        <v>0</v>
      </c>
      <c r="J164" s="5"/>
      <c r="K164" s="5"/>
      <c r="M164" s="105"/>
    </row>
    <row r="165" spans="1:13" s="1" customFormat="1" x14ac:dyDescent="0.25">
      <c r="A165" s="170"/>
      <c r="B165" s="170"/>
      <c r="C165" s="35" t="s">
        <v>28</v>
      </c>
      <c r="D165" s="35" t="s">
        <v>538</v>
      </c>
      <c r="E165" s="36">
        <v>4921</v>
      </c>
      <c r="F165" s="36" t="s">
        <v>232</v>
      </c>
      <c r="G165" s="37">
        <v>15000</v>
      </c>
      <c r="H165" s="38"/>
      <c r="I165" s="38">
        <v>15000</v>
      </c>
      <c r="J165" s="5"/>
      <c r="K165" s="5"/>
      <c r="M165" s="105"/>
    </row>
    <row r="166" spans="1:13" s="1" customFormat="1" ht="15" customHeight="1" x14ac:dyDescent="0.25">
      <c r="A166" s="170" t="s">
        <v>30</v>
      </c>
      <c r="B166" s="170" t="s">
        <v>31</v>
      </c>
      <c r="C166" s="167" t="s">
        <v>307</v>
      </c>
      <c r="D166" s="168"/>
      <c r="E166" s="168"/>
      <c r="F166" s="169"/>
      <c r="G166" s="34">
        <v>214327</v>
      </c>
      <c r="H166" s="34">
        <v>4000</v>
      </c>
      <c r="I166" s="34">
        <v>218327</v>
      </c>
      <c r="J166" s="5"/>
      <c r="K166" s="5"/>
      <c r="M166" s="105"/>
    </row>
    <row r="167" spans="1:13" s="1" customFormat="1" ht="15" customHeight="1" x14ac:dyDescent="0.25">
      <c r="A167" s="170"/>
      <c r="B167" s="170"/>
      <c r="C167" s="170" t="s">
        <v>32</v>
      </c>
      <c r="D167" s="170" t="s">
        <v>33</v>
      </c>
      <c r="E167" s="36">
        <v>5101</v>
      </c>
      <c r="F167" s="36" t="s">
        <v>33</v>
      </c>
      <c r="G167" s="37">
        <v>25880</v>
      </c>
      <c r="H167" s="37"/>
      <c r="I167" s="37">
        <v>25880</v>
      </c>
      <c r="J167" s="5"/>
      <c r="K167" s="5"/>
      <c r="M167" s="105"/>
    </row>
    <row r="168" spans="1:13" s="1" customFormat="1" x14ac:dyDescent="0.25">
      <c r="A168" s="170"/>
      <c r="B168" s="170"/>
      <c r="C168" s="170"/>
      <c r="D168" s="170"/>
      <c r="E168" s="36">
        <v>5103</v>
      </c>
      <c r="F168" s="36" t="s">
        <v>824</v>
      </c>
      <c r="G168" s="37">
        <v>61158</v>
      </c>
      <c r="H168" s="37"/>
      <c r="I168" s="37">
        <v>61158</v>
      </c>
      <c r="J168" s="5"/>
      <c r="K168" s="5"/>
      <c r="M168" s="105"/>
    </row>
    <row r="169" spans="1:13" s="1" customFormat="1" ht="31.5" x14ac:dyDescent="0.25">
      <c r="A169" s="170"/>
      <c r="B169" s="170"/>
      <c r="C169" s="35" t="s">
        <v>35</v>
      </c>
      <c r="D169" s="35" t="s">
        <v>36</v>
      </c>
      <c r="E169" s="36">
        <v>5201</v>
      </c>
      <c r="F169" s="36" t="s">
        <v>537</v>
      </c>
      <c r="G169" s="37">
        <v>127289</v>
      </c>
      <c r="H169" s="37"/>
      <c r="I169" s="37">
        <v>127289</v>
      </c>
      <c r="J169" s="5"/>
      <c r="K169" s="5"/>
      <c r="M169" s="105"/>
    </row>
    <row r="170" spans="1:13" s="1" customFormat="1" ht="31.5" x14ac:dyDescent="0.25">
      <c r="A170" s="170"/>
      <c r="B170" s="170"/>
      <c r="C170" s="35" t="s">
        <v>133</v>
      </c>
      <c r="D170" s="35" t="s">
        <v>134</v>
      </c>
      <c r="E170" s="36">
        <v>5600</v>
      </c>
      <c r="F170" s="36" t="s">
        <v>536</v>
      </c>
      <c r="G170" s="37">
        <v>0</v>
      </c>
      <c r="H170" s="37">
        <v>4000</v>
      </c>
      <c r="I170" s="37">
        <v>4000</v>
      </c>
      <c r="J170" s="5"/>
      <c r="K170" s="5"/>
      <c r="M170" s="105"/>
    </row>
    <row r="171" spans="1:13" s="1" customFormat="1" ht="15" customHeight="1" x14ac:dyDescent="0.25">
      <c r="A171" s="170" t="s">
        <v>38</v>
      </c>
      <c r="B171" s="170" t="s">
        <v>313</v>
      </c>
      <c r="C171" s="167" t="s">
        <v>307</v>
      </c>
      <c r="D171" s="168"/>
      <c r="E171" s="168"/>
      <c r="F171" s="169"/>
      <c r="G171" s="34">
        <v>5279292</v>
      </c>
      <c r="H171" s="34">
        <v>-137333</v>
      </c>
      <c r="I171" s="34">
        <v>5141959</v>
      </c>
      <c r="J171" s="17"/>
      <c r="K171" s="33"/>
      <c r="M171" s="105"/>
    </row>
    <row r="172" spans="1:13" s="1" customFormat="1" ht="31.5" x14ac:dyDescent="0.25">
      <c r="A172" s="170"/>
      <c r="B172" s="170"/>
      <c r="C172" s="170" t="s">
        <v>39</v>
      </c>
      <c r="D172" s="170" t="s">
        <v>40</v>
      </c>
      <c r="E172" s="36">
        <v>6210</v>
      </c>
      <c r="F172" s="36" t="s">
        <v>233</v>
      </c>
      <c r="G172" s="37">
        <v>953717</v>
      </c>
      <c r="H172" s="38">
        <v>27211</v>
      </c>
      <c r="I172" s="38">
        <v>980928</v>
      </c>
      <c r="J172" s="5"/>
      <c r="K172" s="5"/>
      <c r="M172" s="105"/>
    </row>
    <row r="173" spans="1:13" s="1" customFormat="1" x14ac:dyDescent="0.25">
      <c r="A173" s="170"/>
      <c r="B173" s="170"/>
      <c r="C173" s="170"/>
      <c r="D173" s="170"/>
      <c r="E173" s="36">
        <v>6212</v>
      </c>
      <c r="F173" s="36" t="s">
        <v>535</v>
      </c>
      <c r="G173" s="37">
        <v>1776808</v>
      </c>
      <c r="H173" s="38"/>
      <c r="I173" s="38">
        <v>1776808</v>
      </c>
      <c r="J173" s="5"/>
      <c r="K173" s="5"/>
      <c r="M173" s="105"/>
    </row>
    <row r="174" spans="1:13" s="1" customFormat="1" x14ac:dyDescent="0.25">
      <c r="A174" s="170"/>
      <c r="B174" s="170"/>
      <c r="C174" s="170"/>
      <c r="D174" s="170"/>
      <c r="E174" s="36">
        <v>6213</v>
      </c>
      <c r="F174" s="36" t="s">
        <v>562</v>
      </c>
      <c r="G174" s="37">
        <v>358589</v>
      </c>
      <c r="H174" s="38">
        <v>47</v>
      </c>
      <c r="I174" s="38">
        <v>358636</v>
      </c>
      <c r="J174" s="5"/>
      <c r="K174" s="5"/>
      <c r="M174" s="105"/>
    </row>
    <row r="175" spans="1:13" s="1" customFormat="1" x14ac:dyDescent="0.25">
      <c r="A175" s="170"/>
      <c r="B175" s="170"/>
      <c r="C175" s="170"/>
      <c r="D175" s="170"/>
      <c r="E175" s="36">
        <v>6214</v>
      </c>
      <c r="F175" s="36" t="s">
        <v>234</v>
      </c>
      <c r="G175" s="37">
        <v>127655</v>
      </c>
      <c r="H175" s="38">
        <v>-13009</v>
      </c>
      <c r="I175" s="38">
        <v>114646</v>
      </c>
      <c r="J175" s="5"/>
      <c r="K175" s="5"/>
      <c r="M175" s="105"/>
    </row>
    <row r="176" spans="1:13" s="1" customFormat="1" x14ac:dyDescent="0.25">
      <c r="A176" s="170"/>
      <c r="B176" s="170"/>
      <c r="C176" s="170"/>
      <c r="D176" s="170"/>
      <c r="E176" s="36">
        <v>6218</v>
      </c>
      <c r="F176" s="36" t="s">
        <v>235</v>
      </c>
      <c r="G176" s="37">
        <v>11500</v>
      </c>
      <c r="H176" s="38">
        <v>722</v>
      </c>
      <c r="I176" s="38">
        <v>12222</v>
      </c>
      <c r="J176" s="5"/>
      <c r="K176" s="5"/>
      <c r="M176" s="105"/>
    </row>
    <row r="177" spans="1:13" s="1" customFormat="1" x14ac:dyDescent="0.25">
      <c r="A177" s="170"/>
      <c r="B177" s="170"/>
      <c r="C177" s="170"/>
      <c r="D177" s="170"/>
      <c r="E177" s="36">
        <v>6219</v>
      </c>
      <c r="F177" s="36" t="s">
        <v>236</v>
      </c>
      <c r="G177" s="37">
        <v>0</v>
      </c>
      <c r="H177" s="38"/>
      <c r="I177" s="38">
        <v>0</v>
      </c>
      <c r="J177" s="5"/>
      <c r="K177" s="5"/>
      <c r="M177" s="105"/>
    </row>
    <row r="178" spans="1:13" s="1" customFormat="1" x14ac:dyDescent="0.25">
      <c r="A178" s="170"/>
      <c r="B178" s="170"/>
      <c r="C178" s="170"/>
      <c r="D178" s="170"/>
      <c r="E178" s="36">
        <v>62210</v>
      </c>
      <c r="F178" s="36" t="s">
        <v>533</v>
      </c>
      <c r="G178" s="37">
        <v>22342</v>
      </c>
      <c r="H178" s="38">
        <v>94</v>
      </c>
      <c r="I178" s="38">
        <v>22436</v>
      </c>
      <c r="J178" s="5"/>
      <c r="K178" s="5"/>
      <c r="M178" s="105"/>
    </row>
    <row r="179" spans="1:13" s="1" customFormat="1" x14ac:dyDescent="0.25">
      <c r="A179" s="170"/>
      <c r="B179" s="170"/>
      <c r="C179" s="170"/>
      <c r="D179" s="170"/>
      <c r="E179" s="36">
        <v>6222</v>
      </c>
      <c r="F179" s="36" t="s">
        <v>531</v>
      </c>
      <c r="G179" s="37">
        <v>149874</v>
      </c>
      <c r="H179" s="38">
        <v>372</v>
      </c>
      <c r="I179" s="38">
        <v>150246</v>
      </c>
      <c r="J179" s="5"/>
      <c r="K179" s="5"/>
      <c r="M179" s="105"/>
    </row>
    <row r="180" spans="1:13" s="1" customFormat="1" x14ac:dyDescent="0.25">
      <c r="A180" s="170"/>
      <c r="B180" s="170"/>
      <c r="C180" s="170"/>
      <c r="D180" s="170"/>
      <c r="E180" s="36">
        <v>6223</v>
      </c>
      <c r="F180" s="36" t="s">
        <v>529</v>
      </c>
      <c r="G180" s="37">
        <v>265831</v>
      </c>
      <c r="H180" s="38">
        <v>297</v>
      </c>
      <c r="I180" s="38">
        <v>266128</v>
      </c>
      <c r="J180" s="5"/>
      <c r="K180" s="5"/>
      <c r="M180" s="105"/>
    </row>
    <row r="181" spans="1:13" s="1" customFormat="1" x14ac:dyDescent="0.25">
      <c r="A181" s="170"/>
      <c r="B181" s="170"/>
      <c r="C181" s="170"/>
      <c r="D181" s="170"/>
      <c r="E181" s="36">
        <v>6224</v>
      </c>
      <c r="F181" s="36" t="s">
        <v>527</v>
      </c>
      <c r="G181" s="37">
        <v>140241</v>
      </c>
      <c r="H181" s="38">
        <v>772</v>
      </c>
      <c r="I181" s="38">
        <v>141013</v>
      </c>
      <c r="J181" s="5"/>
      <c r="K181" s="5"/>
      <c r="M181" s="105"/>
    </row>
    <row r="182" spans="1:13" s="1" customFormat="1" x14ac:dyDescent="0.25">
      <c r="A182" s="170"/>
      <c r="B182" s="170"/>
      <c r="C182" s="170"/>
      <c r="D182" s="170"/>
      <c r="E182" s="36">
        <v>6225</v>
      </c>
      <c r="F182" s="36" t="s">
        <v>525</v>
      </c>
      <c r="G182" s="37">
        <v>16208</v>
      </c>
      <c r="H182" s="38">
        <v>157</v>
      </c>
      <c r="I182" s="38">
        <v>16365</v>
      </c>
      <c r="J182" s="5"/>
      <c r="K182" s="5"/>
      <c r="M182" s="105"/>
    </row>
    <row r="183" spans="1:13" s="1" customFormat="1" x14ac:dyDescent="0.25">
      <c r="A183" s="170"/>
      <c r="B183" s="170"/>
      <c r="C183" s="170"/>
      <c r="D183" s="170"/>
      <c r="E183" s="36">
        <v>6226</v>
      </c>
      <c r="F183" s="36" t="s">
        <v>237</v>
      </c>
      <c r="G183" s="37">
        <v>182836</v>
      </c>
      <c r="H183" s="38">
        <v>276</v>
      </c>
      <c r="I183" s="38">
        <v>183112</v>
      </c>
      <c r="J183" s="5"/>
      <c r="K183" s="5"/>
      <c r="M183" s="105"/>
    </row>
    <row r="184" spans="1:13" s="1" customFormat="1" x14ac:dyDescent="0.25">
      <c r="A184" s="170"/>
      <c r="B184" s="170"/>
      <c r="C184" s="170"/>
      <c r="D184" s="170"/>
      <c r="E184" s="36">
        <v>6227</v>
      </c>
      <c r="F184" s="36" t="s">
        <v>238</v>
      </c>
      <c r="G184" s="37">
        <v>145266</v>
      </c>
      <c r="H184" s="38">
        <v>1410</v>
      </c>
      <c r="I184" s="38">
        <v>146676</v>
      </c>
      <c r="J184" s="5"/>
      <c r="K184" s="5"/>
      <c r="M184" s="105"/>
    </row>
    <row r="185" spans="1:13" s="1" customFormat="1" x14ac:dyDescent="0.25">
      <c r="A185" s="170"/>
      <c r="B185" s="170"/>
      <c r="C185" s="35" t="s">
        <v>48</v>
      </c>
      <c r="D185" s="35" t="s">
        <v>49</v>
      </c>
      <c r="E185" s="36">
        <v>6410</v>
      </c>
      <c r="F185" s="36" t="s">
        <v>49</v>
      </c>
      <c r="G185" s="37">
        <v>669480</v>
      </c>
      <c r="H185" s="38">
        <v>-155864</v>
      </c>
      <c r="I185" s="38">
        <v>513616</v>
      </c>
      <c r="J185" s="5"/>
      <c r="K185" s="5"/>
      <c r="M185" s="105"/>
    </row>
    <row r="186" spans="1:13" s="1" customFormat="1" ht="15" customHeight="1" x14ac:dyDescent="0.25">
      <c r="A186" s="170"/>
      <c r="B186" s="170"/>
      <c r="C186" s="170" t="s">
        <v>51</v>
      </c>
      <c r="D186" s="170" t="s">
        <v>314</v>
      </c>
      <c r="E186" s="36">
        <v>6610</v>
      </c>
      <c r="F186" s="36" t="s">
        <v>240</v>
      </c>
      <c r="G186" s="37">
        <v>38191</v>
      </c>
      <c r="H186" s="38"/>
      <c r="I186" s="38">
        <v>38191</v>
      </c>
      <c r="J186" s="5"/>
      <c r="K186" s="5"/>
      <c r="M186" s="105"/>
    </row>
    <row r="187" spans="1:13" s="1" customFormat="1" x14ac:dyDescent="0.25">
      <c r="A187" s="170"/>
      <c r="B187" s="170"/>
      <c r="C187" s="170"/>
      <c r="D187" s="170"/>
      <c r="E187" s="36">
        <v>6611</v>
      </c>
      <c r="F187" s="36" t="s">
        <v>121</v>
      </c>
      <c r="G187" s="37">
        <v>245392</v>
      </c>
      <c r="H187" s="38">
        <v>182</v>
      </c>
      <c r="I187" s="38">
        <v>245574</v>
      </c>
      <c r="J187" s="5"/>
      <c r="K187" s="5"/>
      <c r="M187" s="105"/>
    </row>
    <row r="188" spans="1:13" s="1" customFormat="1" x14ac:dyDescent="0.25">
      <c r="A188" s="170"/>
      <c r="B188" s="170"/>
      <c r="C188" s="170"/>
      <c r="D188" s="170"/>
      <c r="E188" s="36">
        <v>6615</v>
      </c>
      <c r="F188" s="36" t="s">
        <v>241</v>
      </c>
      <c r="G188" s="37">
        <v>175362</v>
      </c>
      <c r="H188" s="38"/>
      <c r="I188" s="38">
        <v>175362</v>
      </c>
      <c r="J188" s="5"/>
      <c r="K188" s="5"/>
      <c r="M188" s="105"/>
    </row>
    <row r="189" spans="1:13" s="1" customFormat="1" ht="15" customHeight="1" x14ac:dyDescent="0.25">
      <c r="A189" s="170" t="s">
        <v>54</v>
      </c>
      <c r="B189" s="170" t="s">
        <v>315</v>
      </c>
      <c r="C189" s="167" t="s">
        <v>307</v>
      </c>
      <c r="D189" s="168"/>
      <c r="E189" s="168"/>
      <c r="F189" s="169"/>
      <c r="G189" s="34">
        <v>5114541</v>
      </c>
      <c r="H189" s="34">
        <v>64668</v>
      </c>
      <c r="I189" s="34">
        <v>5179209</v>
      </c>
      <c r="J189" s="17"/>
      <c r="K189" s="33"/>
      <c r="M189" s="105"/>
    </row>
    <row r="190" spans="1:13" s="1" customFormat="1" ht="15" customHeight="1" x14ac:dyDescent="0.25">
      <c r="A190" s="170"/>
      <c r="B190" s="170"/>
      <c r="C190" s="170" t="s">
        <v>55</v>
      </c>
      <c r="D190" s="170" t="s">
        <v>316</v>
      </c>
      <c r="E190" s="36">
        <v>8110</v>
      </c>
      <c r="F190" s="36" t="s">
        <v>940</v>
      </c>
      <c r="G190" s="37">
        <v>625304</v>
      </c>
      <c r="H190" s="38">
        <v>-15203</v>
      </c>
      <c r="I190" s="38">
        <v>610101</v>
      </c>
      <c r="J190" s="5"/>
      <c r="K190" s="33"/>
      <c r="M190" s="105"/>
    </row>
    <row r="191" spans="1:13" s="1" customFormat="1" x14ac:dyDescent="0.25">
      <c r="A191" s="170"/>
      <c r="B191" s="170"/>
      <c r="C191" s="170"/>
      <c r="D191" s="170"/>
      <c r="E191" s="36">
        <v>8111</v>
      </c>
      <c r="F191" s="36" t="s">
        <v>242</v>
      </c>
      <c r="G191" s="37">
        <v>127050</v>
      </c>
      <c r="H191" s="38">
        <v>-7325</v>
      </c>
      <c r="I191" s="38">
        <v>119725</v>
      </c>
      <c r="J191" s="5"/>
      <c r="K191" s="5"/>
      <c r="M191" s="105"/>
    </row>
    <row r="192" spans="1:13" s="1" customFormat="1" ht="31.5" x14ac:dyDescent="0.25">
      <c r="A192" s="170"/>
      <c r="B192" s="170"/>
      <c r="C192" s="170"/>
      <c r="D192" s="170"/>
      <c r="E192" s="36">
        <v>8114</v>
      </c>
      <c r="F192" s="36" t="s">
        <v>524</v>
      </c>
      <c r="G192" s="37">
        <v>44495</v>
      </c>
      <c r="H192" s="38">
        <v>-900</v>
      </c>
      <c r="I192" s="38">
        <v>43595</v>
      </c>
      <c r="J192" s="5"/>
      <c r="K192" s="5"/>
      <c r="M192" s="105"/>
    </row>
    <row r="193" spans="1:13" s="1" customFormat="1" ht="31.5" x14ac:dyDescent="0.25">
      <c r="A193" s="170"/>
      <c r="B193" s="170"/>
      <c r="C193" s="170"/>
      <c r="D193" s="170"/>
      <c r="E193" s="36">
        <v>8115</v>
      </c>
      <c r="F193" s="36" t="s">
        <v>322</v>
      </c>
      <c r="G193" s="37">
        <v>3250</v>
      </c>
      <c r="H193" s="38"/>
      <c r="I193" s="38">
        <v>3250</v>
      </c>
      <c r="J193" s="5"/>
      <c r="K193" s="5"/>
      <c r="M193" s="105"/>
    </row>
    <row r="194" spans="1:13" s="1" customFormat="1" x14ac:dyDescent="0.25">
      <c r="A194" s="170"/>
      <c r="B194" s="170"/>
      <c r="C194" s="170"/>
      <c r="D194" s="170"/>
      <c r="E194" s="36">
        <v>8120</v>
      </c>
      <c r="F194" s="36" t="s">
        <v>522</v>
      </c>
      <c r="G194" s="37">
        <v>3230</v>
      </c>
      <c r="H194" s="38"/>
      <c r="I194" s="38">
        <v>3230</v>
      </c>
      <c r="J194" s="5"/>
      <c r="K194" s="5"/>
      <c r="M194" s="105"/>
    </row>
    <row r="195" spans="1:13" s="1" customFormat="1" x14ac:dyDescent="0.25">
      <c r="A195" s="170"/>
      <c r="B195" s="170"/>
      <c r="C195" s="170" t="s">
        <v>243</v>
      </c>
      <c r="D195" s="170" t="s">
        <v>58</v>
      </c>
      <c r="E195" s="36">
        <v>8211</v>
      </c>
      <c r="F195" s="36" t="s">
        <v>60</v>
      </c>
      <c r="G195" s="37">
        <v>277376</v>
      </c>
      <c r="H195" s="38">
        <v>1016</v>
      </c>
      <c r="I195" s="38">
        <v>278392</v>
      </c>
      <c r="J195" s="5"/>
      <c r="K195" s="5"/>
      <c r="M195" s="105"/>
    </row>
    <row r="196" spans="1:13" s="1" customFormat="1" x14ac:dyDescent="0.25">
      <c r="A196" s="170"/>
      <c r="B196" s="170"/>
      <c r="C196" s="170"/>
      <c r="D196" s="170"/>
      <c r="E196" s="36">
        <v>8213</v>
      </c>
      <c r="F196" s="36" t="s">
        <v>62</v>
      </c>
      <c r="G196" s="37">
        <v>28020</v>
      </c>
      <c r="H196" s="38">
        <v>240</v>
      </c>
      <c r="I196" s="38">
        <v>28260</v>
      </c>
      <c r="J196" s="5"/>
      <c r="K196" s="5"/>
      <c r="M196" s="105"/>
    </row>
    <row r="197" spans="1:13" s="1" customFormat="1" x14ac:dyDescent="0.25">
      <c r="A197" s="170"/>
      <c r="B197" s="170"/>
      <c r="C197" s="170"/>
      <c r="D197" s="170"/>
      <c r="E197" s="36">
        <v>8214</v>
      </c>
      <c r="F197" s="36" t="s">
        <v>64</v>
      </c>
      <c r="G197" s="37">
        <v>50868</v>
      </c>
      <c r="H197" s="38">
        <v>59</v>
      </c>
      <c r="I197" s="38">
        <v>50927</v>
      </c>
      <c r="J197" s="5"/>
      <c r="K197" s="5"/>
      <c r="M197" s="105"/>
    </row>
    <row r="198" spans="1:13" s="1" customFormat="1" x14ac:dyDescent="0.25">
      <c r="A198" s="170"/>
      <c r="B198" s="170"/>
      <c r="C198" s="170"/>
      <c r="D198" s="170"/>
      <c r="E198" s="36">
        <v>8215</v>
      </c>
      <c r="F198" s="36" t="s">
        <v>244</v>
      </c>
      <c r="G198" s="37">
        <v>20989</v>
      </c>
      <c r="H198" s="38">
        <v>597</v>
      </c>
      <c r="I198" s="38">
        <v>21586</v>
      </c>
      <c r="J198" s="5"/>
      <c r="K198" s="5"/>
      <c r="M198" s="105"/>
    </row>
    <row r="199" spans="1:13" s="1" customFormat="1" x14ac:dyDescent="0.25">
      <c r="A199" s="170"/>
      <c r="B199" s="170"/>
      <c r="C199" s="170"/>
      <c r="D199" s="170"/>
      <c r="E199" s="36">
        <v>8216</v>
      </c>
      <c r="F199" s="36" t="s">
        <v>245</v>
      </c>
      <c r="G199" s="37">
        <v>26803</v>
      </c>
      <c r="H199" s="38"/>
      <c r="I199" s="38">
        <v>26803</v>
      </c>
      <c r="J199" s="5"/>
      <c r="K199" s="5"/>
      <c r="M199" s="105"/>
    </row>
    <row r="200" spans="1:13" s="1" customFormat="1" x14ac:dyDescent="0.25">
      <c r="A200" s="170"/>
      <c r="B200" s="170"/>
      <c r="C200" s="170"/>
      <c r="D200" s="170"/>
      <c r="E200" s="36">
        <v>8217</v>
      </c>
      <c r="F200" s="36" t="s">
        <v>123</v>
      </c>
      <c r="G200" s="37">
        <v>46954</v>
      </c>
      <c r="H200" s="38"/>
      <c r="I200" s="38">
        <v>46954</v>
      </c>
      <c r="J200" s="5"/>
      <c r="K200" s="5"/>
      <c r="M200" s="105"/>
    </row>
    <row r="201" spans="1:13" s="1" customFormat="1" x14ac:dyDescent="0.25">
      <c r="A201" s="170"/>
      <c r="B201" s="170"/>
      <c r="C201" s="170"/>
      <c r="D201" s="170"/>
      <c r="E201" s="36">
        <v>8218</v>
      </c>
      <c r="F201" s="36" t="s">
        <v>317</v>
      </c>
      <c r="G201" s="37">
        <v>23097</v>
      </c>
      <c r="H201" s="38">
        <v>100</v>
      </c>
      <c r="I201" s="38">
        <v>23197</v>
      </c>
      <c r="J201" s="5"/>
      <c r="K201" s="5"/>
      <c r="M201" s="105"/>
    </row>
    <row r="202" spans="1:13" s="1" customFormat="1" x14ac:dyDescent="0.25">
      <c r="A202" s="170"/>
      <c r="B202" s="170"/>
      <c r="C202" s="170"/>
      <c r="D202" s="170"/>
      <c r="E202" s="36">
        <v>8219</v>
      </c>
      <c r="F202" s="36" t="s">
        <v>246</v>
      </c>
      <c r="G202" s="37">
        <v>55588</v>
      </c>
      <c r="H202" s="38">
        <v>63</v>
      </c>
      <c r="I202" s="38">
        <v>55651</v>
      </c>
      <c r="J202" s="5"/>
      <c r="K202" s="5"/>
      <c r="M202" s="105"/>
    </row>
    <row r="203" spans="1:13" s="1" customFormat="1" x14ac:dyDescent="0.25">
      <c r="A203" s="170"/>
      <c r="B203" s="170"/>
      <c r="C203" s="170"/>
      <c r="D203" s="170"/>
      <c r="E203" s="36">
        <v>8220</v>
      </c>
      <c r="F203" s="36" t="s">
        <v>247</v>
      </c>
      <c r="G203" s="37">
        <v>29599</v>
      </c>
      <c r="H203" s="38"/>
      <c r="I203" s="38">
        <v>29599</v>
      </c>
      <c r="J203" s="5"/>
      <c r="K203" s="5"/>
      <c r="M203" s="105"/>
    </row>
    <row r="204" spans="1:13" s="1" customFormat="1" x14ac:dyDescent="0.25">
      <c r="A204" s="170"/>
      <c r="B204" s="170"/>
      <c r="C204" s="170"/>
      <c r="D204" s="170"/>
      <c r="E204" s="36">
        <v>8221</v>
      </c>
      <c r="F204" s="36" t="s">
        <v>248</v>
      </c>
      <c r="G204" s="37">
        <v>73110</v>
      </c>
      <c r="H204" s="38">
        <v>41488</v>
      </c>
      <c r="I204" s="38">
        <v>114598</v>
      </c>
      <c r="J204" s="5"/>
      <c r="K204" s="5"/>
      <c r="M204" s="105"/>
    </row>
    <row r="205" spans="1:13" s="1" customFormat="1" x14ac:dyDescent="0.25">
      <c r="A205" s="170"/>
      <c r="B205" s="170"/>
      <c r="C205" s="170"/>
      <c r="D205" s="170"/>
      <c r="E205" s="36">
        <v>8223</v>
      </c>
      <c r="F205" s="36" t="s">
        <v>520</v>
      </c>
      <c r="G205" s="37">
        <v>20219</v>
      </c>
      <c r="H205" s="38">
        <v>87</v>
      </c>
      <c r="I205" s="38">
        <v>20306</v>
      </c>
      <c r="J205" s="33"/>
      <c r="K205" s="5"/>
      <c r="M205" s="105"/>
    </row>
    <row r="206" spans="1:13" s="1" customFormat="1" ht="15" customHeight="1" x14ac:dyDescent="0.25">
      <c r="A206" s="170"/>
      <c r="B206" s="170"/>
      <c r="C206" s="170" t="s">
        <v>67</v>
      </c>
      <c r="D206" s="170" t="s">
        <v>68</v>
      </c>
      <c r="E206" s="36">
        <v>8231</v>
      </c>
      <c r="F206" s="36" t="s">
        <v>249</v>
      </c>
      <c r="G206" s="37">
        <v>1221230</v>
      </c>
      <c r="H206" s="38">
        <v>22307</v>
      </c>
      <c r="I206" s="38">
        <v>1243537</v>
      </c>
      <c r="J206" s="5"/>
      <c r="K206" s="33"/>
      <c r="M206" s="105"/>
    </row>
    <row r="207" spans="1:13" s="1" customFormat="1" x14ac:dyDescent="0.25">
      <c r="A207" s="170"/>
      <c r="B207" s="170"/>
      <c r="C207" s="170"/>
      <c r="D207" s="170"/>
      <c r="E207" s="36">
        <v>82311</v>
      </c>
      <c r="F207" s="36" t="s">
        <v>250</v>
      </c>
      <c r="G207" s="37">
        <v>19520</v>
      </c>
      <c r="H207" s="38"/>
      <c r="I207" s="38">
        <v>19520</v>
      </c>
      <c r="J207" s="5"/>
      <c r="K207" s="33"/>
      <c r="M207" s="105"/>
    </row>
    <row r="208" spans="1:13" s="1" customFormat="1" x14ac:dyDescent="0.25">
      <c r="A208" s="170"/>
      <c r="B208" s="170"/>
      <c r="C208" s="170"/>
      <c r="D208" s="170"/>
      <c r="E208" s="36">
        <v>8232</v>
      </c>
      <c r="F208" s="36" t="s">
        <v>251</v>
      </c>
      <c r="G208" s="37">
        <v>125489</v>
      </c>
      <c r="H208" s="38">
        <v>1262</v>
      </c>
      <c r="I208" s="38">
        <v>126751</v>
      </c>
      <c r="J208" s="5"/>
      <c r="K208" s="33"/>
      <c r="M208" s="105"/>
    </row>
    <row r="209" spans="1:13" s="1" customFormat="1" x14ac:dyDescent="0.25">
      <c r="A209" s="170"/>
      <c r="B209" s="170"/>
      <c r="C209" s="170"/>
      <c r="D209" s="170"/>
      <c r="E209" s="36">
        <v>8233</v>
      </c>
      <c r="F209" s="36" t="s">
        <v>252</v>
      </c>
      <c r="G209" s="37">
        <v>92453</v>
      </c>
      <c r="H209" s="38">
        <v>403</v>
      </c>
      <c r="I209" s="38">
        <v>92856</v>
      </c>
      <c r="J209" s="5"/>
      <c r="K209" s="33"/>
      <c r="M209" s="105"/>
    </row>
    <row r="210" spans="1:13" s="1" customFormat="1" x14ac:dyDescent="0.25">
      <c r="A210" s="170"/>
      <c r="B210" s="170"/>
      <c r="C210" s="170"/>
      <c r="D210" s="170"/>
      <c r="E210" s="36">
        <v>8235</v>
      </c>
      <c r="F210" s="36" t="s">
        <v>253</v>
      </c>
      <c r="G210" s="37">
        <v>95779</v>
      </c>
      <c r="H210" s="38">
        <v>1706</v>
      </c>
      <c r="I210" s="38">
        <v>97485</v>
      </c>
      <c r="J210" s="5"/>
      <c r="K210" s="5"/>
      <c r="M210" s="105"/>
    </row>
    <row r="211" spans="1:13" s="1" customFormat="1" x14ac:dyDescent="0.25">
      <c r="A211" s="170"/>
      <c r="B211" s="170"/>
      <c r="C211" s="170"/>
      <c r="D211" s="170"/>
      <c r="E211" s="36">
        <v>8237</v>
      </c>
      <c r="F211" s="36" t="s">
        <v>254</v>
      </c>
      <c r="G211" s="37">
        <v>62728</v>
      </c>
      <c r="H211" s="38">
        <v>1500</v>
      </c>
      <c r="I211" s="38">
        <v>64228</v>
      </c>
      <c r="J211" s="5"/>
      <c r="K211" s="5"/>
      <c r="M211" s="105"/>
    </row>
    <row r="212" spans="1:13" s="1" customFormat="1" x14ac:dyDescent="0.25">
      <c r="A212" s="170"/>
      <c r="B212" s="170"/>
      <c r="C212" s="170"/>
      <c r="D212" s="170"/>
      <c r="E212" s="36">
        <v>8238</v>
      </c>
      <c r="F212" s="36" t="s">
        <v>126</v>
      </c>
      <c r="G212" s="37">
        <v>1105811</v>
      </c>
      <c r="H212" s="38">
        <v>4900</v>
      </c>
      <c r="I212" s="38">
        <v>1110711</v>
      </c>
      <c r="J212" s="5"/>
      <c r="K212" s="5"/>
      <c r="M212" s="105"/>
    </row>
    <row r="213" spans="1:13" s="1" customFormat="1" x14ac:dyDescent="0.25">
      <c r="A213" s="170"/>
      <c r="B213" s="170"/>
      <c r="C213" s="170"/>
      <c r="D213" s="170"/>
      <c r="E213" s="36">
        <v>82381</v>
      </c>
      <c r="F213" s="36" t="s">
        <v>817</v>
      </c>
      <c r="G213" s="37">
        <v>31301</v>
      </c>
      <c r="H213" s="38">
        <v>94</v>
      </c>
      <c r="I213" s="38">
        <v>31395</v>
      </c>
      <c r="J213" s="5"/>
      <c r="K213" s="5"/>
      <c r="M213" s="105"/>
    </row>
    <row r="214" spans="1:13" s="1" customFormat="1" x14ac:dyDescent="0.25">
      <c r="A214" s="170"/>
      <c r="B214" s="170"/>
      <c r="C214" s="170"/>
      <c r="D214" s="170"/>
      <c r="E214" s="36">
        <v>8239</v>
      </c>
      <c r="F214" s="36" t="s">
        <v>255</v>
      </c>
      <c r="G214" s="37">
        <v>227452</v>
      </c>
      <c r="H214" s="38">
        <v>5128</v>
      </c>
      <c r="I214" s="38">
        <v>232580</v>
      </c>
      <c r="J214" s="5"/>
      <c r="K214" s="33"/>
      <c r="M214" s="105"/>
    </row>
    <row r="215" spans="1:13" s="1" customFormat="1" x14ac:dyDescent="0.25">
      <c r="A215" s="170"/>
      <c r="B215" s="170"/>
      <c r="C215" s="170"/>
      <c r="D215" s="170"/>
      <c r="E215" s="36">
        <v>823901</v>
      </c>
      <c r="F215" s="36" t="s">
        <v>825</v>
      </c>
      <c r="G215" s="37">
        <v>39282</v>
      </c>
      <c r="H215" s="38">
        <v>242</v>
      </c>
      <c r="I215" s="38">
        <v>39524</v>
      </c>
      <c r="J215" s="5"/>
      <c r="K215" s="33"/>
      <c r="M215" s="105"/>
    </row>
    <row r="216" spans="1:13" s="1" customFormat="1" x14ac:dyDescent="0.25">
      <c r="A216" s="170"/>
      <c r="B216" s="170"/>
      <c r="C216" s="170"/>
      <c r="D216" s="170"/>
      <c r="E216" s="36">
        <v>8240</v>
      </c>
      <c r="F216" s="36" t="s">
        <v>256</v>
      </c>
      <c r="G216" s="37">
        <v>167184</v>
      </c>
      <c r="H216" s="38">
        <v>3088</v>
      </c>
      <c r="I216" s="38">
        <v>170272</v>
      </c>
      <c r="J216" s="5"/>
      <c r="K216" s="33"/>
      <c r="M216" s="105"/>
    </row>
    <row r="217" spans="1:13" s="1" customFormat="1" x14ac:dyDescent="0.25">
      <c r="A217" s="170"/>
      <c r="B217" s="170"/>
      <c r="C217" s="170"/>
      <c r="D217" s="170"/>
      <c r="E217" s="36">
        <v>82401</v>
      </c>
      <c r="F217" s="36" t="s">
        <v>171</v>
      </c>
      <c r="G217" s="37">
        <v>63403</v>
      </c>
      <c r="H217" s="38">
        <v>126</v>
      </c>
      <c r="I217" s="38">
        <v>63529</v>
      </c>
      <c r="J217" s="5"/>
      <c r="K217" s="33"/>
      <c r="M217" s="105"/>
    </row>
    <row r="218" spans="1:13" s="1" customFormat="1" x14ac:dyDescent="0.25">
      <c r="A218" s="170"/>
      <c r="B218" s="170"/>
      <c r="C218" s="170"/>
      <c r="D218" s="170"/>
      <c r="E218" s="36">
        <v>8241</v>
      </c>
      <c r="F218" s="36" t="s">
        <v>257</v>
      </c>
      <c r="G218" s="37">
        <v>326957</v>
      </c>
      <c r="H218" s="38">
        <v>3690</v>
      </c>
      <c r="I218" s="38">
        <v>330647</v>
      </c>
      <c r="J218" s="5"/>
      <c r="K218" s="33"/>
      <c r="M218" s="105"/>
    </row>
    <row r="219" spans="1:13" s="1" customFormat="1" x14ac:dyDescent="0.25">
      <c r="A219" s="170"/>
      <c r="B219" s="170"/>
      <c r="C219" s="170" t="s">
        <v>258</v>
      </c>
      <c r="D219" s="170" t="s">
        <v>318</v>
      </c>
      <c r="E219" s="36">
        <v>8610</v>
      </c>
      <c r="F219" s="36" t="s">
        <v>259</v>
      </c>
      <c r="G219" s="37">
        <v>80000</v>
      </c>
      <c r="H219" s="38"/>
      <c r="I219" s="38">
        <v>80000</v>
      </c>
      <c r="J219" s="5"/>
      <c r="K219" s="5"/>
      <c r="M219" s="105"/>
    </row>
    <row r="220" spans="1:13" s="1" customFormat="1" x14ac:dyDescent="0.25">
      <c r="A220" s="170"/>
      <c r="B220" s="170"/>
      <c r="C220" s="170" t="s">
        <v>258</v>
      </c>
      <c r="D220" s="170" t="s">
        <v>318</v>
      </c>
      <c r="E220" s="36">
        <v>8611</v>
      </c>
      <c r="F220" s="36" t="s">
        <v>826</v>
      </c>
      <c r="G220" s="37">
        <v>0</v>
      </c>
      <c r="H220" s="38"/>
      <c r="I220" s="38">
        <v>0</v>
      </c>
      <c r="J220" s="5"/>
      <c r="K220" s="5"/>
      <c r="M220" s="105"/>
    </row>
    <row r="221" spans="1:13" s="1" customFormat="1" ht="15" customHeight="1" x14ac:dyDescent="0.25">
      <c r="A221" s="170" t="s">
        <v>75</v>
      </c>
      <c r="B221" s="170" t="s">
        <v>76</v>
      </c>
      <c r="C221" s="167" t="s">
        <v>307</v>
      </c>
      <c r="D221" s="168"/>
      <c r="E221" s="168"/>
      <c r="F221" s="169"/>
      <c r="G221" s="34">
        <v>28422355</v>
      </c>
      <c r="H221" s="34">
        <v>391880</v>
      </c>
      <c r="I221" s="34">
        <v>28814235</v>
      </c>
      <c r="J221" s="33"/>
      <c r="K221" s="33"/>
      <c r="M221" s="105"/>
    </row>
    <row r="222" spans="1:13" s="1" customFormat="1" x14ac:dyDescent="0.25">
      <c r="A222" s="170"/>
      <c r="B222" s="170"/>
      <c r="C222" s="173" t="s">
        <v>77</v>
      </c>
      <c r="D222" s="173" t="s">
        <v>519</v>
      </c>
      <c r="E222" s="36">
        <v>9101</v>
      </c>
      <c r="F222" s="36" t="s">
        <v>260</v>
      </c>
      <c r="G222" s="37">
        <v>971522</v>
      </c>
      <c r="H222" s="38">
        <v>3494</v>
      </c>
      <c r="I222" s="38">
        <v>975016</v>
      </c>
      <c r="J222" s="33"/>
      <c r="K222" s="33"/>
      <c r="M222" s="105"/>
    </row>
    <row r="223" spans="1:13" s="1" customFormat="1" x14ac:dyDescent="0.25">
      <c r="A223" s="170"/>
      <c r="B223" s="170"/>
      <c r="C223" s="174"/>
      <c r="D223" s="174"/>
      <c r="E223" s="36">
        <v>9102</v>
      </c>
      <c r="F223" s="36" t="s">
        <v>261</v>
      </c>
      <c r="G223" s="37">
        <v>560557</v>
      </c>
      <c r="H223" s="38">
        <v>2244</v>
      </c>
      <c r="I223" s="38">
        <v>562801</v>
      </c>
      <c r="J223" s="5"/>
      <c r="K223" s="33"/>
      <c r="M223" s="105"/>
    </row>
    <row r="224" spans="1:13" s="1" customFormat="1" x14ac:dyDescent="0.25">
      <c r="A224" s="170"/>
      <c r="B224" s="170"/>
      <c r="C224" s="174"/>
      <c r="D224" s="174"/>
      <c r="E224" s="36">
        <v>9103</v>
      </c>
      <c r="F224" s="36" t="s">
        <v>262</v>
      </c>
      <c r="G224" s="37">
        <v>832433</v>
      </c>
      <c r="H224" s="38">
        <v>3345</v>
      </c>
      <c r="I224" s="38">
        <v>835778</v>
      </c>
      <c r="J224" s="5"/>
      <c r="K224" s="33"/>
      <c r="M224" s="105"/>
    </row>
    <row r="225" spans="1:13" s="1" customFormat="1" x14ac:dyDescent="0.25">
      <c r="A225" s="170"/>
      <c r="B225" s="170"/>
      <c r="C225" s="174"/>
      <c r="D225" s="174"/>
      <c r="E225" s="36">
        <v>9104</v>
      </c>
      <c r="F225" s="36" t="s">
        <v>263</v>
      </c>
      <c r="G225" s="37">
        <v>812252</v>
      </c>
      <c r="H225" s="38"/>
      <c r="I225" s="38">
        <v>812252</v>
      </c>
      <c r="J225" s="5"/>
      <c r="K225" s="33"/>
      <c r="M225" s="105"/>
    </row>
    <row r="226" spans="1:13" s="1" customFormat="1" x14ac:dyDescent="0.25">
      <c r="A226" s="170"/>
      <c r="B226" s="170"/>
      <c r="C226" s="174"/>
      <c r="D226" s="174"/>
      <c r="E226" s="36">
        <v>9106</v>
      </c>
      <c r="F226" s="36" t="s">
        <v>264</v>
      </c>
      <c r="G226" s="37">
        <v>564496</v>
      </c>
      <c r="H226" s="38">
        <v>1842</v>
      </c>
      <c r="I226" s="38">
        <v>566338</v>
      </c>
      <c r="J226" s="33"/>
      <c r="K226" s="33"/>
      <c r="M226" s="105"/>
    </row>
    <row r="227" spans="1:13" s="1" customFormat="1" x14ac:dyDescent="0.25">
      <c r="A227" s="170"/>
      <c r="B227" s="170"/>
      <c r="C227" s="174"/>
      <c r="D227" s="174"/>
      <c r="E227" s="36">
        <v>9107</v>
      </c>
      <c r="F227" s="36" t="s">
        <v>265</v>
      </c>
      <c r="G227" s="37">
        <v>433463</v>
      </c>
      <c r="H227" s="38">
        <v>1364</v>
      </c>
      <c r="I227" s="38">
        <v>434827</v>
      </c>
      <c r="J227" s="5"/>
      <c r="K227" s="5"/>
      <c r="M227" s="105"/>
    </row>
    <row r="228" spans="1:13" s="1" customFormat="1" x14ac:dyDescent="0.25">
      <c r="A228" s="170"/>
      <c r="B228" s="170"/>
      <c r="C228" s="174"/>
      <c r="D228" s="174"/>
      <c r="E228" s="36">
        <v>9108</v>
      </c>
      <c r="F228" s="36" t="s">
        <v>266</v>
      </c>
      <c r="G228" s="37">
        <v>526617</v>
      </c>
      <c r="H228" s="38">
        <v>2402</v>
      </c>
      <c r="I228" s="38">
        <v>529019</v>
      </c>
      <c r="J228" s="5"/>
      <c r="K228" s="5"/>
      <c r="M228" s="105"/>
    </row>
    <row r="229" spans="1:13" s="1" customFormat="1" x14ac:dyDescent="0.25">
      <c r="A229" s="170"/>
      <c r="B229" s="170"/>
      <c r="C229" s="174"/>
      <c r="D229" s="174"/>
      <c r="E229" s="36">
        <v>9109</v>
      </c>
      <c r="F229" s="36" t="s">
        <v>267</v>
      </c>
      <c r="G229" s="37">
        <v>1108975</v>
      </c>
      <c r="H229" s="38">
        <v>3881</v>
      </c>
      <c r="I229" s="38">
        <v>1112856</v>
      </c>
      <c r="J229" s="5"/>
      <c r="K229" s="5"/>
      <c r="M229" s="105"/>
    </row>
    <row r="230" spans="1:13" s="1" customFormat="1" x14ac:dyDescent="0.25">
      <c r="A230" s="170"/>
      <c r="B230" s="170"/>
      <c r="C230" s="174"/>
      <c r="D230" s="174"/>
      <c r="E230" s="36">
        <v>91101</v>
      </c>
      <c r="F230" s="36" t="s">
        <v>205</v>
      </c>
      <c r="G230" s="37">
        <v>746086</v>
      </c>
      <c r="H230" s="38">
        <v>2354</v>
      </c>
      <c r="I230" s="38">
        <v>748440</v>
      </c>
      <c r="J230" s="5"/>
      <c r="K230" s="5"/>
      <c r="M230" s="105"/>
    </row>
    <row r="231" spans="1:13" s="1" customFormat="1" x14ac:dyDescent="0.25">
      <c r="A231" s="170"/>
      <c r="B231" s="170"/>
      <c r="C231" s="174"/>
      <c r="D231" s="174"/>
      <c r="E231" s="36">
        <v>91102</v>
      </c>
      <c r="F231" s="36" t="s">
        <v>268</v>
      </c>
      <c r="G231" s="37">
        <v>708572</v>
      </c>
      <c r="H231" s="38">
        <v>-1328</v>
      </c>
      <c r="I231" s="38">
        <v>707244</v>
      </c>
      <c r="J231" s="5"/>
      <c r="K231" s="5"/>
      <c r="M231" s="105"/>
    </row>
    <row r="232" spans="1:13" s="1" customFormat="1" x14ac:dyDescent="0.25">
      <c r="A232" s="170"/>
      <c r="B232" s="170"/>
      <c r="C232" s="174"/>
      <c r="D232" s="174"/>
      <c r="E232" s="36">
        <v>91103</v>
      </c>
      <c r="F232" s="36" t="s">
        <v>269</v>
      </c>
      <c r="G232" s="37">
        <v>707689</v>
      </c>
      <c r="H232" s="38">
        <v>5516</v>
      </c>
      <c r="I232" s="38">
        <v>713205</v>
      </c>
      <c r="J232" s="5"/>
      <c r="K232" s="5"/>
      <c r="M232" s="105"/>
    </row>
    <row r="233" spans="1:13" s="1" customFormat="1" x14ac:dyDescent="0.25">
      <c r="A233" s="170"/>
      <c r="B233" s="170"/>
      <c r="C233" s="174"/>
      <c r="D233" s="174"/>
      <c r="E233" s="36">
        <v>91104</v>
      </c>
      <c r="F233" s="36" t="s">
        <v>270</v>
      </c>
      <c r="G233" s="37">
        <v>429447</v>
      </c>
      <c r="H233" s="38">
        <v>3853</v>
      </c>
      <c r="I233" s="38">
        <v>433300</v>
      </c>
      <c r="J233" s="5"/>
      <c r="K233" s="5"/>
      <c r="M233" s="105"/>
    </row>
    <row r="234" spans="1:13" s="1" customFormat="1" x14ac:dyDescent="0.25">
      <c r="A234" s="170"/>
      <c r="B234" s="170"/>
      <c r="C234" s="174"/>
      <c r="D234" s="174"/>
      <c r="E234" s="36">
        <v>91105</v>
      </c>
      <c r="F234" s="36" t="s">
        <v>271</v>
      </c>
      <c r="G234" s="37">
        <v>229684</v>
      </c>
      <c r="H234" s="38">
        <v>657</v>
      </c>
      <c r="I234" s="38">
        <v>230341</v>
      </c>
      <c r="J234" s="5"/>
      <c r="K234" s="5"/>
      <c r="M234" s="105"/>
    </row>
    <row r="235" spans="1:13" s="1" customFormat="1" x14ac:dyDescent="0.25">
      <c r="A235" s="170"/>
      <c r="B235" s="170"/>
      <c r="C235" s="174"/>
      <c r="D235" s="174"/>
      <c r="E235" s="36">
        <v>91107</v>
      </c>
      <c r="F235" s="36" t="s">
        <v>517</v>
      </c>
      <c r="G235" s="37">
        <v>112893</v>
      </c>
      <c r="H235" s="38">
        <v>387</v>
      </c>
      <c r="I235" s="38">
        <v>113280</v>
      </c>
      <c r="J235" s="5"/>
      <c r="K235" s="5"/>
      <c r="M235" s="105"/>
    </row>
    <row r="236" spans="1:13" s="1" customFormat="1" x14ac:dyDescent="0.25">
      <c r="A236" s="170"/>
      <c r="B236" s="170"/>
      <c r="C236" s="174"/>
      <c r="D236" s="174"/>
      <c r="E236" s="36">
        <v>91108</v>
      </c>
      <c r="F236" s="36" t="s">
        <v>515</v>
      </c>
      <c r="G236" s="37">
        <v>129308</v>
      </c>
      <c r="H236" s="38">
        <v>1337</v>
      </c>
      <c r="I236" s="38">
        <v>130645</v>
      </c>
      <c r="J236" s="5"/>
      <c r="K236" s="5"/>
      <c r="M236" s="105"/>
    </row>
    <row r="237" spans="1:13" s="1" customFormat="1" x14ac:dyDescent="0.25">
      <c r="A237" s="170"/>
      <c r="B237" s="170"/>
      <c r="C237" s="180"/>
      <c r="D237" s="180"/>
      <c r="E237" s="36">
        <v>9130</v>
      </c>
      <c r="F237" s="36" t="s">
        <v>912</v>
      </c>
      <c r="G237" s="37">
        <v>0</v>
      </c>
      <c r="H237" s="38"/>
      <c r="I237" s="38">
        <v>0</v>
      </c>
      <c r="J237" s="5"/>
      <c r="K237" s="5"/>
      <c r="M237" s="105"/>
    </row>
    <row r="238" spans="1:13" s="1" customFormat="1" x14ac:dyDescent="0.25">
      <c r="A238" s="170"/>
      <c r="B238" s="170"/>
      <c r="C238" s="170" t="s">
        <v>86</v>
      </c>
      <c r="D238" s="170" t="s">
        <v>319</v>
      </c>
      <c r="E238" s="36">
        <v>9211</v>
      </c>
      <c r="F238" s="41" t="s">
        <v>114</v>
      </c>
      <c r="G238" s="38">
        <v>1750069</v>
      </c>
      <c r="H238" s="38">
        <v>28881</v>
      </c>
      <c r="I238" s="38">
        <v>1778950</v>
      </c>
      <c r="J238" s="33"/>
      <c r="K238" s="5"/>
      <c r="M238" s="105"/>
    </row>
    <row r="239" spans="1:13" s="1" customFormat="1" x14ac:dyDescent="0.25">
      <c r="A239" s="170"/>
      <c r="B239" s="170"/>
      <c r="C239" s="170"/>
      <c r="D239" s="170"/>
      <c r="E239" s="36">
        <v>9213</v>
      </c>
      <c r="F239" s="41" t="s">
        <v>273</v>
      </c>
      <c r="G239" s="38">
        <v>1172018</v>
      </c>
      <c r="H239" s="38">
        <v>23398</v>
      </c>
      <c r="I239" s="38">
        <v>1195416</v>
      </c>
      <c r="J239" s="5"/>
      <c r="K239" s="5"/>
      <c r="M239" s="105"/>
    </row>
    <row r="240" spans="1:13" s="1" customFormat="1" x14ac:dyDescent="0.25">
      <c r="A240" s="170"/>
      <c r="B240" s="170"/>
      <c r="C240" s="170"/>
      <c r="D240" s="170"/>
      <c r="E240" s="36">
        <v>9214</v>
      </c>
      <c r="F240" s="41" t="s">
        <v>274</v>
      </c>
      <c r="G240" s="38">
        <v>1233682</v>
      </c>
      <c r="H240" s="38">
        <v>18443</v>
      </c>
      <c r="I240" s="38">
        <v>1252125</v>
      </c>
      <c r="J240" s="5"/>
      <c r="K240" s="5"/>
      <c r="M240" s="105"/>
    </row>
    <row r="241" spans="1:13" s="1" customFormat="1" x14ac:dyDescent="0.25">
      <c r="A241" s="170"/>
      <c r="B241" s="170"/>
      <c r="C241" s="170"/>
      <c r="D241" s="170"/>
      <c r="E241" s="36">
        <v>9216</v>
      </c>
      <c r="F241" s="41" t="s">
        <v>275</v>
      </c>
      <c r="G241" s="38">
        <v>2473348</v>
      </c>
      <c r="H241" s="38">
        <v>169161</v>
      </c>
      <c r="I241" s="38">
        <v>2642509</v>
      </c>
      <c r="J241" s="5"/>
      <c r="K241" s="5"/>
      <c r="M241" s="105"/>
    </row>
    <row r="242" spans="1:13" s="1" customFormat="1" x14ac:dyDescent="0.25">
      <c r="A242" s="170"/>
      <c r="B242" s="170"/>
      <c r="C242" s="170"/>
      <c r="D242" s="170"/>
      <c r="E242" s="36">
        <v>9217</v>
      </c>
      <c r="F242" s="41" t="s">
        <v>276</v>
      </c>
      <c r="G242" s="38">
        <v>821151</v>
      </c>
      <c r="H242" s="38">
        <v>16539</v>
      </c>
      <c r="I242" s="38">
        <v>837690</v>
      </c>
      <c r="J242" s="5"/>
      <c r="K242" s="5"/>
      <c r="M242" s="105"/>
    </row>
    <row r="243" spans="1:13" s="1" customFormat="1" x14ac:dyDescent="0.25">
      <c r="A243" s="170"/>
      <c r="B243" s="170"/>
      <c r="C243" s="170"/>
      <c r="D243" s="170"/>
      <c r="E243" s="36">
        <v>9218</v>
      </c>
      <c r="F243" s="41" t="s">
        <v>277</v>
      </c>
      <c r="G243" s="38">
        <v>84070</v>
      </c>
      <c r="H243" s="38"/>
      <c r="I243" s="38">
        <v>84070</v>
      </c>
      <c r="J243" s="5"/>
      <c r="K243" s="5"/>
      <c r="M243" s="105"/>
    </row>
    <row r="244" spans="1:13" s="1" customFormat="1" x14ac:dyDescent="0.25">
      <c r="A244" s="170"/>
      <c r="B244" s="170"/>
      <c r="C244" s="170"/>
      <c r="D244" s="170"/>
      <c r="E244" s="36">
        <v>9220</v>
      </c>
      <c r="F244" s="41" t="s">
        <v>278</v>
      </c>
      <c r="G244" s="38">
        <v>499570</v>
      </c>
      <c r="H244" s="38">
        <v>5466</v>
      </c>
      <c r="I244" s="38">
        <v>505036</v>
      </c>
      <c r="J244" s="5"/>
      <c r="K244" s="5"/>
      <c r="M244" s="105"/>
    </row>
    <row r="245" spans="1:13" s="1" customFormat="1" x14ac:dyDescent="0.25">
      <c r="A245" s="170"/>
      <c r="B245" s="170"/>
      <c r="C245" s="170"/>
      <c r="D245" s="170"/>
      <c r="E245" s="36">
        <v>92201</v>
      </c>
      <c r="F245" s="41" t="s">
        <v>174</v>
      </c>
      <c r="G245" s="38">
        <v>953588</v>
      </c>
      <c r="H245" s="38">
        <v>27140</v>
      </c>
      <c r="I245" s="38">
        <v>980728</v>
      </c>
      <c r="J245" s="5"/>
      <c r="K245" s="5"/>
      <c r="M245" s="105"/>
    </row>
    <row r="246" spans="1:13" s="1" customFormat="1" x14ac:dyDescent="0.25">
      <c r="A246" s="170"/>
      <c r="B246" s="170"/>
      <c r="C246" s="170"/>
      <c r="D246" s="170"/>
      <c r="E246" s="36">
        <v>92202</v>
      </c>
      <c r="F246" s="41" t="s">
        <v>279</v>
      </c>
      <c r="G246" s="38">
        <v>755137</v>
      </c>
      <c r="H246" s="38">
        <v>10867</v>
      </c>
      <c r="I246" s="38">
        <v>766004</v>
      </c>
      <c r="J246" s="5"/>
      <c r="K246" s="33"/>
      <c r="M246" s="105"/>
    </row>
    <row r="247" spans="1:13" s="1" customFormat="1" x14ac:dyDescent="0.25">
      <c r="A247" s="170"/>
      <c r="B247" s="170"/>
      <c r="C247" s="170"/>
      <c r="D247" s="170"/>
      <c r="E247" s="36">
        <v>92203</v>
      </c>
      <c r="F247" s="41" t="s">
        <v>137</v>
      </c>
      <c r="G247" s="38">
        <v>1125667</v>
      </c>
      <c r="H247" s="38">
        <v>15047</v>
      </c>
      <c r="I247" s="38">
        <v>1140714</v>
      </c>
      <c r="J247" s="5"/>
      <c r="K247" s="33"/>
      <c r="M247" s="105"/>
    </row>
    <row r="248" spans="1:13" s="1" customFormat="1" x14ac:dyDescent="0.25">
      <c r="A248" s="170"/>
      <c r="B248" s="170"/>
      <c r="C248" s="170"/>
      <c r="D248" s="170"/>
      <c r="E248" s="36">
        <v>92204</v>
      </c>
      <c r="F248" s="41" t="s">
        <v>175</v>
      </c>
      <c r="G248" s="38">
        <v>316999</v>
      </c>
      <c r="H248" s="38">
        <v>5127</v>
      </c>
      <c r="I248" s="38">
        <v>322126</v>
      </c>
      <c r="J248" s="5"/>
      <c r="K248" s="33"/>
      <c r="M248" s="105"/>
    </row>
    <row r="249" spans="1:13" s="1" customFormat="1" x14ac:dyDescent="0.25">
      <c r="A249" s="170"/>
      <c r="B249" s="170"/>
      <c r="C249" s="170"/>
      <c r="D249" s="170"/>
      <c r="E249" s="36">
        <v>92205</v>
      </c>
      <c r="F249" s="41" t="s">
        <v>170</v>
      </c>
      <c r="G249" s="38">
        <v>395432</v>
      </c>
      <c r="H249" s="38">
        <v>2754</v>
      </c>
      <c r="I249" s="38">
        <v>398186</v>
      </c>
      <c r="J249" s="5"/>
      <c r="K249" s="33"/>
      <c r="M249" s="105"/>
    </row>
    <row r="250" spans="1:13" s="1" customFormat="1" x14ac:dyDescent="0.25">
      <c r="A250" s="170"/>
      <c r="B250" s="170"/>
      <c r="C250" s="170"/>
      <c r="D250" s="170"/>
      <c r="E250" s="36">
        <v>92207</v>
      </c>
      <c r="F250" s="41" t="s">
        <v>513</v>
      </c>
      <c r="G250" s="38">
        <v>362740</v>
      </c>
      <c r="H250" s="38">
        <v>94</v>
      </c>
      <c r="I250" s="38">
        <v>362834</v>
      </c>
      <c r="J250" s="5"/>
      <c r="K250" s="33"/>
      <c r="M250" s="105"/>
    </row>
    <row r="251" spans="1:13" s="1" customFormat="1" x14ac:dyDescent="0.25">
      <c r="A251" s="170"/>
      <c r="B251" s="170"/>
      <c r="C251" s="170"/>
      <c r="D251" s="170"/>
      <c r="E251" s="36">
        <v>92208</v>
      </c>
      <c r="F251" s="41" t="s">
        <v>511</v>
      </c>
      <c r="G251" s="38">
        <v>81454</v>
      </c>
      <c r="H251" s="38">
        <v>4199</v>
      </c>
      <c r="I251" s="38">
        <v>85653</v>
      </c>
      <c r="J251" s="5"/>
      <c r="K251" s="33"/>
      <c r="M251" s="105"/>
    </row>
    <row r="252" spans="1:13" s="1" customFormat="1" x14ac:dyDescent="0.25">
      <c r="A252" s="170"/>
      <c r="B252" s="170"/>
      <c r="C252" s="170"/>
      <c r="D252" s="170"/>
      <c r="E252" s="36">
        <v>92209</v>
      </c>
      <c r="F252" s="41" t="s">
        <v>509</v>
      </c>
      <c r="G252" s="38">
        <v>449385</v>
      </c>
      <c r="H252" s="38">
        <v>107</v>
      </c>
      <c r="I252" s="38">
        <v>449492</v>
      </c>
      <c r="J252" s="5"/>
      <c r="K252" s="5"/>
      <c r="M252" s="105"/>
    </row>
    <row r="253" spans="1:13" s="1" customFormat="1" x14ac:dyDescent="0.25">
      <c r="A253" s="170"/>
      <c r="B253" s="170"/>
      <c r="C253" s="170"/>
      <c r="D253" s="170"/>
      <c r="E253" s="36">
        <v>9230</v>
      </c>
      <c r="F253" s="41" t="s">
        <v>827</v>
      </c>
      <c r="G253" s="38">
        <v>21348</v>
      </c>
      <c r="H253" s="38">
        <v>15513</v>
      </c>
      <c r="I253" s="38">
        <v>36861</v>
      </c>
      <c r="J253" s="5"/>
      <c r="K253" s="5"/>
      <c r="M253" s="105"/>
    </row>
    <row r="254" spans="1:13" s="1" customFormat="1" x14ac:dyDescent="0.25">
      <c r="A254" s="170"/>
      <c r="B254" s="170"/>
      <c r="C254" s="170"/>
      <c r="D254" s="170"/>
      <c r="E254" s="36">
        <v>9231</v>
      </c>
      <c r="F254" s="41" t="s">
        <v>239</v>
      </c>
      <c r="G254" s="38">
        <v>103073</v>
      </c>
      <c r="H254" s="38">
        <v>119</v>
      </c>
      <c r="I254" s="38">
        <v>103192</v>
      </c>
      <c r="J254" s="5"/>
      <c r="K254" s="5"/>
      <c r="M254" s="105"/>
    </row>
    <row r="255" spans="1:13" s="1" customFormat="1" x14ac:dyDescent="0.25">
      <c r="A255" s="170"/>
      <c r="B255" s="170"/>
      <c r="C255" s="170"/>
      <c r="D255" s="170"/>
      <c r="E255" s="36">
        <v>9232</v>
      </c>
      <c r="F255" s="41" t="s">
        <v>828</v>
      </c>
      <c r="G255" s="38">
        <v>36936</v>
      </c>
      <c r="H255" s="38"/>
      <c r="I255" s="38">
        <v>36936</v>
      </c>
      <c r="J255" s="5"/>
      <c r="K255" s="5"/>
      <c r="M255" s="105"/>
    </row>
    <row r="256" spans="1:13" s="1" customFormat="1" ht="15" customHeight="1" x14ac:dyDescent="0.25">
      <c r="A256" s="170"/>
      <c r="B256" s="170"/>
      <c r="C256" s="170" t="s">
        <v>95</v>
      </c>
      <c r="D256" s="170" t="s">
        <v>320</v>
      </c>
      <c r="E256" s="36">
        <v>9512</v>
      </c>
      <c r="F256" s="36" t="s">
        <v>280</v>
      </c>
      <c r="G256" s="37">
        <v>952499</v>
      </c>
      <c r="H256" s="38">
        <v>4605</v>
      </c>
      <c r="I256" s="38">
        <v>957104</v>
      </c>
      <c r="J256" s="33"/>
      <c r="K256" s="5"/>
      <c r="M256" s="105"/>
    </row>
    <row r="257" spans="1:13" s="1" customFormat="1" x14ac:dyDescent="0.25">
      <c r="A257" s="170"/>
      <c r="B257" s="170"/>
      <c r="C257" s="170"/>
      <c r="D257" s="170"/>
      <c r="E257" s="36">
        <v>9513</v>
      </c>
      <c r="F257" s="36" t="s">
        <v>130</v>
      </c>
      <c r="G257" s="37">
        <v>186938</v>
      </c>
      <c r="H257" s="38"/>
      <c r="I257" s="38">
        <v>186938</v>
      </c>
      <c r="J257" s="5"/>
      <c r="K257" s="5"/>
      <c r="M257" s="105"/>
    </row>
    <row r="258" spans="1:13" s="1" customFormat="1" x14ac:dyDescent="0.25">
      <c r="A258" s="170"/>
      <c r="B258" s="170"/>
      <c r="C258" s="170"/>
      <c r="D258" s="170"/>
      <c r="E258" s="36">
        <v>9514</v>
      </c>
      <c r="F258" s="36" t="s">
        <v>97</v>
      </c>
      <c r="G258" s="37">
        <v>328772</v>
      </c>
      <c r="H258" s="38">
        <v>5835</v>
      </c>
      <c r="I258" s="38">
        <v>334607</v>
      </c>
      <c r="J258" s="5"/>
      <c r="K258" s="5"/>
      <c r="M258" s="105"/>
    </row>
    <row r="259" spans="1:13" s="1" customFormat="1" x14ac:dyDescent="0.25">
      <c r="A259" s="170"/>
      <c r="B259" s="170"/>
      <c r="C259" s="170"/>
      <c r="D259" s="170"/>
      <c r="E259" s="36">
        <v>9515</v>
      </c>
      <c r="F259" s="36" t="s">
        <v>281</v>
      </c>
      <c r="G259" s="37">
        <v>1227109</v>
      </c>
      <c r="H259" s="38">
        <v>8704</v>
      </c>
      <c r="I259" s="38">
        <v>1235813</v>
      </c>
      <c r="J259" s="5"/>
      <c r="K259" s="33"/>
      <c r="M259" s="105"/>
    </row>
    <row r="260" spans="1:13" s="1" customFormat="1" x14ac:dyDescent="0.25">
      <c r="A260" s="170"/>
      <c r="B260" s="170"/>
      <c r="C260" s="170"/>
      <c r="D260" s="170"/>
      <c r="E260" s="36">
        <v>9516</v>
      </c>
      <c r="F260" s="36" t="s">
        <v>282</v>
      </c>
      <c r="G260" s="37">
        <v>186437</v>
      </c>
      <c r="H260" s="38"/>
      <c r="I260" s="38">
        <v>186437</v>
      </c>
      <c r="J260" s="5"/>
      <c r="K260" s="33"/>
      <c r="M260" s="105"/>
    </row>
    <row r="261" spans="1:13" s="1" customFormat="1" x14ac:dyDescent="0.25">
      <c r="A261" s="170"/>
      <c r="B261" s="170"/>
      <c r="C261" s="170"/>
      <c r="D261" s="170"/>
      <c r="E261" s="36">
        <v>9517</v>
      </c>
      <c r="F261" s="36" t="s">
        <v>283</v>
      </c>
      <c r="G261" s="37">
        <v>272956</v>
      </c>
      <c r="H261" s="38">
        <v>-1514</v>
      </c>
      <c r="I261" s="38">
        <v>271442</v>
      </c>
      <c r="J261" s="5"/>
      <c r="K261" s="33"/>
      <c r="M261" s="105"/>
    </row>
    <row r="262" spans="1:13" s="1" customFormat="1" x14ac:dyDescent="0.25">
      <c r="A262" s="170"/>
      <c r="B262" s="170"/>
      <c r="C262" s="170"/>
      <c r="D262" s="170"/>
      <c r="E262" s="36">
        <v>9518</v>
      </c>
      <c r="F262" s="36" t="s">
        <v>272</v>
      </c>
      <c r="G262" s="37">
        <v>70579</v>
      </c>
      <c r="H262" s="38"/>
      <c r="I262" s="38">
        <v>70579</v>
      </c>
      <c r="J262" s="5"/>
      <c r="K262" s="33"/>
      <c r="M262" s="105"/>
    </row>
    <row r="263" spans="1:13" s="1" customFormat="1" ht="31.5" x14ac:dyDescent="0.25">
      <c r="A263" s="170"/>
      <c r="B263" s="170"/>
      <c r="C263" s="35" t="s">
        <v>829</v>
      </c>
      <c r="D263" s="35" t="s">
        <v>830</v>
      </c>
      <c r="E263" s="36">
        <v>9610</v>
      </c>
      <c r="F263" s="36" t="s">
        <v>831</v>
      </c>
      <c r="G263" s="37">
        <v>752173</v>
      </c>
      <c r="H263" s="38"/>
      <c r="I263" s="38">
        <v>752173</v>
      </c>
      <c r="J263" s="5"/>
      <c r="K263" s="5"/>
      <c r="M263" s="105"/>
    </row>
    <row r="264" spans="1:13" s="1" customFormat="1" ht="15" customHeight="1" x14ac:dyDescent="0.25">
      <c r="A264" s="170"/>
      <c r="B264" s="170"/>
      <c r="C264" s="170" t="s">
        <v>832</v>
      </c>
      <c r="D264" s="170" t="s">
        <v>833</v>
      </c>
      <c r="E264" s="36">
        <v>96201</v>
      </c>
      <c r="F264" s="36" t="s">
        <v>835</v>
      </c>
      <c r="G264" s="37">
        <v>131889</v>
      </c>
      <c r="H264" s="38"/>
      <c r="I264" s="38">
        <v>131889</v>
      </c>
      <c r="J264" s="5"/>
      <c r="K264" s="5"/>
      <c r="M264" s="105"/>
    </row>
    <row r="265" spans="1:13" s="1" customFormat="1" x14ac:dyDescent="0.25">
      <c r="A265" s="170"/>
      <c r="B265" s="170"/>
      <c r="C265" s="170"/>
      <c r="D265" s="170"/>
      <c r="E265" s="36">
        <v>96202</v>
      </c>
      <c r="F265" s="36" t="s">
        <v>837</v>
      </c>
      <c r="G265" s="37">
        <v>72531</v>
      </c>
      <c r="H265" s="38"/>
      <c r="I265" s="38">
        <v>72531</v>
      </c>
      <c r="J265" s="5"/>
      <c r="K265" s="5"/>
      <c r="M265" s="105"/>
    </row>
    <row r="266" spans="1:13" s="1" customFormat="1" x14ac:dyDescent="0.25">
      <c r="A266" s="170"/>
      <c r="B266" s="170"/>
      <c r="C266" s="170"/>
      <c r="D266" s="170"/>
      <c r="E266" s="36">
        <v>96203</v>
      </c>
      <c r="F266" s="36" t="s">
        <v>839</v>
      </c>
      <c r="G266" s="37">
        <v>126608</v>
      </c>
      <c r="H266" s="38"/>
      <c r="I266" s="38">
        <v>126608</v>
      </c>
      <c r="J266" s="5"/>
      <c r="K266" s="5"/>
      <c r="M266" s="105"/>
    </row>
    <row r="267" spans="1:13" s="1" customFormat="1" x14ac:dyDescent="0.25">
      <c r="A267" s="170"/>
      <c r="B267" s="170"/>
      <c r="C267" s="170"/>
      <c r="D267" s="170"/>
      <c r="E267" s="36">
        <v>96204</v>
      </c>
      <c r="F267" s="36" t="s">
        <v>841</v>
      </c>
      <c r="G267" s="37">
        <v>77851</v>
      </c>
      <c r="H267" s="38"/>
      <c r="I267" s="38">
        <v>77851</v>
      </c>
      <c r="J267" s="5"/>
      <c r="K267" s="5"/>
      <c r="M267" s="105"/>
    </row>
    <row r="268" spans="1:13" s="1" customFormat="1" x14ac:dyDescent="0.25">
      <c r="A268" s="170"/>
      <c r="B268" s="170"/>
      <c r="C268" s="170"/>
      <c r="D268" s="170"/>
      <c r="E268" s="36">
        <v>96205</v>
      </c>
      <c r="F268" s="36" t="s">
        <v>843</v>
      </c>
      <c r="G268" s="37">
        <v>50196</v>
      </c>
      <c r="H268" s="38"/>
      <c r="I268" s="38">
        <v>50196</v>
      </c>
      <c r="J268" s="5"/>
      <c r="K268" s="5"/>
      <c r="M268" s="105"/>
    </row>
    <row r="269" spans="1:13" s="1" customFormat="1" x14ac:dyDescent="0.25">
      <c r="A269" s="170"/>
      <c r="B269" s="170"/>
      <c r="C269" s="170"/>
      <c r="D269" s="170"/>
      <c r="E269" s="36">
        <v>96206</v>
      </c>
      <c r="F269" s="36" t="s">
        <v>845</v>
      </c>
      <c r="G269" s="37">
        <v>76209</v>
      </c>
      <c r="H269" s="38"/>
      <c r="I269" s="38">
        <v>76209</v>
      </c>
      <c r="J269" s="5"/>
      <c r="K269" s="5"/>
      <c r="M269" s="105"/>
    </row>
    <row r="270" spans="1:13" s="1" customFormat="1" x14ac:dyDescent="0.25">
      <c r="A270" s="170"/>
      <c r="B270" s="170"/>
      <c r="C270" s="170"/>
      <c r="D270" s="170"/>
      <c r="E270" s="36">
        <v>96207</v>
      </c>
      <c r="F270" s="36" t="s">
        <v>847</v>
      </c>
      <c r="G270" s="37">
        <v>120653</v>
      </c>
      <c r="H270" s="38"/>
      <c r="I270" s="38">
        <v>120653</v>
      </c>
      <c r="J270" s="5"/>
      <c r="K270" s="5"/>
      <c r="M270" s="105"/>
    </row>
    <row r="271" spans="1:13" s="1" customFormat="1" x14ac:dyDescent="0.25">
      <c r="A271" s="170"/>
      <c r="B271" s="170"/>
      <c r="C271" s="170"/>
      <c r="D271" s="170"/>
      <c r="E271" s="36">
        <v>96208</v>
      </c>
      <c r="F271" s="36" t="s">
        <v>849</v>
      </c>
      <c r="G271" s="37">
        <v>89757</v>
      </c>
      <c r="H271" s="38"/>
      <c r="I271" s="38">
        <v>89757</v>
      </c>
      <c r="J271" s="5"/>
      <c r="K271" s="5"/>
      <c r="M271" s="105"/>
    </row>
    <row r="272" spans="1:13" s="1" customFormat="1" x14ac:dyDescent="0.25">
      <c r="A272" s="170"/>
      <c r="B272" s="170"/>
      <c r="C272" s="170"/>
      <c r="D272" s="170"/>
      <c r="E272" s="36">
        <v>96209</v>
      </c>
      <c r="F272" s="36" t="s">
        <v>851</v>
      </c>
      <c r="G272" s="37">
        <v>82172</v>
      </c>
      <c r="H272" s="38"/>
      <c r="I272" s="38">
        <v>82172</v>
      </c>
      <c r="J272" s="5"/>
      <c r="K272" s="5"/>
      <c r="M272" s="105"/>
    </row>
    <row r="273" spans="1:13" s="1" customFormat="1" x14ac:dyDescent="0.25">
      <c r="A273" s="170"/>
      <c r="B273" s="170"/>
      <c r="C273" s="170"/>
      <c r="D273" s="170"/>
      <c r="E273" s="36">
        <v>96210</v>
      </c>
      <c r="F273" s="36" t="s">
        <v>853</v>
      </c>
      <c r="G273" s="37">
        <v>91586</v>
      </c>
      <c r="H273" s="38"/>
      <c r="I273" s="38">
        <v>91586</v>
      </c>
      <c r="J273" s="5"/>
      <c r="K273" s="5"/>
      <c r="M273" s="105"/>
    </row>
    <row r="274" spans="1:13" s="1" customFormat="1" x14ac:dyDescent="0.25">
      <c r="A274" s="170"/>
      <c r="B274" s="170"/>
      <c r="C274" s="170"/>
      <c r="D274" s="170"/>
      <c r="E274" s="36">
        <v>96211</v>
      </c>
      <c r="F274" s="36" t="s">
        <v>855</v>
      </c>
      <c r="G274" s="37">
        <v>47720</v>
      </c>
      <c r="H274" s="38"/>
      <c r="I274" s="38">
        <v>47720</v>
      </c>
      <c r="J274" s="5"/>
      <c r="K274" s="5"/>
      <c r="M274" s="105"/>
    </row>
    <row r="275" spans="1:13" s="1" customFormat="1" x14ac:dyDescent="0.25">
      <c r="A275" s="170"/>
      <c r="B275" s="170"/>
      <c r="C275" s="170"/>
      <c r="D275" s="170"/>
      <c r="E275" s="36">
        <v>96214</v>
      </c>
      <c r="F275" s="36" t="s">
        <v>857</v>
      </c>
      <c r="G275" s="37">
        <v>26067</v>
      </c>
      <c r="H275" s="38"/>
      <c r="I275" s="38">
        <v>26067</v>
      </c>
      <c r="J275" s="5"/>
      <c r="K275" s="5"/>
      <c r="M275" s="105"/>
    </row>
    <row r="276" spans="1:13" s="1" customFormat="1" x14ac:dyDescent="0.25">
      <c r="A276" s="170"/>
      <c r="B276" s="170"/>
      <c r="C276" s="170"/>
      <c r="D276" s="170"/>
      <c r="E276" s="36">
        <v>96216</v>
      </c>
      <c r="F276" s="36" t="s">
        <v>859</v>
      </c>
      <c r="G276" s="37">
        <v>102627</v>
      </c>
      <c r="H276" s="38"/>
      <c r="I276" s="38">
        <v>102627</v>
      </c>
      <c r="J276" s="5"/>
      <c r="K276" s="5"/>
      <c r="M276" s="105"/>
    </row>
    <row r="277" spans="1:13" s="1" customFormat="1" x14ac:dyDescent="0.25">
      <c r="A277" s="170"/>
      <c r="B277" s="170"/>
      <c r="C277" s="170"/>
      <c r="D277" s="170"/>
      <c r="E277" s="36">
        <v>96217</v>
      </c>
      <c r="F277" s="36" t="s">
        <v>861</v>
      </c>
      <c r="G277" s="37">
        <v>150690</v>
      </c>
      <c r="H277" s="38"/>
      <c r="I277" s="38">
        <v>150690</v>
      </c>
      <c r="J277" s="5"/>
      <c r="K277" s="5"/>
      <c r="M277" s="105"/>
    </row>
    <row r="278" spans="1:13" s="1" customFormat="1" x14ac:dyDescent="0.25">
      <c r="A278" s="170"/>
      <c r="B278" s="170"/>
      <c r="C278" s="170"/>
      <c r="D278" s="170"/>
      <c r="E278" s="36">
        <v>96218</v>
      </c>
      <c r="F278" s="36" t="s">
        <v>863</v>
      </c>
      <c r="G278" s="37">
        <v>188314</v>
      </c>
      <c r="H278" s="38"/>
      <c r="I278" s="38">
        <v>188314</v>
      </c>
      <c r="J278" s="5"/>
      <c r="K278" s="5"/>
      <c r="M278" s="105"/>
    </row>
    <row r="279" spans="1:13" s="1" customFormat="1" ht="15" customHeight="1" x14ac:dyDescent="0.25">
      <c r="A279" s="170"/>
      <c r="B279" s="170"/>
      <c r="C279" s="170"/>
      <c r="D279" s="170"/>
      <c r="E279" s="36">
        <v>96219</v>
      </c>
      <c r="F279" s="36" t="s">
        <v>865</v>
      </c>
      <c r="G279" s="37">
        <v>315988</v>
      </c>
      <c r="H279" s="38"/>
      <c r="I279" s="38">
        <v>315988</v>
      </c>
      <c r="J279" s="5"/>
      <c r="K279" s="5"/>
      <c r="M279" s="105"/>
    </row>
    <row r="280" spans="1:13" s="1" customFormat="1" x14ac:dyDescent="0.25">
      <c r="A280" s="170"/>
      <c r="B280" s="170"/>
      <c r="C280" s="170"/>
      <c r="D280" s="170"/>
      <c r="E280" s="36">
        <v>96220</v>
      </c>
      <c r="F280" s="36" t="s">
        <v>867</v>
      </c>
      <c r="G280" s="37">
        <v>61496</v>
      </c>
      <c r="H280" s="38"/>
      <c r="I280" s="38">
        <v>61496</v>
      </c>
      <c r="J280" s="5"/>
      <c r="K280" s="5"/>
      <c r="M280" s="105"/>
    </row>
    <row r="281" spans="1:13" s="1" customFormat="1" x14ac:dyDescent="0.25">
      <c r="A281" s="170"/>
      <c r="B281" s="170"/>
      <c r="C281" s="170"/>
      <c r="D281" s="170"/>
      <c r="E281" s="36">
        <v>96221</v>
      </c>
      <c r="F281" s="36" t="s">
        <v>869</v>
      </c>
      <c r="G281" s="37">
        <v>38880</v>
      </c>
      <c r="H281" s="38"/>
      <c r="I281" s="38">
        <v>38880</v>
      </c>
      <c r="J281" s="5"/>
      <c r="K281" s="5"/>
      <c r="M281" s="105"/>
    </row>
    <row r="282" spans="1:13" s="1" customFormat="1" x14ac:dyDescent="0.25">
      <c r="A282" s="170"/>
      <c r="B282" s="170"/>
      <c r="C282" s="170"/>
      <c r="D282" s="170"/>
      <c r="E282" s="36">
        <v>96222</v>
      </c>
      <c r="F282" s="36" t="s">
        <v>871</v>
      </c>
      <c r="G282" s="37">
        <v>171863</v>
      </c>
      <c r="H282" s="38"/>
      <c r="I282" s="38">
        <v>171863</v>
      </c>
      <c r="J282" s="5"/>
      <c r="K282" s="5"/>
      <c r="M282" s="105"/>
    </row>
    <row r="283" spans="1:13" s="1" customFormat="1" x14ac:dyDescent="0.25">
      <c r="A283" s="170"/>
      <c r="B283" s="170"/>
      <c r="C283" s="170"/>
      <c r="D283" s="170"/>
      <c r="E283" s="36">
        <v>96223</v>
      </c>
      <c r="F283" s="36" t="s">
        <v>873</v>
      </c>
      <c r="G283" s="37">
        <v>119328</v>
      </c>
      <c r="H283" s="38"/>
      <c r="I283" s="38">
        <v>119328</v>
      </c>
      <c r="J283" s="5"/>
      <c r="K283" s="5"/>
      <c r="M283" s="105"/>
    </row>
    <row r="284" spans="1:13" s="1" customFormat="1" x14ac:dyDescent="0.25">
      <c r="A284" s="170"/>
      <c r="B284" s="170"/>
      <c r="C284" s="170"/>
      <c r="D284" s="170"/>
      <c r="E284" s="36">
        <v>96224</v>
      </c>
      <c r="F284" s="36" t="s">
        <v>875</v>
      </c>
      <c r="G284" s="37">
        <v>155515</v>
      </c>
      <c r="H284" s="38"/>
      <c r="I284" s="38">
        <v>155515</v>
      </c>
      <c r="J284" s="5"/>
      <c r="K284" s="5"/>
      <c r="M284" s="105"/>
    </row>
    <row r="285" spans="1:13" s="1" customFormat="1" x14ac:dyDescent="0.25">
      <c r="A285" s="170"/>
      <c r="B285" s="170"/>
      <c r="C285" s="170"/>
      <c r="D285" s="170"/>
      <c r="E285" s="36">
        <v>96225</v>
      </c>
      <c r="F285" s="36" t="s">
        <v>877</v>
      </c>
      <c r="G285" s="37">
        <v>50467</v>
      </c>
      <c r="H285" s="38"/>
      <c r="I285" s="38">
        <v>50467</v>
      </c>
      <c r="J285" s="5"/>
      <c r="K285" s="5"/>
      <c r="M285" s="105"/>
    </row>
    <row r="286" spans="1:13" s="1" customFormat="1" ht="31.5" x14ac:dyDescent="0.25">
      <c r="A286" s="170"/>
      <c r="B286" s="170"/>
      <c r="C286" s="35" t="s">
        <v>878</v>
      </c>
      <c r="D286" s="35" t="s">
        <v>879</v>
      </c>
      <c r="E286" s="36">
        <v>9630</v>
      </c>
      <c r="F286" s="36" t="s">
        <v>880</v>
      </c>
      <c r="G286" s="37">
        <v>2166</v>
      </c>
      <c r="H286" s="38">
        <v>47</v>
      </c>
      <c r="I286" s="38">
        <v>2213</v>
      </c>
      <c r="J286" s="5"/>
      <c r="K286" s="5"/>
      <c r="M286" s="105"/>
    </row>
    <row r="287" spans="1:13" s="1" customFormat="1" x14ac:dyDescent="0.25">
      <c r="A287" s="170"/>
      <c r="B287" s="170"/>
      <c r="C287" s="170" t="s">
        <v>100</v>
      </c>
      <c r="D287" s="170" t="s">
        <v>101</v>
      </c>
      <c r="E287" s="36">
        <v>9811</v>
      </c>
      <c r="F287" s="36" t="s">
        <v>913</v>
      </c>
      <c r="G287" s="37">
        <v>456025</v>
      </c>
      <c r="H287" s="38"/>
      <c r="I287" s="38">
        <v>456025</v>
      </c>
      <c r="J287" s="5"/>
      <c r="K287" s="5"/>
      <c r="M287" s="105"/>
    </row>
    <row r="288" spans="1:13" s="1" customFormat="1" x14ac:dyDescent="0.25">
      <c r="A288" s="170"/>
      <c r="B288" s="170"/>
      <c r="C288" s="170"/>
      <c r="D288" s="170"/>
      <c r="E288" s="36">
        <v>9812</v>
      </c>
      <c r="F288" s="36" t="s">
        <v>284</v>
      </c>
      <c r="G288" s="37">
        <v>128633</v>
      </c>
      <c r="H288" s="38"/>
      <c r="I288" s="38">
        <v>128633</v>
      </c>
      <c r="J288" s="5"/>
      <c r="K288" s="5"/>
      <c r="M288" s="105"/>
    </row>
    <row r="289" spans="1:13" s="1" customFormat="1" ht="15" customHeight="1" x14ac:dyDescent="0.25">
      <c r="A289" s="170" t="s">
        <v>285</v>
      </c>
      <c r="B289" s="170" t="s">
        <v>104</v>
      </c>
      <c r="C289" s="167" t="s">
        <v>307</v>
      </c>
      <c r="D289" s="168"/>
      <c r="E289" s="168"/>
      <c r="F289" s="169"/>
      <c r="G289" s="34">
        <v>6970780</v>
      </c>
      <c r="H289" s="34">
        <v>1267</v>
      </c>
      <c r="I289" s="34">
        <v>6972047</v>
      </c>
      <c r="J289" s="33"/>
      <c r="K289" s="33"/>
      <c r="M289" s="105"/>
    </row>
    <row r="290" spans="1:13" s="1" customFormat="1" ht="15" customHeight="1" x14ac:dyDescent="0.25">
      <c r="A290" s="170"/>
      <c r="B290" s="170"/>
      <c r="C290" s="170" t="s">
        <v>103</v>
      </c>
      <c r="D290" s="170" t="s">
        <v>321</v>
      </c>
      <c r="E290" s="36">
        <v>1091</v>
      </c>
      <c r="F290" s="36" t="s">
        <v>286</v>
      </c>
      <c r="G290" s="37">
        <v>2732741</v>
      </c>
      <c r="H290" s="38">
        <v>791</v>
      </c>
      <c r="I290" s="38">
        <v>2733532</v>
      </c>
      <c r="J290" s="5"/>
      <c r="K290" s="5"/>
      <c r="M290" s="105"/>
    </row>
    <row r="291" spans="1:13" s="1" customFormat="1" x14ac:dyDescent="0.25">
      <c r="A291" s="170"/>
      <c r="B291" s="170"/>
      <c r="C291" s="170"/>
      <c r="D291" s="170"/>
      <c r="E291" s="36">
        <v>10921</v>
      </c>
      <c r="F291" s="36" t="s">
        <v>818</v>
      </c>
      <c r="G291" s="37">
        <v>0</v>
      </c>
      <c r="H291" s="38"/>
      <c r="I291" s="38">
        <v>0</v>
      </c>
      <c r="J291" s="5"/>
      <c r="K291" s="5"/>
      <c r="M291" s="105"/>
    </row>
    <row r="292" spans="1:13" s="1" customFormat="1" x14ac:dyDescent="0.25">
      <c r="A292" s="170"/>
      <c r="B292" s="170"/>
      <c r="C292" s="170"/>
      <c r="D292" s="170"/>
      <c r="E292" s="36">
        <v>10922</v>
      </c>
      <c r="F292" s="36" t="s">
        <v>882</v>
      </c>
      <c r="G292" s="37">
        <v>366648</v>
      </c>
      <c r="H292" s="38">
        <v>131</v>
      </c>
      <c r="I292" s="38">
        <v>366779</v>
      </c>
      <c r="J292" s="5"/>
      <c r="K292" s="5"/>
      <c r="M292" s="105"/>
    </row>
    <row r="293" spans="1:13" s="1" customFormat="1" x14ac:dyDescent="0.25">
      <c r="A293" s="170"/>
      <c r="B293" s="170"/>
      <c r="C293" s="170"/>
      <c r="D293" s="170"/>
      <c r="E293" s="36">
        <v>1093</v>
      </c>
      <c r="F293" s="36" t="s">
        <v>287</v>
      </c>
      <c r="G293" s="37">
        <v>847738</v>
      </c>
      <c r="H293" s="38"/>
      <c r="I293" s="38">
        <v>847738</v>
      </c>
      <c r="J293" s="5"/>
      <c r="K293" s="5"/>
      <c r="M293" s="105"/>
    </row>
    <row r="294" spans="1:13" s="1" customFormat="1" x14ac:dyDescent="0.25">
      <c r="A294" s="170"/>
      <c r="B294" s="170"/>
      <c r="C294" s="170"/>
      <c r="D294" s="170"/>
      <c r="E294" s="36">
        <v>1094</v>
      </c>
      <c r="F294" s="36" t="s">
        <v>288</v>
      </c>
      <c r="G294" s="37">
        <v>906389</v>
      </c>
      <c r="H294" s="38"/>
      <c r="I294" s="38">
        <v>906389</v>
      </c>
      <c r="J294" s="5"/>
      <c r="K294" s="5"/>
      <c r="M294" s="105"/>
    </row>
    <row r="295" spans="1:13" s="1" customFormat="1" x14ac:dyDescent="0.25">
      <c r="A295" s="170"/>
      <c r="B295" s="170"/>
      <c r="C295" s="170"/>
      <c r="D295" s="170"/>
      <c r="E295" s="36">
        <v>1097</v>
      </c>
      <c r="F295" s="36" t="s">
        <v>289</v>
      </c>
      <c r="G295" s="37">
        <v>16322</v>
      </c>
      <c r="H295" s="38"/>
      <c r="I295" s="38">
        <v>16322</v>
      </c>
      <c r="J295" s="5"/>
      <c r="K295" s="5"/>
      <c r="M295" s="105"/>
    </row>
    <row r="296" spans="1:13" s="1" customFormat="1" x14ac:dyDescent="0.25">
      <c r="A296" s="170"/>
      <c r="B296" s="170"/>
      <c r="C296" s="170"/>
      <c r="D296" s="170"/>
      <c r="E296" s="36">
        <v>1098</v>
      </c>
      <c r="F296" s="36" t="s">
        <v>178</v>
      </c>
      <c r="G296" s="37">
        <v>378088</v>
      </c>
      <c r="H296" s="38">
        <v>63</v>
      </c>
      <c r="I296" s="38">
        <v>378151</v>
      </c>
      <c r="J296" s="5"/>
      <c r="K296" s="5"/>
      <c r="M296" s="105"/>
    </row>
    <row r="297" spans="1:13" s="1" customFormat="1" x14ac:dyDescent="0.25">
      <c r="A297" s="170"/>
      <c r="B297" s="170"/>
      <c r="C297" s="170"/>
      <c r="D297" s="170"/>
      <c r="E297" s="36">
        <v>10990</v>
      </c>
      <c r="F297" s="36" t="s">
        <v>290</v>
      </c>
      <c r="G297" s="37">
        <v>111683</v>
      </c>
      <c r="H297" s="38"/>
      <c r="I297" s="38">
        <v>111683</v>
      </c>
      <c r="J297" s="5"/>
      <c r="K297" s="5"/>
      <c r="M297" s="105"/>
    </row>
    <row r="298" spans="1:13" s="1" customFormat="1" x14ac:dyDescent="0.25">
      <c r="A298" s="170"/>
      <c r="B298" s="170"/>
      <c r="C298" s="170"/>
      <c r="D298" s="170"/>
      <c r="E298" s="36">
        <v>10991</v>
      </c>
      <c r="F298" s="36" t="s">
        <v>177</v>
      </c>
      <c r="G298" s="37">
        <v>402370</v>
      </c>
      <c r="H298" s="38">
        <v>94</v>
      </c>
      <c r="I298" s="38">
        <v>402464</v>
      </c>
      <c r="J298" s="5"/>
      <c r="K298" s="5"/>
      <c r="M298" s="105"/>
    </row>
    <row r="299" spans="1:13" s="1" customFormat="1" x14ac:dyDescent="0.25">
      <c r="A299" s="170"/>
      <c r="B299" s="170"/>
      <c r="C299" s="170"/>
      <c r="D299" s="170"/>
      <c r="E299" s="36">
        <v>10993</v>
      </c>
      <c r="F299" s="36" t="s">
        <v>176</v>
      </c>
      <c r="G299" s="37">
        <v>311643</v>
      </c>
      <c r="H299" s="38">
        <v>94</v>
      </c>
      <c r="I299" s="38">
        <v>311737</v>
      </c>
      <c r="J299" s="5"/>
      <c r="K299" s="5"/>
      <c r="M299" s="105"/>
    </row>
    <row r="300" spans="1:13" s="1" customFormat="1" ht="15" customHeight="1" x14ac:dyDescent="0.25">
      <c r="A300" s="170"/>
      <c r="B300" s="170"/>
      <c r="C300" s="170"/>
      <c r="D300" s="170"/>
      <c r="E300" s="36">
        <v>10994</v>
      </c>
      <c r="F300" s="36" t="s">
        <v>180</v>
      </c>
      <c r="G300" s="37">
        <v>0</v>
      </c>
      <c r="H300" s="38"/>
      <c r="I300" s="38">
        <v>0</v>
      </c>
      <c r="J300" s="5"/>
      <c r="K300" s="5"/>
      <c r="M300" s="105"/>
    </row>
    <row r="301" spans="1:13" s="1" customFormat="1" x14ac:dyDescent="0.25">
      <c r="A301" s="170"/>
      <c r="B301" s="170"/>
      <c r="C301" s="170"/>
      <c r="D301" s="170"/>
      <c r="E301" s="36">
        <v>10995</v>
      </c>
      <c r="F301" s="36" t="s">
        <v>179</v>
      </c>
      <c r="G301" s="37">
        <v>897158</v>
      </c>
      <c r="H301" s="38">
        <v>94</v>
      </c>
      <c r="I301" s="38">
        <v>897252</v>
      </c>
      <c r="J301" s="5"/>
      <c r="K301" s="5"/>
      <c r="M301" s="105"/>
    </row>
    <row r="302" spans="1:13" s="1" customFormat="1" ht="15" customHeight="1" x14ac:dyDescent="0.25">
      <c r="A302" s="170" t="s">
        <v>508</v>
      </c>
      <c r="B302" s="170" t="s">
        <v>507</v>
      </c>
      <c r="C302" s="167" t="s">
        <v>307</v>
      </c>
      <c r="D302" s="168"/>
      <c r="E302" s="168"/>
      <c r="F302" s="169"/>
      <c r="G302" s="34">
        <v>374211</v>
      </c>
      <c r="H302" s="34">
        <v>32</v>
      </c>
      <c r="I302" s="34">
        <v>374243</v>
      </c>
      <c r="J302" s="5"/>
      <c r="K302" s="5"/>
      <c r="M302" s="105"/>
    </row>
    <row r="303" spans="1:13" s="1" customFormat="1" ht="31.5" x14ac:dyDescent="0.25">
      <c r="A303" s="170"/>
      <c r="B303" s="170"/>
      <c r="C303" s="35" t="s">
        <v>508</v>
      </c>
      <c r="D303" s="35" t="s">
        <v>507</v>
      </c>
      <c r="E303" s="36">
        <v>1041</v>
      </c>
      <c r="F303" s="36" t="s">
        <v>505</v>
      </c>
      <c r="G303" s="37">
        <v>374211</v>
      </c>
      <c r="H303" s="38">
        <v>32</v>
      </c>
      <c r="I303" s="38">
        <v>374243</v>
      </c>
      <c r="J303" s="5"/>
      <c r="K303" s="5"/>
      <c r="M303" s="105"/>
    </row>
    <row r="304" spans="1:13" x14ac:dyDescent="0.25">
      <c r="A304" s="42"/>
      <c r="B304" s="7"/>
      <c r="C304" s="7"/>
      <c r="E304" s="43"/>
    </row>
    <row r="305" spans="1:11" s="45" customFormat="1" ht="18.75" x14ac:dyDescent="0.3">
      <c r="A305" s="186" t="s">
        <v>108</v>
      </c>
      <c r="B305" s="187"/>
      <c r="C305" s="187"/>
      <c r="D305" s="187"/>
      <c r="E305" s="187"/>
      <c r="F305" s="187"/>
      <c r="G305" s="187"/>
      <c r="H305" s="188"/>
      <c r="I305" s="188"/>
      <c r="J305" s="44"/>
      <c r="K305" s="44"/>
    </row>
    <row r="306" spans="1:11" x14ac:dyDescent="0.25">
      <c r="A306" s="181" t="s">
        <v>554</v>
      </c>
      <c r="B306" s="182"/>
      <c r="C306" s="182"/>
      <c r="D306" s="182"/>
      <c r="E306" s="182"/>
      <c r="F306" s="183"/>
      <c r="G306" s="46">
        <v>873555</v>
      </c>
      <c r="H306" s="46"/>
      <c r="I306" s="46">
        <v>873555</v>
      </c>
      <c r="K306" s="33"/>
    </row>
    <row r="307" spans="1:11" x14ac:dyDescent="0.25">
      <c r="A307" s="181" t="s">
        <v>555</v>
      </c>
      <c r="B307" s="182"/>
      <c r="C307" s="182"/>
      <c r="D307" s="182"/>
      <c r="E307" s="182"/>
      <c r="F307" s="183"/>
      <c r="G307" s="46">
        <v>2915761</v>
      </c>
      <c r="H307" s="46">
        <v>31841</v>
      </c>
      <c r="I307" s="46">
        <v>2947602</v>
      </c>
    </row>
    <row r="308" spans="1:11" x14ac:dyDescent="0.25">
      <c r="A308" s="181" t="s">
        <v>109</v>
      </c>
      <c r="B308" s="182"/>
      <c r="C308" s="182"/>
      <c r="D308" s="182"/>
      <c r="E308" s="182"/>
      <c r="F308" s="183"/>
      <c r="G308" s="46">
        <v>241330</v>
      </c>
      <c r="H308" s="46"/>
      <c r="I308" s="46">
        <v>241330</v>
      </c>
    </row>
    <row r="309" spans="1:11" x14ac:dyDescent="0.25">
      <c r="A309" s="47"/>
      <c r="B309" s="184"/>
      <c r="C309" s="184"/>
      <c r="D309" s="184"/>
      <c r="E309" s="184"/>
      <c r="F309" s="184"/>
      <c r="G309" s="185"/>
      <c r="H309" s="48"/>
      <c r="I309" s="48"/>
    </row>
    <row r="310" spans="1:11" x14ac:dyDescent="0.25">
      <c r="A310" s="181" t="s">
        <v>941</v>
      </c>
      <c r="B310" s="182"/>
      <c r="C310" s="182"/>
      <c r="D310" s="182"/>
      <c r="E310" s="182"/>
      <c r="F310" s="183"/>
      <c r="G310" s="46">
        <v>5915960</v>
      </c>
      <c r="H310" s="46"/>
      <c r="I310" s="46">
        <v>5915960</v>
      </c>
    </row>
    <row r="311" spans="1:11" x14ac:dyDescent="0.25">
      <c r="A311" s="181" t="s">
        <v>942</v>
      </c>
      <c r="B311" s="182"/>
      <c r="C311" s="182"/>
      <c r="D311" s="182"/>
      <c r="E311" s="182"/>
      <c r="F311" s="183"/>
      <c r="G311" s="46">
        <v>63790</v>
      </c>
      <c r="H311" s="46">
        <v>-57462</v>
      </c>
      <c r="I311" s="46">
        <v>6328</v>
      </c>
      <c r="J311" s="33"/>
    </row>
    <row r="312" spans="1:11" x14ac:dyDescent="0.25">
      <c r="C312" s="7"/>
      <c r="E312" s="43"/>
      <c r="G312" s="49"/>
      <c r="H312" s="49"/>
      <c r="I312" s="49"/>
    </row>
    <row r="313" spans="1:11" x14ac:dyDescent="0.25">
      <c r="C313" s="7"/>
      <c r="E313" s="43"/>
    </row>
    <row r="314" spans="1:11" x14ac:dyDescent="0.25">
      <c r="A314" s="50" t="s">
        <v>1058</v>
      </c>
      <c r="B314" s="51"/>
      <c r="C314" s="51"/>
      <c r="D314" s="51"/>
      <c r="E314" s="52"/>
      <c r="I314" s="53"/>
    </row>
    <row r="315" spans="1:11" x14ac:dyDescent="0.25">
      <c r="A315" s="51"/>
      <c r="B315" s="51"/>
      <c r="D315" s="51"/>
      <c r="E315" s="52"/>
      <c r="I315" s="54"/>
      <c r="J315" s="55"/>
    </row>
    <row r="316" spans="1:11" x14ac:dyDescent="0.25">
      <c r="A316" s="51"/>
      <c r="B316" s="51"/>
      <c r="D316" s="51"/>
      <c r="E316" s="52"/>
      <c r="I316" s="53"/>
    </row>
    <row r="317" spans="1:11" x14ac:dyDescent="0.25">
      <c r="A317" s="51"/>
      <c r="B317" s="51"/>
      <c r="D317" s="51"/>
      <c r="E317" s="52"/>
    </row>
    <row r="318" spans="1:11" s="45" customFormat="1" ht="18.75" x14ac:dyDescent="0.3">
      <c r="A318" s="56"/>
      <c r="B318" s="57"/>
      <c r="C318" s="56"/>
      <c r="D318" s="56"/>
      <c r="E318" s="58"/>
      <c r="F318" s="59"/>
      <c r="G318" s="60"/>
      <c r="I318" s="6"/>
      <c r="J318" s="5"/>
      <c r="K318" s="44"/>
    </row>
    <row r="319" spans="1:11" x14ac:dyDescent="0.25">
      <c r="A319" s="51"/>
      <c r="B319" s="51"/>
      <c r="C319" s="51"/>
      <c r="D319" s="51"/>
      <c r="E319" s="52"/>
    </row>
    <row r="321" spans="2:5" x14ac:dyDescent="0.25">
      <c r="C321" s="51"/>
      <c r="D321" s="51"/>
      <c r="E321" s="52"/>
    </row>
    <row r="322" spans="2:5" x14ac:dyDescent="0.25">
      <c r="B322" s="51"/>
      <c r="C322" s="51"/>
      <c r="D322" s="2"/>
      <c r="E322" s="52"/>
    </row>
    <row r="323" spans="2:5" x14ac:dyDescent="0.25">
      <c r="B323" s="51"/>
      <c r="C323" s="51"/>
      <c r="D323" s="2"/>
      <c r="E323" s="52"/>
    </row>
    <row r="324" spans="2:5" x14ac:dyDescent="0.25">
      <c r="B324" s="51"/>
      <c r="C324" s="51"/>
      <c r="D324" s="2"/>
      <c r="E324" s="52"/>
    </row>
    <row r="325" spans="2:5" x14ac:dyDescent="0.25">
      <c r="B325" s="51"/>
      <c r="C325" s="51"/>
      <c r="D325" s="2"/>
      <c r="E325" s="52"/>
    </row>
    <row r="326" spans="2:5" x14ac:dyDescent="0.25">
      <c r="B326" s="51"/>
      <c r="C326" s="51"/>
      <c r="D326" s="51"/>
      <c r="E326" s="52"/>
    </row>
  </sheetData>
  <mergeCells count="168">
    <mergeCell ref="A289:A301"/>
    <mergeCell ref="B289:B301"/>
    <mergeCell ref="C289:F289"/>
    <mergeCell ref="C290:C301"/>
    <mergeCell ref="D290:D301"/>
    <mergeCell ref="A308:F308"/>
    <mergeCell ref="B309:G309"/>
    <mergeCell ref="A310:F310"/>
    <mergeCell ref="A311:F311"/>
    <mergeCell ref="A302:A303"/>
    <mergeCell ref="B302:B303"/>
    <mergeCell ref="C302:F302"/>
    <mergeCell ref="A305:I305"/>
    <mergeCell ref="A306:F306"/>
    <mergeCell ref="A307:F307"/>
    <mergeCell ref="D219:D220"/>
    <mergeCell ref="A221:A288"/>
    <mergeCell ref="B221:B288"/>
    <mergeCell ref="C221:F221"/>
    <mergeCell ref="C222:C237"/>
    <mergeCell ref="D222:D237"/>
    <mergeCell ref="C238:C255"/>
    <mergeCell ref="D238:D255"/>
    <mergeCell ref="C256:C262"/>
    <mergeCell ref="D256:D262"/>
    <mergeCell ref="A189:A220"/>
    <mergeCell ref="B189:B220"/>
    <mergeCell ref="C189:F189"/>
    <mergeCell ref="C190:C194"/>
    <mergeCell ref="D190:D194"/>
    <mergeCell ref="C195:C205"/>
    <mergeCell ref="D195:D205"/>
    <mergeCell ref="C206:C218"/>
    <mergeCell ref="D206:D218"/>
    <mergeCell ref="C219:C220"/>
    <mergeCell ref="C264:C285"/>
    <mergeCell ref="D264:D285"/>
    <mergeCell ref="C287:C288"/>
    <mergeCell ref="D287:D288"/>
    <mergeCell ref="A171:A188"/>
    <mergeCell ref="B171:B188"/>
    <mergeCell ref="C171:F171"/>
    <mergeCell ref="C172:C184"/>
    <mergeCell ref="D172:D184"/>
    <mergeCell ref="C186:C188"/>
    <mergeCell ref="D186:D188"/>
    <mergeCell ref="A166:A170"/>
    <mergeCell ref="B166:B170"/>
    <mergeCell ref="C166:F166"/>
    <mergeCell ref="C167:C168"/>
    <mergeCell ref="D167:D168"/>
    <mergeCell ref="C162:C164"/>
    <mergeCell ref="D162:D164"/>
    <mergeCell ref="D140:D141"/>
    <mergeCell ref="C140:C141"/>
    <mergeCell ref="A132:A141"/>
    <mergeCell ref="B132:B141"/>
    <mergeCell ref="A142:A145"/>
    <mergeCell ref="B142:B145"/>
    <mergeCell ref="C142:F142"/>
    <mergeCell ref="A146:A165"/>
    <mergeCell ref="B146:B165"/>
    <mergeCell ref="C146:F146"/>
    <mergeCell ref="C149:C150"/>
    <mergeCell ref="D149:D150"/>
    <mergeCell ref="C151:C161"/>
    <mergeCell ref="D151:D161"/>
    <mergeCell ref="C143:C144"/>
    <mergeCell ref="D143:D144"/>
    <mergeCell ref="A131:F131"/>
    <mergeCell ref="C132:F132"/>
    <mergeCell ref="C133:C138"/>
    <mergeCell ref="D133:D138"/>
    <mergeCell ref="A126:C127"/>
    <mergeCell ref="D126:D127"/>
    <mergeCell ref="E126:F126"/>
    <mergeCell ref="A129:I129"/>
    <mergeCell ref="A130:B130"/>
    <mergeCell ref="C130:D130"/>
    <mergeCell ref="A118:C122"/>
    <mergeCell ref="D118:D122"/>
    <mergeCell ref="E118:F118"/>
    <mergeCell ref="A123:C124"/>
    <mergeCell ref="D123:D124"/>
    <mergeCell ref="E123:F123"/>
    <mergeCell ref="A113:C114"/>
    <mergeCell ref="D113:D114"/>
    <mergeCell ref="E113:F113"/>
    <mergeCell ref="A115:C117"/>
    <mergeCell ref="D115:D117"/>
    <mergeCell ref="E115:F115"/>
    <mergeCell ref="A104:C109"/>
    <mergeCell ref="D104:D109"/>
    <mergeCell ref="E104:F104"/>
    <mergeCell ref="A110:C112"/>
    <mergeCell ref="D110:D112"/>
    <mergeCell ref="E110:F110"/>
    <mergeCell ref="A97:G97"/>
    <mergeCell ref="A98:I98"/>
    <mergeCell ref="A99:D99"/>
    <mergeCell ref="E99:F99"/>
    <mergeCell ref="A100:F100"/>
    <mergeCell ref="A101:C103"/>
    <mergeCell ref="D101:D103"/>
    <mergeCell ref="E101:F101"/>
    <mergeCell ref="A85:A96"/>
    <mergeCell ref="B85:B96"/>
    <mergeCell ref="C85:F85"/>
    <mergeCell ref="C86:C87"/>
    <mergeCell ref="D86:D87"/>
    <mergeCell ref="C88:C91"/>
    <mergeCell ref="D88:D91"/>
    <mergeCell ref="C92:C96"/>
    <mergeCell ref="D92:D96"/>
    <mergeCell ref="A80:A82"/>
    <mergeCell ref="B80:B82"/>
    <mergeCell ref="C80:F80"/>
    <mergeCell ref="A83:A84"/>
    <mergeCell ref="B83:B84"/>
    <mergeCell ref="C83:F83"/>
    <mergeCell ref="A38:A69"/>
    <mergeCell ref="B38:B69"/>
    <mergeCell ref="C38:F38"/>
    <mergeCell ref="C39:C68"/>
    <mergeCell ref="D39:D68"/>
    <mergeCell ref="A70:A79"/>
    <mergeCell ref="B70:B79"/>
    <mergeCell ref="C70:F70"/>
    <mergeCell ref="C71:C79"/>
    <mergeCell ref="D71:D79"/>
    <mergeCell ref="A26:A34"/>
    <mergeCell ref="B26:B34"/>
    <mergeCell ref="C26:F26"/>
    <mergeCell ref="C27:C34"/>
    <mergeCell ref="D27:D34"/>
    <mergeCell ref="A35:A37"/>
    <mergeCell ref="B35:B37"/>
    <mergeCell ref="C35:F35"/>
    <mergeCell ref="C36:C37"/>
    <mergeCell ref="D36:D37"/>
    <mergeCell ref="A19:A23"/>
    <mergeCell ref="B19:B23"/>
    <mergeCell ref="C19:F19"/>
    <mergeCell ref="C21:C22"/>
    <mergeCell ref="D21:D22"/>
    <mergeCell ref="A24:A25"/>
    <mergeCell ref="B24:B25"/>
    <mergeCell ref="C24:F24"/>
    <mergeCell ref="A12:A13"/>
    <mergeCell ref="B12:B13"/>
    <mergeCell ref="C12:F12"/>
    <mergeCell ref="A14:A18"/>
    <mergeCell ref="B14:B18"/>
    <mergeCell ref="C14:F14"/>
    <mergeCell ref="C16:C18"/>
    <mergeCell ref="D16:D18"/>
    <mergeCell ref="A8:F8"/>
    <mergeCell ref="A9:A11"/>
    <mergeCell ref="B9:B11"/>
    <mergeCell ref="C9:F9"/>
    <mergeCell ref="C10:C11"/>
    <mergeCell ref="D10:D11"/>
    <mergeCell ref="E1:I2"/>
    <mergeCell ref="A5:B5"/>
    <mergeCell ref="A6:I6"/>
    <mergeCell ref="A7:D7"/>
    <mergeCell ref="E7:F7"/>
    <mergeCell ref="A3:I4"/>
  </mergeCell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W197"/>
  <sheetViews>
    <sheetView showGridLines="0" zoomScale="80" zoomScaleNormal="80" workbookViewId="0">
      <selection activeCell="Y1" sqref="Y1"/>
    </sheetView>
  </sheetViews>
  <sheetFormatPr defaultColWidth="8.85546875" defaultRowHeight="12.75" outlineLevelRow="2" x14ac:dyDescent="0.2"/>
  <cols>
    <col min="1" max="1" width="7.28515625" style="106" customWidth="1"/>
    <col min="2" max="2" width="4.85546875" style="106" customWidth="1"/>
    <col min="3" max="3" width="6.7109375" style="106" customWidth="1"/>
    <col min="4" max="4" width="12.28515625" style="106" customWidth="1"/>
    <col min="5" max="5" width="8.85546875" style="106"/>
    <col min="6" max="6" width="14.85546875" style="106" customWidth="1"/>
    <col min="7" max="7" width="12.140625" style="106" customWidth="1"/>
    <col min="8" max="17" width="15" style="106" customWidth="1"/>
    <col min="18" max="18" width="16.42578125" style="106" customWidth="1"/>
    <col min="19" max="23" width="15" style="106" customWidth="1"/>
    <col min="24" max="16384" width="8.85546875" style="106"/>
  </cols>
  <sheetData>
    <row r="1" spans="1:23" s="113" customFormat="1" x14ac:dyDescent="0.2">
      <c r="Q1" s="189" t="s">
        <v>1055</v>
      </c>
      <c r="R1" s="189"/>
      <c r="S1" s="189"/>
      <c r="T1" s="189"/>
      <c r="U1" s="189"/>
      <c r="V1" s="189"/>
      <c r="W1" s="189"/>
    </row>
    <row r="2" spans="1:23" s="113" customFormat="1" x14ac:dyDescent="0.2">
      <c r="Q2" s="189"/>
      <c r="R2" s="189"/>
      <c r="S2" s="189"/>
      <c r="T2" s="189"/>
      <c r="U2" s="189"/>
      <c r="V2" s="189"/>
      <c r="W2" s="189"/>
    </row>
    <row r="3" spans="1:23" s="113" customFormat="1" ht="18.75" x14ac:dyDescent="0.2">
      <c r="A3" s="114" t="s">
        <v>1054</v>
      </c>
      <c r="Q3" s="189"/>
      <c r="R3" s="189"/>
      <c r="S3" s="189"/>
      <c r="T3" s="189"/>
      <c r="U3" s="189"/>
      <c r="V3" s="189"/>
      <c r="W3" s="189"/>
    </row>
    <row r="4" spans="1:23" s="113" customFormat="1" x14ac:dyDescent="0.2">
      <c r="Q4" s="190"/>
      <c r="R4" s="190"/>
      <c r="S4" s="190"/>
      <c r="T4" s="190"/>
      <c r="U4" s="190"/>
      <c r="V4" s="190"/>
      <c r="W4" s="190"/>
    </row>
    <row r="5" spans="1:23" x14ac:dyDescent="0.2">
      <c r="A5" s="191" t="s">
        <v>293</v>
      </c>
      <c r="B5" s="191"/>
      <c r="C5" s="191" t="s">
        <v>933</v>
      </c>
      <c r="D5" s="191"/>
      <c r="E5" s="191" t="s">
        <v>291</v>
      </c>
      <c r="F5" s="191"/>
      <c r="G5" s="192" t="s">
        <v>307</v>
      </c>
      <c r="H5" s="112" t="s">
        <v>183</v>
      </c>
      <c r="I5" s="112" t="s">
        <v>184</v>
      </c>
      <c r="J5" s="112" t="s">
        <v>185</v>
      </c>
      <c r="K5" s="112" t="s">
        <v>186</v>
      </c>
      <c r="L5" s="112" t="s">
        <v>187</v>
      </c>
      <c r="M5" s="112" t="s">
        <v>188</v>
      </c>
      <c r="N5" s="112" t="s">
        <v>189</v>
      </c>
      <c r="O5" s="112" t="s">
        <v>145</v>
      </c>
      <c r="P5" s="112" t="s">
        <v>192</v>
      </c>
      <c r="Q5" s="112" t="s">
        <v>193</v>
      </c>
      <c r="R5" s="112" t="s">
        <v>194</v>
      </c>
      <c r="S5" s="112" t="s">
        <v>195</v>
      </c>
      <c r="T5" s="112" t="s">
        <v>196</v>
      </c>
      <c r="U5" s="112" t="s">
        <v>197</v>
      </c>
      <c r="V5" s="112" t="s">
        <v>561</v>
      </c>
      <c r="W5" s="112" t="s">
        <v>198</v>
      </c>
    </row>
    <row r="6" spans="1:23" ht="89.25" x14ac:dyDescent="0.2">
      <c r="A6" s="191"/>
      <c r="B6" s="191"/>
      <c r="C6" s="191"/>
      <c r="D6" s="191"/>
      <c r="E6" s="191"/>
      <c r="F6" s="191"/>
      <c r="G6" s="193"/>
      <c r="H6" s="112" t="s">
        <v>294</v>
      </c>
      <c r="I6" s="112" t="s">
        <v>295</v>
      </c>
      <c r="J6" s="112" t="s">
        <v>296</v>
      </c>
      <c r="K6" s="112" t="s">
        <v>110</v>
      </c>
      <c r="L6" s="112" t="s">
        <v>292</v>
      </c>
      <c r="M6" s="112" t="s">
        <v>297</v>
      </c>
      <c r="N6" s="112" t="s">
        <v>298</v>
      </c>
      <c r="O6" s="112" t="s">
        <v>299</v>
      </c>
      <c r="P6" s="112" t="s">
        <v>301</v>
      </c>
      <c r="Q6" s="112" t="s">
        <v>111</v>
      </c>
      <c r="R6" s="112" t="s">
        <v>302</v>
      </c>
      <c r="S6" s="112" t="s">
        <v>303</v>
      </c>
      <c r="T6" s="112" t="s">
        <v>304</v>
      </c>
      <c r="U6" s="112" t="s">
        <v>305</v>
      </c>
      <c r="V6" s="112" t="s">
        <v>560</v>
      </c>
      <c r="W6" s="112" t="s">
        <v>306</v>
      </c>
    </row>
    <row r="7" spans="1:23" x14ac:dyDescent="0.2">
      <c r="A7" s="194" t="s">
        <v>307</v>
      </c>
      <c r="B7" s="194"/>
      <c r="C7" s="194"/>
      <c r="D7" s="194"/>
      <c r="E7" s="194"/>
      <c r="F7" s="194"/>
      <c r="G7" s="108">
        <v>60481842</v>
      </c>
      <c r="H7" s="108">
        <v>24729478</v>
      </c>
      <c r="I7" s="108">
        <v>7151448</v>
      </c>
      <c r="J7" s="108">
        <v>163535</v>
      </c>
      <c r="K7" s="108">
        <v>13671066</v>
      </c>
      <c r="L7" s="108">
        <v>4921685</v>
      </c>
      <c r="M7" s="108">
        <v>18077</v>
      </c>
      <c r="N7" s="108">
        <v>307614</v>
      </c>
      <c r="O7" s="108">
        <v>1949849</v>
      </c>
      <c r="P7" s="108">
        <v>1865672</v>
      </c>
      <c r="Q7" s="108">
        <v>175500</v>
      </c>
      <c r="R7" s="108">
        <v>2686808</v>
      </c>
      <c r="S7" s="108">
        <v>439391</v>
      </c>
      <c r="T7" s="108">
        <v>337184</v>
      </c>
      <c r="U7" s="108">
        <v>1142920</v>
      </c>
      <c r="V7" s="108">
        <v>150</v>
      </c>
      <c r="W7" s="108">
        <v>921465</v>
      </c>
    </row>
    <row r="8" spans="1:23" x14ac:dyDescent="0.2">
      <c r="A8" s="111" t="s">
        <v>6</v>
      </c>
      <c r="B8" s="196" t="s">
        <v>7</v>
      </c>
      <c r="C8" s="196"/>
      <c r="D8" s="196"/>
      <c r="E8" s="196"/>
      <c r="F8" s="196"/>
      <c r="G8" s="108">
        <v>6557586</v>
      </c>
      <c r="H8" s="108">
        <v>2141619</v>
      </c>
      <c r="I8" s="108">
        <v>601575</v>
      </c>
      <c r="J8" s="108">
        <v>8860</v>
      </c>
      <c r="K8" s="108">
        <v>931814</v>
      </c>
      <c r="L8" s="108">
        <v>56259</v>
      </c>
      <c r="M8" s="108">
        <v>1000</v>
      </c>
      <c r="N8" s="108">
        <v>16025</v>
      </c>
      <c r="O8" s="108"/>
      <c r="P8" s="108">
        <v>1865672</v>
      </c>
      <c r="Q8" s="108">
        <v>30000</v>
      </c>
      <c r="R8" s="108">
        <v>14630</v>
      </c>
      <c r="S8" s="108">
        <v>20000</v>
      </c>
      <c r="T8" s="108"/>
      <c r="U8" s="108"/>
      <c r="V8" s="108"/>
      <c r="W8" s="108">
        <v>870132</v>
      </c>
    </row>
    <row r="9" spans="1:23" outlineLevel="1" collapsed="1" x14ac:dyDescent="0.2">
      <c r="A9" s="195"/>
      <c r="B9" s="195"/>
      <c r="C9" s="109" t="s">
        <v>199</v>
      </c>
      <c r="D9" s="195" t="s">
        <v>547</v>
      </c>
      <c r="E9" s="195"/>
      <c r="F9" s="195"/>
      <c r="G9" s="108">
        <v>3729124</v>
      </c>
      <c r="H9" s="108">
        <v>2141619</v>
      </c>
      <c r="I9" s="108">
        <v>601575</v>
      </c>
      <c r="J9" s="108">
        <v>8860</v>
      </c>
      <c r="K9" s="108">
        <v>839156</v>
      </c>
      <c r="L9" s="108">
        <v>56259</v>
      </c>
      <c r="M9" s="108">
        <v>1000</v>
      </c>
      <c r="N9" s="108">
        <v>16025</v>
      </c>
      <c r="O9" s="108"/>
      <c r="P9" s="108"/>
      <c r="Q9" s="108">
        <v>30000</v>
      </c>
      <c r="R9" s="108">
        <v>14630</v>
      </c>
      <c r="S9" s="108">
        <v>20000</v>
      </c>
      <c r="T9" s="108"/>
      <c r="U9" s="108"/>
      <c r="V9" s="108"/>
      <c r="W9" s="108"/>
    </row>
    <row r="10" spans="1:23" hidden="1" outlineLevel="2" x14ac:dyDescent="0.2">
      <c r="A10" s="196"/>
      <c r="B10" s="196"/>
      <c r="C10" s="196"/>
      <c r="D10" s="196"/>
      <c r="E10" s="111" t="s">
        <v>200</v>
      </c>
      <c r="F10" s="111" t="s">
        <v>201</v>
      </c>
      <c r="G10" s="108">
        <v>2314930</v>
      </c>
      <c r="H10" s="110">
        <v>1517057</v>
      </c>
      <c r="I10" s="110">
        <v>417700</v>
      </c>
      <c r="J10" s="110">
        <v>7220</v>
      </c>
      <c r="K10" s="110">
        <v>312803</v>
      </c>
      <c r="L10" s="110">
        <v>22095</v>
      </c>
      <c r="M10" s="110">
        <v>1000</v>
      </c>
      <c r="N10" s="110">
        <v>13055</v>
      </c>
      <c r="O10" s="110"/>
      <c r="P10" s="110"/>
      <c r="Q10" s="110"/>
      <c r="R10" s="110">
        <v>4000</v>
      </c>
      <c r="S10" s="110">
        <v>20000</v>
      </c>
      <c r="T10" s="110"/>
      <c r="U10" s="110"/>
      <c r="V10" s="110"/>
      <c r="W10" s="110"/>
    </row>
    <row r="11" spans="1:23" ht="25.5" hidden="1" outlineLevel="2" x14ac:dyDescent="0.2">
      <c r="A11" s="195"/>
      <c r="B11" s="195"/>
      <c r="C11" s="195"/>
      <c r="D11" s="195"/>
      <c r="E11" s="109" t="s">
        <v>944</v>
      </c>
      <c r="F11" s="109" t="s">
        <v>936</v>
      </c>
      <c r="G11" s="108">
        <v>5861</v>
      </c>
      <c r="H11" s="107">
        <v>4641</v>
      </c>
      <c r="I11" s="107">
        <v>1117</v>
      </c>
      <c r="J11" s="107"/>
      <c r="K11" s="107"/>
      <c r="L11" s="107">
        <v>103</v>
      </c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107"/>
    </row>
    <row r="12" spans="1:23" ht="25.5" hidden="1" outlineLevel="2" x14ac:dyDescent="0.2">
      <c r="A12" s="196"/>
      <c r="B12" s="196"/>
      <c r="C12" s="196"/>
      <c r="D12" s="196"/>
      <c r="E12" s="111" t="s">
        <v>920</v>
      </c>
      <c r="F12" s="111" t="s">
        <v>919</v>
      </c>
      <c r="G12" s="108">
        <v>305695</v>
      </c>
      <c r="H12" s="110">
        <v>134119</v>
      </c>
      <c r="I12" s="110">
        <v>38372</v>
      </c>
      <c r="J12" s="110">
        <v>200</v>
      </c>
      <c r="K12" s="110">
        <v>116470</v>
      </c>
      <c r="L12" s="110">
        <v>15034</v>
      </c>
      <c r="M12" s="110"/>
      <c r="N12" s="110"/>
      <c r="O12" s="110"/>
      <c r="P12" s="110"/>
      <c r="Q12" s="110"/>
      <c r="R12" s="110">
        <v>1500</v>
      </c>
      <c r="S12" s="110"/>
      <c r="T12" s="110"/>
      <c r="U12" s="110"/>
      <c r="V12" s="110"/>
      <c r="W12" s="110"/>
    </row>
    <row r="13" spans="1:23" ht="25.5" hidden="1" outlineLevel="2" x14ac:dyDescent="0.2">
      <c r="A13" s="195"/>
      <c r="B13" s="195"/>
      <c r="C13" s="195"/>
      <c r="D13" s="195"/>
      <c r="E13" s="109" t="s">
        <v>8</v>
      </c>
      <c r="F13" s="109" t="s">
        <v>202</v>
      </c>
      <c r="G13" s="108">
        <v>393015</v>
      </c>
      <c r="H13" s="107">
        <v>258004</v>
      </c>
      <c r="I13" s="107">
        <v>76299</v>
      </c>
      <c r="J13" s="107">
        <v>440</v>
      </c>
      <c r="K13" s="107">
        <v>52791</v>
      </c>
      <c r="L13" s="107">
        <v>3876</v>
      </c>
      <c r="M13" s="107"/>
      <c r="N13" s="107">
        <v>105</v>
      </c>
      <c r="O13" s="107"/>
      <c r="P13" s="107"/>
      <c r="Q13" s="107"/>
      <c r="R13" s="107">
        <v>1500</v>
      </c>
      <c r="S13" s="107"/>
      <c r="T13" s="107"/>
      <c r="U13" s="107"/>
      <c r="V13" s="107"/>
      <c r="W13" s="107"/>
    </row>
    <row r="14" spans="1:23" ht="25.5" hidden="1" outlineLevel="2" x14ac:dyDescent="0.2">
      <c r="A14" s="196"/>
      <c r="B14" s="196"/>
      <c r="C14" s="196"/>
      <c r="D14" s="196"/>
      <c r="E14" s="111" t="s">
        <v>9</v>
      </c>
      <c r="F14" s="111" t="s">
        <v>203</v>
      </c>
      <c r="G14" s="108">
        <v>120526</v>
      </c>
      <c r="H14" s="110">
        <v>75250</v>
      </c>
      <c r="I14" s="110">
        <v>22403</v>
      </c>
      <c r="J14" s="110"/>
      <c r="K14" s="110">
        <v>3982</v>
      </c>
      <c r="L14" s="110">
        <v>13726</v>
      </c>
      <c r="M14" s="110"/>
      <c r="N14" s="110">
        <v>2865</v>
      </c>
      <c r="O14" s="110"/>
      <c r="P14" s="110"/>
      <c r="Q14" s="110"/>
      <c r="R14" s="110">
        <v>2300</v>
      </c>
      <c r="S14" s="110"/>
      <c r="T14" s="110"/>
      <c r="U14" s="110"/>
      <c r="V14" s="110"/>
      <c r="W14" s="110"/>
    </row>
    <row r="15" spans="1:23" ht="38.25" hidden="1" outlineLevel="2" x14ac:dyDescent="0.2">
      <c r="A15" s="195"/>
      <c r="B15" s="195"/>
      <c r="C15" s="195"/>
      <c r="D15" s="195"/>
      <c r="E15" s="109" t="s">
        <v>112</v>
      </c>
      <c r="F15" s="109" t="s">
        <v>204</v>
      </c>
      <c r="G15" s="108">
        <v>589097</v>
      </c>
      <c r="H15" s="107">
        <v>152548</v>
      </c>
      <c r="I15" s="107">
        <v>45684</v>
      </c>
      <c r="J15" s="107">
        <v>1000</v>
      </c>
      <c r="K15" s="107">
        <v>353110</v>
      </c>
      <c r="L15" s="107">
        <v>1425</v>
      </c>
      <c r="M15" s="107"/>
      <c r="N15" s="107"/>
      <c r="O15" s="107"/>
      <c r="P15" s="107"/>
      <c r="Q15" s="107">
        <v>30000</v>
      </c>
      <c r="R15" s="107">
        <v>5330</v>
      </c>
      <c r="S15" s="107"/>
      <c r="T15" s="107"/>
      <c r="U15" s="107"/>
      <c r="V15" s="107"/>
      <c r="W15" s="107"/>
    </row>
    <row r="16" spans="1:23" outlineLevel="1" collapsed="1" x14ac:dyDescent="0.2">
      <c r="A16" s="196"/>
      <c r="B16" s="196"/>
      <c r="C16" s="111" t="s">
        <v>206</v>
      </c>
      <c r="D16" s="196" t="s">
        <v>954</v>
      </c>
      <c r="E16" s="196"/>
      <c r="F16" s="196"/>
      <c r="G16" s="108">
        <v>1958330</v>
      </c>
      <c r="H16" s="108"/>
      <c r="I16" s="108"/>
      <c r="J16" s="108"/>
      <c r="K16" s="108">
        <v>92658</v>
      </c>
      <c r="L16" s="108"/>
      <c r="M16" s="108"/>
      <c r="N16" s="108"/>
      <c r="O16" s="108"/>
      <c r="P16" s="108">
        <v>1865672</v>
      </c>
      <c r="Q16" s="108"/>
      <c r="R16" s="108"/>
      <c r="S16" s="108"/>
      <c r="T16" s="108"/>
      <c r="U16" s="108"/>
      <c r="V16" s="108"/>
      <c r="W16" s="108"/>
    </row>
    <row r="17" spans="1:23" ht="51" hidden="1" outlineLevel="2" x14ac:dyDescent="0.2">
      <c r="A17" s="195"/>
      <c r="B17" s="195"/>
      <c r="C17" s="195"/>
      <c r="D17" s="195"/>
      <c r="E17" s="109" t="s">
        <v>11</v>
      </c>
      <c r="F17" s="109" t="s">
        <v>207</v>
      </c>
      <c r="G17" s="108">
        <v>1958330</v>
      </c>
      <c r="H17" s="107"/>
      <c r="I17" s="107"/>
      <c r="J17" s="107"/>
      <c r="K17" s="107">
        <v>92658</v>
      </c>
      <c r="L17" s="107"/>
      <c r="M17" s="107"/>
      <c r="N17" s="107"/>
      <c r="O17" s="107"/>
      <c r="P17" s="107">
        <v>1865672</v>
      </c>
      <c r="Q17" s="107"/>
      <c r="R17" s="107"/>
      <c r="S17" s="107"/>
      <c r="T17" s="107"/>
      <c r="U17" s="107"/>
      <c r="V17" s="107"/>
      <c r="W17" s="107"/>
    </row>
    <row r="18" spans="1:23" outlineLevel="1" collapsed="1" x14ac:dyDescent="0.2">
      <c r="A18" s="196"/>
      <c r="B18" s="196"/>
      <c r="C18" s="111" t="s">
        <v>208</v>
      </c>
      <c r="D18" s="196" t="s">
        <v>308</v>
      </c>
      <c r="E18" s="196"/>
      <c r="F18" s="196"/>
      <c r="G18" s="108">
        <v>870132</v>
      </c>
      <c r="H18" s="108"/>
      <c r="I18" s="108"/>
      <c r="J18" s="108"/>
      <c r="K18" s="108"/>
      <c r="L18" s="108"/>
      <c r="M18" s="108"/>
      <c r="N18" s="108"/>
      <c r="O18" s="108"/>
      <c r="P18" s="108"/>
      <c r="Q18" s="108"/>
      <c r="R18" s="108"/>
      <c r="S18" s="108"/>
      <c r="T18" s="108"/>
      <c r="U18" s="108"/>
      <c r="V18" s="108"/>
      <c r="W18" s="108">
        <v>870132</v>
      </c>
    </row>
    <row r="19" spans="1:23" ht="51" hidden="1" outlineLevel="2" x14ac:dyDescent="0.2">
      <c r="A19" s="195"/>
      <c r="B19" s="195"/>
      <c r="C19" s="195"/>
      <c r="D19" s="195"/>
      <c r="E19" s="109" t="s">
        <v>13</v>
      </c>
      <c r="F19" s="109" t="s">
        <v>209</v>
      </c>
      <c r="G19" s="108">
        <v>750000</v>
      </c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107"/>
      <c r="U19" s="107"/>
      <c r="V19" s="107"/>
      <c r="W19" s="107">
        <v>750000</v>
      </c>
    </row>
    <row r="20" spans="1:23" ht="51" hidden="1" outlineLevel="2" x14ac:dyDescent="0.2">
      <c r="A20" s="196"/>
      <c r="B20" s="196"/>
      <c r="C20" s="196"/>
      <c r="D20" s="196"/>
      <c r="E20" s="111" t="s">
        <v>945</v>
      </c>
      <c r="F20" s="111" t="s">
        <v>937</v>
      </c>
      <c r="G20" s="108">
        <v>120132</v>
      </c>
      <c r="H20" s="110"/>
      <c r="I20" s="110"/>
      <c r="J20" s="110"/>
      <c r="K20" s="110"/>
      <c r="L20" s="110"/>
      <c r="M20" s="110"/>
      <c r="N20" s="110"/>
      <c r="O20" s="110"/>
      <c r="P20" s="110"/>
      <c r="Q20" s="110"/>
      <c r="R20" s="110"/>
      <c r="S20" s="110"/>
      <c r="T20" s="110"/>
      <c r="U20" s="110"/>
      <c r="V20" s="110"/>
      <c r="W20" s="110">
        <v>120132</v>
      </c>
    </row>
    <row r="21" spans="1:23" x14ac:dyDescent="0.2">
      <c r="A21" s="109" t="s">
        <v>14</v>
      </c>
      <c r="B21" s="195" t="s">
        <v>15</v>
      </c>
      <c r="C21" s="195"/>
      <c r="D21" s="195"/>
      <c r="E21" s="195"/>
      <c r="F21" s="195"/>
      <c r="G21" s="108">
        <v>1063482</v>
      </c>
      <c r="H21" s="108">
        <v>572178</v>
      </c>
      <c r="I21" s="108">
        <v>190309</v>
      </c>
      <c r="J21" s="108">
        <v>16121</v>
      </c>
      <c r="K21" s="108">
        <v>115734</v>
      </c>
      <c r="L21" s="108">
        <v>58618</v>
      </c>
      <c r="M21" s="108">
        <v>150</v>
      </c>
      <c r="N21" s="108">
        <v>500</v>
      </c>
      <c r="O21" s="108">
        <v>35000</v>
      </c>
      <c r="P21" s="108"/>
      <c r="Q21" s="108"/>
      <c r="R21" s="108">
        <v>68872</v>
      </c>
      <c r="S21" s="108"/>
      <c r="T21" s="108"/>
      <c r="U21" s="108">
        <v>6000</v>
      </c>
      <c r="V21" s="108"/>
      <c r="W21" s="108"/>
    </row>
    <row r="22" spans="1:23" outlineLevel="1" collapsed="1" x14ac:dyDescent="0.2">
      <c r="A22" s="196"/>
      <c r="B22" s="196"/>
      <c r="C22" s="111" t="s">
        <v>132</v>
      </c>
      <c r="D22" s="196" t="s">
        <v>953</v>
      </c>
      <c r="E22" s="196"/>
      <c r="F22" s="196"/>
      <c r="G22" s="108">
        <v>95152</v>
      </c>
      <c r="H22" s="108">
        <v>30332</v>
      </c>
      <c r="I22" s="108">
        <v>8222</v>
      </c>
      <c r="J22" s="108">
        <v>4421</v>
      </c>
      <c r="K22" s="108">
        <v>16352</v>
      </c>
      <c r="L22" s="108">
        <v>825</v>
      </c>
      <c r="M22" s="108"/>
      <c r="N22" s="108"/>
      <c r="O22" s="108">
        <v>35000</v>
      </c>
      <c r="P22" s="108"/>
      <c r="Q22" s="108"/>
      <c r="R22" s="108"/>
      <c r="S22" s="108"/>
      <c r="T22" s="108"/>
      <c r="U22" s="108"/>
      <c r="V22" s="108"/>
      <c r="W22" s="108"/>
    </row>
    <row r="23" spans="1:23" ht="51" hidden="1" outlineLevel="2" x14ac:dyDescent="0.2">
      <c r="A23" s="195"/>
      <c r="B23" s="195"/>
      <c r="C23" s="195"/>
      <c r="D23" s="195"/>
      <c r="E23" s="109" t="s">
        <v>145</v>
      </c>
      <c r="F23" s="109" t="s">
        <v>182</v>
      </c>
      <c r="G23" s="108">
        <v>45213</v>
      </c>
      <c r="H23" s="107"/>
      <c r="I23" s="107"/>
      <c r="J23" s="107">
        <v>4271</v>
      </c>
      <c r="K23" s="107">
        <v>5712</v>
      </c>
      <c r="L23" s="107">
        <v>230</v>
      </c>
      <c r="M23" s="107"/>
      <c r="N23" s="107"/>
      <c r="O23" s="107">
        <v>35000</v>
      </c>
      <c r="P23" s="107"/>
      <c r="Q23" s="107"/>
      <c r="R23" s="107"/>
      <c r="S23" s="107"/>
      <c r="T23" s="107"/>
      <c r="U23" s="107"/>
      <c r="V23" s="107"/>
      <c r="W23" s="107"/>
    </row>
    <row r="24" spans="1:23" ht="38.25" hidden="1" outlineLevel="2" x14ac:dyDescent="0.2">
      <c r="A24" s="196"/>
      <c r="B24" s="196"/>
      <c r="C24" s="196"/>
      <c r="D24" s="196"/>
      <c r="E24" s="111" t="s">
        <v>946</v>
      </c>
      <c r="F24" s="111" t="s">
        <v>938</v>
      </c>
      <c r="G24" s="108">
        <v>49939</v>
      </c>
      <c r="H24" s="110">
        <v>30332</v>
      </c>
      <c r="I24" s="110">
        <v>8222</v>
      </c>
      <c r="J24" s="110">
        <v>150</v>
      </c>
      <c r="K24" s="110">
        <v>10640</v>
      </c>
      <c r="L24" s="110">
        <v>595</v>
      </c>
      <c r="M24" s="110"/>
      <c r="N24" s="110"/>
      <c r="O24" s="110"/>
      <c r="P24" s="110"/>
      <c r="Q24" s="110"/>
      <c r="R24" s="110"/>
      <c r="S24" s="110"/>
      <c r="T24" s="110"/>
      <c r="U24" s="110"/>
      <c r="V24" s="110"/>
      <c r="W24" s="110"/>
    </row>
    <row r="25" spans="1:23" outlineLevel="1" collapsed="1" x14ac:dyDescent="0.2">
      <c r="A25" s="195"/>
      <c r="B25" s="195"/>
      <c r="C25" s="109" t="s">
        <v>210</v>
      </c>
      <c r="D25" s="195" t="s">
        <v>310</v>
      </c>
      <c r="E25" s="195"/>
      <c r="F25" s="195"/>
      <c r="G25" s="108">
        <v>968330</v>
      </c>
      <c r="H25" s="108">
        <v>541846</v>
      </c>
      <c r="I25" s="108">
        <v>182087</v>
      </c>
      <c r="J25" s="108">
        <v>11700</v>
      </c>
      <c r="K25" s="108">
        <v>99382</v>
      </c>
      <c r="L25" s="108">
        <v>57793</v>
      </c>
      <c r="M25" s="108">
        <v>150</v>
      </c>
      <c r="N25" s="108">
        <v>500</v>
      </c>
      <c r="O25" s="108"/>
      <c r="P25" s="108"/>
      <c r="Q25" s="108"/>
      <c r="R25" s="108">
        <v>68872</v>
      </c>
      <c r="S25" s="108"/>
      <c r="T25" s="108"/>
      <c r="U25" s="108">
        <v>6000</v>
      </c>
      <c r="V25" s="108"/>
      <c r="W25" s="108"/>
    </row>
    <row r="26" spans="1:23" ht="25.5" hidden="1" outlineLevel="2" x14ac:dyDescent="0.2">
      <c r="A26" s="196"/>
      <c r="B26" s="196"/>
      <c r="C26" s="196"/>
      <c r="D26" s="196"/>
      <c r="E26" s="111" t="s">
        <v>16</v>
      </c>
      <c r="F26" s="111" t="s">
        <v>211</v>
      </c>
      <c r="G26" s="108">
        <v>968330</v>
      </c>
      <c r="H26" s="110">
        <v>541846</v>
      </c>
      <c r="I26" s="110">
        <v>182087</v>
      </c>
      <c r="J26" s="110">
        <v>11700</v>
      </c>
      <c r="K26" s="110">
        <v>99382</v>
      </c>
      <c r="L26" s="110">
        <v>57793</v>
      </c>
      <c r="M26" s="110">
        <v>150</v>
      </c>
      <c r="N26" s="110">
        <v>500</v>
      </c>
      <c r="O26" s="110"/>
      <c r="P26" s="110"/>
      <c r="Q26" s="110"/>
      <c r="R26" s="110">
        <v>68872</v>
      </c>
      <c r="S26" s="110"/>
      <c r="T26" s="110"/>
      <c r="U26" s="110">
        <v>6000</v>
      </c>
      <c r="V26" s="110"/>
      <c r="W26" s="110"/>
    </row>
    <row r="27" spans="1:23" x14ac:dyDescent="0.2">
      <c r="A27" s="109" t="s">
        <v>17</v>
      </c>
      <c r="B27" s="195" t="s">
        <v>18</v>
      </c>
      <c r="C27" s="195"/>
      <c r="D27" s="195"/>
      <c r="E27" s="195"/>
      <c r="F27" s="195"/>
      <c r="G27" s="108">
        <v>6160754</v>
      </c>
      <c r="H27" s="108">
        <v>1018314</v>
      </c>
      <c r="I27" s="108">
        <v>292150</v>
      </c>
      <c r="J27" s="108">
        <v>2830</v>
      </c>
      <c r="K27" s="108">
        <v>3540145</v>
      </c>
      <c r="L27" s="108">
        <v>198917</v>
      </c>
      <c r="M27" s="108"/>
      <c r="N27" s="108">
        <v>78279</v>
      </c>
      <c r="O27" s="108">
        <v>259848</v>
      </c>
      <c r="P27" s="108"/>
      <c r="Q27" s="108">
        <v>145500</v>
      </c>
      <c r="R27" s="108">
        <v>615771</v>
      </c>
      <c r="S27" s="108"/>
      <c r="T27" s="108"/>
      <c r="U27" s="108">
        <v>9000</v>
      </c>
      <c r="V27" s="108"/>
      <c r="W27" s="108"/>
    </row>
    <row r="28" spans="1:23" outlineLevel="1" collapsed="1" x14ac:dyDescent="0.2">
      <c r="A28" s="196"/>
      <c r="B28" s="196"/>
      <c r="C28" s="111" t="s">
        <v>212</v>
      </c>
      <c r="D28" s="196" t="s">
        <v>311</v>
      </c>
      <c r="E28" s="196"/>
      <c r="F28" s="196"/>
      <c r="G28" s="108">
        <v>59326</v>
      </c>
      <c r="H28" s="108">
        <v>21193</v>
      </c>
      <c r="I28" s="108">
        <v>5000</v>
      </c>
      <c r="J28" s="108"/>
      <c r="K28" s="108"/>
      <c r="L28" s="108"/>
      <c r="M28" s="108"/>
      <c r="N28" s="108"/>
      <c r="O28" s="108">
        <v>33133</v>
      </c>
      <c r="P28" s="108"/>
      <c r="Q28" s="108"/>
      <c r="R28" s="108"/>
      <c r="S28" s="108"/>
      <c r="T28" s="108"/>
      <c r="U28" s="108"/>
      <c r="V28" s="108"/>
      <c r="W28" s="108"/>
    </row>
    <row r="29" spans="1:23" ht="63.75" hidden="1" outlineLevel="2" x14ac:dyDescent="0.2">
      <c r="A29" s="195"/>
      <c r="B29" s="195"/>
      <c r="C29" s="195"/>
      <c r="D29" s="195"/>
      <c r="E29" s="109" t="s">
        <v>117</v>
      </c>
      <c r="F29" s="109" t="s">
        <v>213</v>
      </c>
      <c r="G29" s="108">
        <v>59326</v>
      </c>
      <c r="H29" s="107">
        <v>21193</v>
      </c>
      <c r="I29" s="107">
        <v>5000</v>
      </c>
      <c r="J29" s="107"/>
      <c r="K29" s="107"/>
      <c r="L29" s="107"/>
      <c r="M29" s="107"/>
      <c r="N29" s="107"/>
      <c r="O29" s="107">
        <v>33133</v>
      </c>
      <c r="P29" s="107"/>
      <c r="Q29" s="107"/>
      <c r="R29" s="107"/>
      <c r="S29" s="107"/>
      <c r="T29" s="107"/>
      <c r="U29" s="107"/>
      <c r="V29" s="107"/>
      <c r="W29" s="107"/>
    </row>
    <row r="30" spans="1:23" outlineLevel="1" collapsed="1" x14ac:dyDescent="0.2">
      <c r="A30" s="196"/>
      <c r="B30" s="196"/>
      <c r="C30" s="111" t="s">
        <v>214</v>
      </c>
      <c r="D30" s="196" t="s">
        <v>20</v>
      </c>
      <c r="E30" s="196"/>
      <c r="F30" s="196"/>
      <c r="G30" s="108">
        <v>667853</v>
      </c>
      <c r="H30" s="108">
        <v>370051</v>
      </c>
      <c r="I30" s="108">
        <v>106674</v>
      </c>
      <c r="J30" s="108">
        <v>130</v>
      </c>
      <c r="K30" s="108">
        <v>15494</v>
      </c>
      <c r="L30" s="108">
        <v>12774</v>
      </c>
      <c r="M30" s="108"/>
      <c r="N30" s="108">
        <v>5730</v>
      </c>
      <c r="O30" s="108"/>
      <c r="P30" s="108"/>
      <c r="Q30" s="108">
        <v>145200</v>
      </c>
      <c r="R30" s="108">
        <v>11800</v>
      </c>
      <c r="S30" s="108"/>
      <c r="T30" s="108"/>
      <c r="U30" s="108"/>
      <c r="V30" s="108"/>
      <c r="W30" s="108"/>
    </row>
    <row r="31" spans="1:23" ht="38.25" hidden="1" outlineLevel="2" x14ac:dyDescent="0.2">
      <c r="A31" s="195"/>
      <c r="B31" s="195"/>
      <c r="C31" s="195"/>
      <c r="D31" s="195"/>
      <c r="E31" s="109" t="s">
        <v>21</v>
      </c>
      <c r="F31" s="109" t="s">
        <v>815</v>
      </c>
      <c r="G31" s="108">
        <v>667853</v>
      </c>
      <c r="H31" s="107">
        <v>370051</v>
      </c>
      <c r="I31" s="107">
        <v>106674</v>
      </c>
      <c r="J31" s="107">
        <v>130</v>
      </c>
      <c r="K31" s="107">
        <v>15494</v>
      </c>
      <c r="L31" s="107">
        <v>12774</v>
      </c>
      <c r="M31" s="107"/>
      <c r="N31" s="107">
        <v>5730</v>
      </c>
      <c r="O31" s="107"/>
      <c r="P31" s="107"/>
      <c r="Q31" s="107">
        <v>145200</v>
      </c>
      <c r="R31" s="107">
        <v>11800</v>
      </c>
      <c r="S31" s="107"/>
      <c r="T31" s="107"/>
      <c r="U31" s="107"/>
      <c r="V31" s="107"/>
      <c r="W31" s="107"/>
    </row>
    <row r="32" spans="1:23" outlineLevel="1" collapsed="1" x14ac:dyDescent="0.2">
      <c r="A32" s="196"/>
      <c r="B32" s="196"/>
      <c r="C32" s="111" t="s">
        <v>22</v>
      </c>
      <c r="D32" s="196" t="s">
        <v>23</v>
      </c>
      <c r="E32" s="196"/>
      <c r="F32" s="196"/>
      <c r="G32" s="108">
        <v>4032021</v>
      </c>
      <c r="H32" s="108">
        <v>208812</v>
      </c>
      <c r="I32" s="108">
        <v>58511</v>
      </c>
      <c r="J32" s="108">
        <v>200</v>
      </c>
      <c r="K32" s="108">
        <v>3184850</v>
      </c>
      <c r="L32" s="108">
        <v>108412</v>
      </c>
      <c r="M32" s="108"/>
      <c r="N32" s="108">
        <v>264</v>
      </c>
      <c r="O32" s="108"/>
      <c r="P32" s="108"/>
      <c r="Q32" s="108"/>
      <c r="R32" s="108">
        <v>470972</v>
      </c>
      <c r="S32" s="108"/>
      <c r="T32" s="108"/>
      <c r="U32" s="108"/>
      <c r="V32" s="108"/>
      <c r="W32" s="108"/>
    </row>
    <row r="33" spans="1:23" ht="25.5" hidden="1" outlineLevel="2" x14ac:dyDescent="0.2">
      <c r="A33" s="195"/>
      <c r="B33" s="195"/>
      <c r="C33" s="195"/>
      <c r="D33" s="195"/>
      <c r="E33" s="109" t="s">
        <v>24</v>
      </c>
      <c r="F33" s="109" t="s">
        <v>542</v>
      </c>
      <c r="G33" s="108">
        <v>4032021</v>
      </c>
      <c r="H33" s="107">
        <v>208812</v>
      </c>
      <c r="I33" s="107">
        <v>58511</v>
      </c>
      <c r="J33" s="107">
        <v>200</v>
      </c>
      <c r="K33" s="107">
        <v>3184850</v>
      </c>
      <c r="L33" s="107">
        <v>108412</v>
      </c>
      <c r="M33" s="107"/>
      <c r="N33" s="107">
        <v>264</v>
      </c>
      <c r="O33" s="107"/>
      <c r="P33" s="107"/>
      <c r="Q33" s="107"/>
      <c r="R33" s="107">
        <v>470972</v>
      </c>
      <c r="S33" s="107"/>
      <c r="T33" s="107"/>
      <c r="U33" s="107"/>
      <c r="V33" s="107"/>
      <c r="W33" s="107"/>
    </row>
    <row r="34" spans="1:23" outlineLevel="1" collapsed="1" x14ac:dyDescent="0.2">
      <c r="A34" s="196"/>
      <c r="B34" s="196"/>
      <c r="C34" s="111" t="s">
        <v>217</v>
      </c>
      <c r="D34" s="196" t="s">
        <v>952</v>
      </c>
      <c r="E34" s="196"/>
      <c r="F34" s="196"/>
      <c r="G34" s="108">
        <v>1386554</v>
      </c>
      <c r="H34" s="108">
        <v>418258</v>
      </c>
      <c r="I34" s="108">
        <v>121965</v>
      </c>
      <c r="J34" s="108">
        <v>2500</v>
      </c>
      <c r="K34" s="108">
        <v>327051</v>
      </c>
      <c r="L34" s="108">
        <v>77731</v>
      </c>
      <c r="M34" s="108"/>
      <c r="N34" s="108">
        <v>70035</v>
      </c>
      <c r="O34" s="108">
        <v>226715</v>
      </c>
      <c r="P34" s="108"/>
      <c r="Q34" s="108">
        <v>300</v>
      </c>
      <c r="R34" s="108">
        <v>132999</v>
      </c>
      <c r="S34" s="108"/>
      <c r="T34" s="108"/>
      <c r="U34" s="108">
        <v>9000</v>
      </c>
      <c r="V34" s="108"/>
      <c r="W34" s="108"/>
    </row>
    <row r="35" spans="1:23" ht="38.25" hidden="1" outlineLevel="2" x14ac:dyDescent="0.2">
      <c r="A35" s="195"/>
      <c r="B35" s="195"/>
      <c r="C35" s="195"/>
      <c r="D35" s="195"/>
      <c r="E35" s="109" t="s">
        <v>218</v>
      </c>
      <c r="F35" s="109" t="s">
        <v>914</v>
      </c>
      <c r="G35" s="108">
        <v>220865</v>
      </c>
      <c r="H35" s="107">
        <v>148409</v>
      </c>
      <c r="I35" s="107">
        <v>43642</v>
      </c>
      <c r="J35" s="107"/>
      <c r="K35" s="107">
        <v>14181</v>
      </c>
      <c r="L35" s="107">
        <v>11408</v>
      </c>
      <c r="M35" s="107"/>
      <c r="N35" s="107"/>
      <c r="O35" s="107"/>
      <c r="P35" s="107"/>
      <c r="Q35" s="107"/>
      <c r="R35" s="107">
        <v>3225</v>
      </c>
      <c r="S35" s="107"/>
      <c r="T35" s="107"/>
      <c r="U35" s="107"/>
      <c r="V35" s="107"/>
      <c r="W35" s="107"/>
    </row>
    <row r="36" spans="1:23" hidden="1" outlineLevel="2" x14ac:dyDescent="0.2">
      <c r="A36" s="196"/>
      <c r="B36" s="196"/>
      <c r="C36" s="196"/>
      <c r="D36" s="196"/>
      <c r="E36" s="111" t="s">
        <v>219</v>
      </c>
      <c r="F36" s="111" t="s">
        <v>915</v>
      </c>
      <c r="G36" s="108">
        <v>347494</v>
      </c>
      <c r="H36" s="110">
        <v>156981</v>
      </c>
      <c r="I36" s="110">
        <v>44155</v>
      </c>
      <c r="J36" s="110">
        <v>2500</v>
      </c>
      <c r="K36" s="110">
        <v>28601</v>
      </c>
      <c r="L36" s="110">
        <v>21088</v>
      </c>
      <c r="M36" s="110"/>
      <c r="N36" s="110">
        <v>5169</v>
      </c>
      <c r="O36" s="110">
        <v>77000</v>
      </c>
      <c r="P36" s="110"/>
      <c r="Q36" s="110"/>
      <c r="R36" s="110">
        <v>12000</v>
      </c>
      <c r="S36" s="110"/>
      <c r="T36" s="110"/>
      <c r="U36" s="110"/>
      <c r="V36" s="110"/>
      <c r="W36" s="110"/>
    </row>
    <row r="37" spans="1:23" ht="25.5" hidden="1" outlineLevel="2" x14ac:dyDescent="0.2">
      <c r="A37" s="195"/>
      <c r="B37" s="195"/>
      <c r="C37" s="195"/>
      <c r="D37" s="195"/>
      <c r="E37" s="109" t="s">
        <v>220</v>
      </c>
      <c r="F37" s="109" t="s">
        <v>221</v>
      </c>
      <c r="G37" s="108">
        <v>80232</v>
      </c>
      <c r="H37" s="107">
        <v>5000</v>
      </c>
      <c r="I37" s="107">
        <v>247</v>
      </c>
      <c r="J37" s="107"/>
      <c r="K37" s="107">
        <v>52463</v>
      </c>
      <c r="L37" s="107">
        <v>3300</v>
      </c>
      <c r="M37" s="107"/>
      <c r="N37" s="107">
        <v>19222</v>
      </c>
      <c r="O37" s="107"/>
      <c r="P37" s="107"/>
      <c r="Q37" s="107"/>
      <c r="R37" s="107"/>
      <c r="S37" s="107"/>
      <c r="T37" s="107"/>
      <c r="U37" s="107"/>
      <c r="V37" s="107"/>
      <c r="W37" s="107"/>
    </row>
    <row r="38" spans="1:23" hidden="1" outlineLevel="2" x14ac:dyDescent="0.2">
      <c r="A38" s="196"/>
      <c r="B38" s="196"/>
      <c r="C38" s="196"/>
      <c r="D38" s="196"/>
      <c r="E38" s="111" t="s">
        <v>222</v>
      </c>
      <c r="F38" s="111" t="s">
        <v>223</v>
      </c>
      <c r="G38" s="108">
        <v>155514</v>
      </c>
      <c r="H38" s="110"/>
      <c r="I38" s="110"/>
      <c r="J38" s="110"/>
      <c r="K38" s="110">
        <v>128878</v>
      </c>
      <c r="L38" s="110">
        <v>9020</v>
      </c>
      <c r="M38" s="110"/>
      <c r="N38" s="110">
        <v>17616</v>
      </c>
      <c r="O38" s="110"/>
      <c r="P38" s="110"/>
      <c r="Q38" s="110"/>
      <c r="R38" s="110"/>
      <c r="S38" s="110"/>
      <c r="T38" s="110"/>
      <c r="U38" s="110"/>
      <c r="V38" s="110"/>
      <c r="W38" s="110"/>
    </row>
    <row r="39" spans="1:23" ht="51" hidden="1" outlineLevel="2" x14ac:dyDescent="0.2">
      <c r="A39" s="195"/>
      <c r="B39" s="195"/>
      <c r="C39" s="195"/>
      <c r="D39" s="195"/>
      <c r="E39" s="109" t="s">
        <v>225</v>
      </c>
      <c r="F39" s="109" t="s">
        <v>916</v>
      </c>
      <c r="G39" s="108">
        <v>196043</v>
      </c>
      <c r="H39" s="107">
        <v>67244</v>
      </c>
      <c r="I39" s="107">
        <v>20548</v>
      </c>
      <c r="J39" s="107">
        <v>0</v>
      </c>
      <c r="K39" s="107">
        <v>24065</v>
      </c>
      <c r="L39" s="107">
        <v>16727</v>
      </c>
      <c r="M39" s="107"/>
      <c r="N39" s="107">
        <v>938</v>
      </c>
      <c r="O39" s="107">
        <v>32000</v>
      </c>
      <c r="P39" s="107"/>
      <c r="Q39" s="107">
        <v>300</v>
      </c>
      <c r="R39" s="107">
        <v>34221</v>
      </c>
      <c r="S39" s="107"/>
      <c r="T39" s="107"/>
      <c r="U39" s="107"/>
      <c r="V39" s="107"/>
      <c r="W39" s="107"/>
    </row>
    <row r="40" spans="1:23" ht="25.5" hidden="1" outlineLevel="2" x14ac:dyDescent="0.2">
      <c r="A40" s="196"/>
      <c r="B40" s="196"/>
      <c r="C40" s="196"/>
      <c r="D40" s="196"/>
      <c r="E40" s="111" t="s">
        <v>226</v>
      </c>
      <c r="F40" s="111" t="s">
        <v>227</v>
      </c>
      <c r="G40" s="108">
        <v>56943</v>
      </c>
      <c r="H40" s="110"/>
      <c r="I40" s="110">
        <v>494</v>
      </c>
      <c r="J40" s="110"/>
      <c r="K40" s="110">
        <v>40699</v>
      </c>
      <c r="L40" s="110">
        <v>2800</v>
      </c>
      <c r="M40" s="110"/>
      <c r="N40" s="110">
        <v>12950</v>
      </c>
      <c r="O40" s="110"/>
      <c r="P40" s="110"/>
      <c r="Q40" s="110"/>
      <c r="R40" s="110"/>
      <c r="S40" s="110"/>
      <c r="T40" s="110"/>
      <c r="U40" s="110"/>
      <c r="V40" s="110"/>
      <c r="W40" s="110"/>
    </row>
    <row r="41" spans="1:23" ht="25.5" hidden="1" outlineLevel="2" x14ac:dyDescent="0.2">
      <c r="A41" s="195"/>
      <c r="B41" s="195"/>
      <c r="C41" s="195"/>
      <c r="D41" s="195"/>
      <c r="E41" s="109" t="s">
        <v>228</v>
      </c>
      <c r="F41" s="109" t="s">
        <v>229</v>
      </c>
      <c r="G41" s="108">
        <v>37046</v>
      </c>
      <c r="H41" s="107"/>
      <c r="I41" s="107">
        <v>254</v>
      </c>
      <c r="J41" s="107"/>
      <c r="K41" s="107">
        <v>20812</v>
      </c>
      <c r="L41" s="107">
        <v>2960</v>
      </c>
      <c r="M41" s="107"/>
      <c r="N41" s="107">
        <v>13020</v>
      </c>
      <c r="O41" s="107"/>
      <c r="P41" s="107"/>
      <c r="Q41" s="107"/>
      <c r="R41" s="107"/>
      <c r="S41" s="107"/>
      <c r="T41" s="107"/>
      <c r="U41" s="107"/>
      <c r="V41" s="107"/>
      <c r="W41" s="107"/>
    </row>
    <row r="42" spans="1:23" ht="25.5" hidden="1" outlineLevel="2" x14ac:dyDescent="0.2">
      <c r="A42" s="196"/>
      <c r="B42" s="196"/>
      <c r="C42" s="196"/>
      <c r="D42" s="196"/>
      <c r="E42" s="111" t="s">
        <v>541</v>
      </c>
      <c r="F42" s="111" t="s">
        <v>540</v>
      </c>
      <c r="G42" s="108">
        <v>84515</v>
      </c>
      <c r="H42" s="110">
        <v>40624</v>
      </c>
      <c r="I42" s="110">
        <v>12625</v>
      </c>
      <c r="J42" s="110"/>
      <c r="K42" s="110">
        <v>17352</v>
      </c>
      <c r="L42" s="110">
        <v>10428</v>
      </c>
      <c r="M42" s="110"/>
      <c r="N42" s="110">
        <v>1120</v>
      </c>
      <c r="O42" s="110"/>
      <c r="P42" s="110"/>
      <c r="Q42" s="110"/>
      <c r="R42" s="110">
        <v>2366</v>
      </c>
      <c r="S42" s="110"/>
      <c r="T42" s="110"/>
      <c r="U42" s="110"/>
      <c r="V42" s="110"/>
      <c r="W42" s="110"/>
    </row>
    <row r="43" spans="1:23" ht="25.5" hidden="1" outlineLevel="2" x14ac:dyDescent="0.2">
      <c r="A43" s="195"/>
      <c r="B43" s="195"/>
      <c r="C43" s="195"/>
      <c r="D43" s="195"/>
      <c r="E43" s="109" t="s">
        <v>947</v>
      </c>
      <c r="F43" s="109" t="s">
        <v>939</v>
      </c>
      <c r="G43" s="108">
        <v>81187</v>
      </c>
      <c r="H43" s="107"/>
      <c r="I43" s="107"/>
      <c r="J43" s="107"/>
      <c r="K43" s="107"/>
      <c r="L43" s="107"/>
      <c r="M43" s="107"/>
      <c r="N43" s="107"/>
      <c r="O43" s="107"/>
      <c r="P43" s="107"/>
      <c r="Q43" s="107"/>
      <c r="R43" s="107">
        <v>81187</v>
      </c>
      <c r="S43" s="107"/>
      <c r="T43" s="107"/>
      <c r="U43" s="107"/>
      <c r="V43" s="107"/>
      <c r="W43" s="107"/>
    </row>
    <row r="44" spans="1:23" ht="38.25" hidden="1" outlineLevel="2" x14ac:dyDescent="0.2">
      <c r="A44" s="196"/>
      <c r="B44" s="196"/>
      <c r="C44" s="196"/>
      <c r="D44" s="196"/>
      <c r="E44" s="111" t="s">
        <v>27</v>
      </c>
      <c r="F44" s="111" t="s">
        <v>230</v>
      </c>
      <c r="G44" s="108">
        <v>126715</v>
      </c>
      <c r="H44" s="110"/>
      <c r="I44" s="110"/>
      <c r="J44" s="110"/>
      <c r="K44" s="110"/>
      <c r="L44" s="110"/>
      <c r="M44" s="110"/>
      <c r="N44" s="110"/>
      <c r="O44" s="110">
        <v>117715</v>
      </c>
      <c r="P44" s="110"/>
      <c r="Q44" s="110"/>
      <c r="R44" s="110"/>
      <c r="S44" s="110"/>
      <c r="T44" s="110"/>
      <c r="U44" s="110">
        <v>9000</v>
      </c>
      <c r="V44" s="110"/>
      <c r="W44" s="110"/>
    </row>
    <row r="45" spans="1:23" outlineLevel="1" collapsed="1" x14ac:dyDescent="0.2">
      <c r="A45" s="195"/>
      <c r="B45" s="195"/>
      <c r="C45" s="109" t="s">
        <v>231</v>
      </c>
      <c r="D45" s="195" t="s">
        <v>312</v>
      </c>
      <c r="E45" s="195"/>
      <c r="F45" s="195"/>
      <c r="G45" s="108">
        <v>15000</v>
      </c>
      <c r="H45" s="108"/>
      <c r="I45" s="108"/>
      <c r="J45" s="108"/>
      <c r="K45" s="108">
        <v>12750</v>
      </c>
      <c r="L45" s="108"/>
      <c r="M45" s="108"/>
      <c r="N45" s="108">
        <v>2250</v>
      </c>
      <c r="O45" s="108"/>
      <c r="P45" s="108"/>
      <c r="Q45" s="108"/>
      <c r="R45" s="108"/>
      <c r="S45" s="108"/>
      <c r="T45" s="108"/>
      <c r="U45" s="108"/>
      <c r="V45" s="108"/>
      <c r="W45" s="108"/>
    </row>
    <row r="46" spans="1:23" ht="38.25" hidden="1" outlineLevel="2" x14ac:dyDescent="0.2">
      <c r="A46" s="196"/>
      <c r="B46" s="196"/>
      <c r="C46" s="196"/>
      <c r="D46" s="196"/>
      <c r="E46" s="111" t="s">
        <v>29</v>
      </c>
      <c r="F46" s="111" t="s">
        <v>232</v>
      </c>
      <c r="G46" s="108">
        <v>15000</v>
      </c>
      <c r="H46" s="110"/>
      <c r="I46" s="110"/>
      <c r="J46" s="110"/>
      <c r="K46" s="110">
        <v>12750</v>
      </c>
      <c r="L46" s="110"/>
      <c r="M46" s="110"/>
      <c r="N46" s="110">
        <v>2250</v>
      </c>
      <c r="O46" s="110"/>
      <c r="P46" s="110"/>
      <c r="Q46" s="110"/>
      <c r="R46" s="110"/>
      <c r="S46" s="110"/>
      <c r="T46" s="110"/>
      <c r="U46" s="110"/>
      <c r="V46" s="110"/>
      <c r="W46" s="110"/>
    </row>
    <row r="47" spans="1:23" x14ac:dyDescent="0.2">
      <c r="A47" s="109" t="s">
        <v>30</v>
      </c>
      <c r="B47" s="195" t="s">
        <v>31</v>
      </c>
      <c r="C47" s="195"/>
      <c r="D47" s="195"/>
      <c r="E47" s="195"/>
      <c r="F47" s="195"/>
      <c r="G47" s="108">
        <v>218327</v>
      </c>
      <c r="H47" s="108"/>
      <c r="I47" s="108"/>
      <c r="J47" s="108"/>
      <c r="K47" s="108">
        <v>214327</v>
      </c>
      <c r="L47" s="108"/>
      <c r="M47" s="108"/>
      <c r="N47" s="108"/>
      <c r="O47" s="108">
        <v>4000</v>
      </c>
      <c r="P47" s="108"/>
      <c r="Q47" s="108"/>
      <c r="R47" s="108"/>
      <c r="S47" s="108"/>
      <c r="T47" s="108"/>
      <c r="U47" s="108"/>
      <c r="V47" s="108"/>
      <c r="W47" s="108"/>
    </row>
    <row r="48" spans="1:23" outlineLevel="1" collapsed="1" x14ac:dyDescent="0.2">
      <c r="A48" s="196"/>
      <c r="B48" s="196"/>
      <c r="C48" s="111" t="s">
        <v>32</v>
      </c>
      <c r="D48" s="196" t="s">
        <v>33</v>
      </c>
      <c r="E48" s="196"/>
      <c r="F48" s="196"/>
      <c r="G48" s="108">
        <v>87038</v>
      </c>
      <c r="H48" s="108"/>
      <c r="I48" s="108"/>
      <c r="J48" s="108"/>
      <c r="K48" s="108">
        <v>87038</v>
      </c>
      <c r="L48" s="108"/>
      <c r="M48" s="108"/>
      <c r="N48" s="108"/>
      <c r="O48" s="108"/>
      <c r="P48" s="108"/>
      <c r="Q48" s="108"/>
      <c r="R48" s="108"/>
      <c r="S48" s="108"/>
      <c r="T48" s="108"/>
      <c r="U48" s="108"/>
      <c r="V48" s="108"/>
      <c r="W48" s="108"/>
    </row>
    <row r="49" spans="1:23" ht="25.5" hidden="1" outlineLevel="2" x14ac:dyDescent="0.2">
      <c r="A49" s="195"/>
      <c r="B49" s="195"/>
      <c r="C49" s="195"/>
      <c r="D49" s="195"/>
      <c r="E49" s="109" t="s">
        <v>34</v>
      </c>
      <c r="F49" s="109" t="s">
        <v>33</v>
      </c>
      <c r="G49" s="108">
        <v>25880</v>
      </c>
      <c r="H49" s="107"/>
      <c r="I49" s="107"/>
      <c r="J49" s="107"/>
      <c r="K49" s="107">
        <v>25880</v>
      </c>
      <c r="L49" s="107"/>
      <c r="M49" s="107"/>
      <c r="N49" s="107"/>
      <c r="O49" s="107"/>
      <c r="P49" s="107"/>
      <c r="Q49" s="107"/>
      <c r="R49" s="107"/>
      <c r="S49" s="107"/>
      <c r="T49" s="107"/>
      <c r="U49" s="107"/>
      <c r="V49" s="107"/>
      <c r="W49" s="107"/>
    </row>
    <row r="50" spans="1:23" ht="51" hidden="1" outlineLevel="2" x14ac:dyDescent="0.2">
      <c r="A50" s="196"/>
      <c r="B50" s="196"/>
      <c r="C50" s="196"/>
      <c r="D50" s="196"/>
      <c r="E50" s="111" t="s">
        <v>898</v>
      </c>
      <c r="F50" s="111" t="s">
        <v>824</v>
      </c>
      <c r="G50" s="108">
        <v>61158</v>
      </c>
      <c r="H50" s="110"/>
      <c r="I50" s="110"/>
      <c r="J50" s="110"/>
      <c r="K50" s="110">
        <v>61158</v>
      </c>
      <c r="L50" s="110"/>
      <c r="M50" s="110"/>
      <c r="N50" s="110"/>
      <c r="O50" s="110"/>
      <c r="P50" s="110"/>
      <c r="Q50" s="110"/>
      <c r="R50" s="110"/>
      <c r="S50" s="110"/>
      <c r="T50" s="110"/>
      <c r="U50" s="110"/>
      <c r="V50" s="110"/>
      <c r="W50" s="110"/>
    </row>
    <row r="51" spans="1:23" outlineLevel="1" collapsed="1" x14ac:dyDescent="0.2">
      <c r="A51" s="195"/>
      <c r="B51" s="195"/>
      <c r="C51" s="109" t="s">
        <v>35</v>
      </c>
      <c r="D51" s="195" t="s">
        <v>36</v>
      </c>
      <c r="E51" s="195"/>
      <c r="F51" s="195"/>
      <c r="G51" s="108">
        <v>127289</v>
      </c>
      <c r="H51" s="108"/>
      <c r="I51" s="108"/>
      <c r="J51" s="108"/>
      <c r="K51" s="108">
        <v>127289</v>
      </c>
      <c r="L51" s="108"/>
      <c r="M51" s="108"/>
      <c r="N51" s="108"/>
      <c r="O51" s="108"/>
      <c r="P51" s="108"/>
      <c r="Q51" s="108"/>
      <c r="R51" s="108"/>
      <c r="S51" s="108"/>
      <c r="T51" s="108"/>
      <c r="U51" s="108"/>
      <c r="V51" s="108"/>
      <c r="W51" s="108"/>
    </row>
    <row r="52" spans="1:23" ht="25.5" hidden="1" outlineLevel="2" x14ac:dyDescent="0.2">
      <c r="A52" s="196"/>
      <c r="B52" s="196"/>
      <c r="C52" s="196"/>
      <c r="D52" s="196"/>
      <c r="E52" s="111" t="s">
        <v>37</v>
      </c>
      <c r="F52" s="111" t="s">
        <v>537</v>
      </c>
      <c r="G52" s="108">
        <v>127289</v>
      </c>
      <c r="H52" s="110"/>
      <c r="I52" s="110"/>
      <c r="J52" s="110"/>
      <c r="K52" s="110">
        <v>127289</v>
      </c>
      <c r="L52" s="110"/>
      <c r="M52" s="110"/>
      <c r="N52" s="110"/>
      <c r="O52" s="110"/>
      <c r="P52" s="110"/>
      <c r="Q52" s="110"/>
      <c r="R52" s="110"/>
      <c r="S52" s="110"/>
      <c r="T52" s="110"/>
      <c r="U52" s="110"/>
      <c r="V52" s="110"/>
      <c r="W52" s="110"/>
    </row>
    <row r="53" spans="1:23" outlineLevel="1" collapsed="1" x14ac:dyDescent="0.2">
      <c r="A53" s="195"/>
      <c r="B53" s="195"/>
      <c r="C53" s="109" t="s">
        <v>133</v>
      </c>
      <c r="D53" s="195" t="s">
        <v>134</v>
      </c>
      <c r="E53" s="195"/>
      <c r="F53" s="195"/>
      <c r="G53" s="108">
        <v>4000</v>
      </c>
      <c r="H53" s="108"/>
      <c r="I53" s="108"/>
      <c r="J53" s="108"/>
      <c r="K53" s="108"/>
      <c r="L53" s="108"/>
      <c r="M53" s="108"/>
      <c r="N53" s="108"/>
      <c r="O53" s="108">
        <v>4000</v>
      </c>
      <c r="P53" s="108"/>
      <c r="Q53" s="108"/>
      <c r="R53" s="108"/>
      <c r="S53" s="108"/>
      <c r="T53" s="108"/>
      <c r="U53" s="108"/>
      <c r="V53" s="108"/>
      <c r="W53" s="108"/>
    </row>
    <row r="54" spans="1:23" ht="51" hidden="1" outlineLevel="2" x14ac:dyDescent="0.2">
      <c r="A54" s="196"/>
      <c r="B54" s="196"/>
      <c r="C54" s="196"/>
      <c r="D54" s="196"/>
      <c r="E54" s="111" t="s">
        <v>161</v>
      </c>
      <c r="F54" s="111" t="s">
        <v>536</v>
      </c>
      <c r="G54" s="108">
        <v>4000</v>
      </c>
      <c r="H54" s="110"/>
      <c r="I54" s="110"/>
      <c r="J54" s="110"/>
      <c r="K54" s="110"/>
      <c r="L54" s="110"/>
      <c r="M54" s="110"/>
      <c r="N54" s="110"/>
      <c r="O54" s="110">
        <v>4000</v>
      </c>
      <c r="P54" s="110"/>
      <c r="Q54" s="110"/>
      <c r="R54" s="110"/>
      <c r="S54" s="110"/>
      <c r="T54" s="110"/>
      <c r="U54" s="110"/>
      <c r="V54" s="110"/>
      <c r="W54" s="110"/>
    </row>
    <row r="55" spans="1:23" x14ac:dyDescent="0.2">
      <c r="A55" s="109" t="s">
        <v>38</v>
      </c>
      <c r="B55" s="195" t="s">
        <v>313</v>
      </c>
      <c r="C55" s="195"/>
      <c r="D55" s="195"/>
      <c r="E55" s="195"/>
      <c r="F55" s="195"/>
      <c r="G55" s="108">
        <v>5141959</v>
      </c>
      <c r="H55" s="108">
        <v>1184684</v>
      </c>
      <c r="I55" s="108">
        <v>352184</v>
      </c>
      <c r="J55" s="108">
        <v>2575</v>
      </c>
      <c r="K55" s="108">
        <v>2980202</v>
      </c>
      <c r="L55" s="108">
        <v>132801</v>
      </c>
      <c r="M55" s="108"/>
      <c r="N55" s="108">
        <v>77155</v>
      </c>
      <c r="O55" s="108">
        <v>60000</v>
      </c>
      <c r="P55" s="108"/>
      <c r="Q55" s="108"/>
      <c r="R55" s="108">
        <v>352358</v>
      </c>
      <c r="S55" s="108"/>
      <c r="T55" s="108"/>
      <c r="U55" s="108"/>
      <c r="V55" s="108"/>
      <c r="W55" s="108"/>
    </row>
    <row r="56" spans="1:23" outlineLevel="1" collapsed="1" x14ac:dyDescent="0.2">
      <c r="A56" s="196"/>
      <c r="B56" s="196"/>
      <c r="C56" s="111" t="s">
        <v>39</v>
      </c>
      <c r="D56" s="196" t="s">
        <v>40</v>
      </c>
      <c r="E56" s="196"/>
      <c r="F56" s="196"/>
      <c r="G56" s="108">
        <v>4169216</v>
      </c>
      <c r="H56" s="108">
        <v>1026158</v>
      </c>
      <c r="I56" s="108">
        <v>306017</v>
      </c>
      <c r="J56" s="108">
        <v>1475</v>
      </c>
      <c r="K56" s="108">
        <v>2339765</v>
      </c>
      <c r="L56" s="108">
        <v>117209</v>
      </c>
      <c r="M56" s="108"/>
      <c r="N56" s="108">
        <v>59115</v>
      </c>
      <c r="O56" s="108"/>
      <c r="P56" s="108"/>
      <c r="Q56" s="108"/>
      <c r="R56" s="108">
        <v>319477</v>
      </c>
      <c r="S56" s="108"/>
      <c r="T56" s="108"/>
      <c r="U56" s="108"/>
      <c r="V56" s="108"/>
      <c r="W56" s="108"/>
    </row>
    <row r="57" spans="1:23" ht="89.25" hidden="1" outlineLevel="2" x14ac:dyDescent="0.2">
      <c r="A57" s="195"/>
      <c r="B57" s="195"/>
      <c r="C57" s="195"/>
      <c r="D57" s="195"/>
      <c r="E57" s="109" t="s">
        <v>41</v>
      </c>
      <c r="F57" s="109" t="s">
        <v>899</v>
      </c>
      <c r="G57" s="108">
        <v>980928</v>
      </c>
      <c r="H57" s="107">
        <v>472438</v>
      </c>
      <c r="I57" s="107">
        <v>139061</v>
      </c>
      <c r="J57" s="107">
        <v>635</v>
      </c>
      <c r="K57" s="107">
        <v>312512</v>
      </c>
      <c r="L57" s="107">
        <v>18915</v>
      </c>
      <c r="M57" s="107"/>
      <c r="N57" s="107">
        <v>7208</v>
      </c>
      <c r="O57" s="107"/>
      <c r="P57" s="107"/>
      <c r="Q57" s="107"/>
      <c r="R57" s="107">
        <v>30159</v>
      </c>
      <c r="S57" s="107"/>
      <c r="T57" s="107"/>
      <c r="U57" s="107"/>
      <c r="V57" s="107"/>
      <c r="W57" s="107"/>
    </row>
    <row r="58" spans="1:23" ht="25.5" hidden="1" outlineLevel="2" x14ac:dyDescent="0.2">
      <c r="A58" s="196"/>
      <c r="B58" s="196"/>
      <c r="C58" s="196"/>
      <c r="D58" s="196"/>
      <c r="E58" s="111" t="s">
        <v>42</v>
      </c>
      <c r="F58" s="111" t="s">
        <v>535</v>
      </c>
      <c r="G58" s="108">
        <v>1776808</v>
      </c>
      <c r="H58" s="110">
        <v>200503</v>
      </c>
      <c r="I58" s="110">
        <v>61151</v>
      </c>
      <c r="J58" s="110">
        <v>630</v>
      </c>
      <c r="K58" s="110">
        <v>1254177</v>
      </c>
      <c r="L58" s="110">
        <v>46550</v>
      </c>
      <c r="M58" s="110"/>
      <c r="N58" s="110">
        <v>750</v>
      </c>
      <c r="O58" s="110"/>
      <c r="P58" s="110"/>
      <c r="Q58" s="110"/>
      <c r="R58" s="110">
        <v>213047</v>
      </c>
      <c r="S58" s="110"/>
      <c r="T58" s="110"/>
      <c r="U58" s="110"/>
      <c r="V58" s="110"/>
      <c r="W58" s="110"/>
    </row>
    <row r="59" spans="1:23" ht="38.25" hidden="1" outlineLevel="2" x14ac:dyDescent="0.2">
      <c r="A59" s="195"/>
      <c r="B59" s="195"/>
      <c r="C59" s="195"/>
      <c r="D59" s="195"/>
      <c r="E59" s="109" t="s">
        <v>43</v>
      </c>
      <c r="F59" s="109" t="s">
        <v>562</v>
      </c>
      <c r="G59" s="108">
        <v>358636</v>
      </c>
      <c r="H59" s="107">
        <v>114492</v>
      </c>
      <c r="I59" s="107">
        <v>34897</v>
      </c>
      <c r="J59" s="107"/>
      <c r="K59" s="107">
        <v>141659</v>
      </c>
      <c r="L59" s="107">
        <v>12614</v>
      </c>
      <c r="M59" s="107"/>
      <c r="N59" s="107">
        <v>2651</v>
      </c>
      <c r="O59" s="107"/>
      <c r="P59" s="107"/>
      <c r="Q59" s="107"/>
      <c r="R59" s="107">
        <v>52323</v>
      </c>
      <c r="S59" s="107"/>
      <c r="T59" s="107"/>
      <c r="U59" s="107"/>
      <c r="V59" s="107"/>
      <c r="W59" s="107"/>
    </row>
    <row r="60" spans="1:23" ht="51" hidden="1" outlineLevel="2" x14ac:dyDescent="0.2">
      <c r="A60" s="196"/>
      <c r="B60" s="196"/>
      <c r="C60" s="196"/>
      <c r="D60" s="196"/>
      <c r="E60" s="111" t="s">
        <v>44</v>
      </c>
      <c r="F60" s="111" t="s">
        <v>234</v>
      </c>
      <c r="G60" s="108">
        <v>114646</v>
      </c>
      <c r="H60" s="110"/>
      <c r="I60" s="110"/>
      <c r="J60" s="110"/>
      <c r="K60" s="110">
        <v>105963</v>
      </c>
      <c r="L60" s="110"/>
      <c r="M60" s="110"/>
      <c r="N60" s="110">
        <v>1155</v>
      </c>
      <c r="O60" s="110"/>
      <c r="P60" s="110"/>
      <c r="Q60" s="110"/>
      <c r="R60" s="110">
        <v>7528</v>
      </c>
      <c r="S60" s="110"/>
      <c r="T60" s="110"/>
      <c r="U60" s="110"/>
      <c r="V60" s="110"/>
      <c r="W60" s="110"/>
    </row>
    <row r="61" spans="1:23" ht="51" hidden="1" outlineLevel="2" x14ac:dyDescent="0.2">
      <c r="A61" s="195"/>
      <c r="B61" s="195"/>
      <c r="C61" s="195"/>
      <c r="D61" s="195"/>
      <c r="E61" s="109" t="s">
        <v>45</v>
      </c>
      <c r="F61" s="109" t="s">
        <v>235</v>
      </c>
      <c r="G61" s="108">
        <v>12222</v>
      </c>
      <c r="H61" s="107"/>
      <c r="I61" s="107"/>
      <c r="J61" s="107"/>
      <c r="K61" s="107">
        <v>12022</v>
      </c>
      <c r="L61" s="107">
        <v>200</v>
      </c>
      <c r="M61" s="107"/>
      <c r="N61" s="107"/>
      <c r="O61" s="107"/>
      <c r="P61" s="107"/>
      <c r="Q61" s="107"/>
      <c r="R61" s="107"/>
      <c r="S61" s="107"/>
      <c r="T61" s="107"/>
      <c r="U61" s="107"/>
      <c r="V61" s="107"/>
      <c r="W61" s="107"/>
    </row>
    <row r="62" spans="1:23" ht="25.5" hidden="1" outlineLevel="2" x14ac:dyDescent="0.2">
      <c r="A62" s="196"/>
      <c r="B62" s="196"/>
      <c r="C62" s="196"/>
      <c r="D62" s="196"/>
      <c r="E62" s="111" t="s">
        <v>534</v>
      </c>
      <c r="F62" s="111" t="s">
        <v>533</v>
      </c>
      <c r="G62" s="108">
        <v>22436</v>
      </c>
      <c r="H62" s="110"/>
      <c r="I62" s="110"/>
      <c r="J62" s="110"/>
      <c r="K62" s="110">
        <v>19723</v>
      </c>
      <c r="L62" s="110">
        <v>300</v>
      </c>
      <c r="M62" s="110"/>
      <c r="N62" s="110">
        <v>2413</v>
      </c>
      <c r="O62" s="110"/>
      <c r="P62" s="110"/>
      <c r="Q62" s="110"/>
      <c r="R62" s="110"/>
      <c r="S62" s="110"/>
      <c r="T62" s="110"/>
      <c r="U62" s="110"/>
      <c r="V62" s="110"/>
      <c r="W62" s="110"/>
    </row>
    <row r="63" spans="1:23" ht="51" hidden="1" outlineLevel="2" x14ac:dyDescent="0.2">
      <c r="A63" s="195"/>
      <c r="B63" s="195"/>
      <c r="C63" s="195"/>
      <c r="D63" s="195"/>
      <c r="E63" s="109" t="s">
        <v>532</v>
      </c>
      <c r="F63" s="109" t="s">
        <v>900</v>
      </c>
      <c r="G63" s="108">
        <v>150246</v>
      </c>
      <c r="H63" s="107">
        <v>49247</v>
      </c>
      <c r="I63" s="107">
        <v>15561</v>
      </c>
      <c r="J63" s="107">
        <v>70</v>
      </c>
      <c r="K63" s="107">
        <v>76504</v>
      </c>
      <c r="L63" s="107">
        <v>7938</v>
      </c>
      <c r="M63" s="107"/>
      <c r="N63" s="107">
        <v>326</v>
      </c>
      <c r="O63" s="107"/>
      <c r="P63" s="107"/>
      <c r="Q63" s="107"/>
      <c r="R63" s="107">
        <v>600</v>
      </c>
      <c r="S63" s="107"/>
      <c r="T63" s="107"/>
      <c r="U63" s="107"/>
      <c r="V63" s="107"/>
      <c r="W63" s="107"/>
    </row>
    <row r="64" spans="1:23" ht="51" hidden="1" outlineLevel="2" x14ac:dyDescent="0.2">
      <c r="A64" s="196"/>
      <c r="B64" s="196"/>
      <c r="C64" s="196"/>
      <c r="D64" s="196"/>
      <c r="E64" s="111" t="s">
        <v>530</v>
      </c>
      <c r="F64" s="111" t="s">
        <v>901</v>
      </c>
      <c r="G64" s="108">
        <v>266128</v>
      </c>
      <c r="H64" s="110">
        <v>56369</v>
      </c>
      <c r="I64" s="110">
        <v>16441</v>
      </c>
      <c r="J64" s="110">
        <v>140</v>
      </c>
      <c r="K64" s="110">
        <v>168587</v>
      </c>
      <c r="L64" s="110">
        <v>11941</v>
      </c>
      <c r="M64" s="110"/>
      <c r="N64" s="110">
        <v>11050</v>
      </c>
      <c r="O64" s="110"/>
      <c r="P64" s="110"/>
      <c r="Q64" s="110"/>
      <c r="R64" s="110">
        <v>1600</v>
      </c>
      <c r="S64" s="110"/>
      <c r="T64" s="110"/>
      <c r="U64" s="110"/>
      <c r="V64" s="110"/>
      <c r="W64" s="110"/>
    </row>
    <row r="65" spans="1:23" ht="51" hidden="1" outlineLevel="2" x14ac:dyDescent="0.2">
      <c r="A65" s="195"/>
      <c r="B65" s="195"/>
      <c r="C65" s="195"/>
      <c r="D65" s="195"/>
      <c r="E65" s="109" t="s">
        <v>528</v>
      </c>
      <c r="F65" s="109" t="s">
        <v>902</v>
      </c>
      <c r="G65" s="108">
        <v>141013</v>
      </c>
      <c r="H65" s="107">
        <v>78128</v>
      </c>
      <c r="I65" s="107">
        <v>23929</v>
      </c>
      <c r="J65" s="107"/>
      <c r="K65" s="107">
        <v>30563</v>
      </c>
      <c r="L65" s="107">
        <v>6258</v>
      </c>
      <c r="M65" s="107"/>
      <c r="N65" s="107">
        <v>2135</v>
      </c>
      <c r="O65" s="107"/>
      <c r="P65" s="107"/>
      <c r="Q65" s="107"/>
      <c r="R65" s="107"/>
      <c r="S65" s="107"/>
      <c r="T65" s="107"/>
      <c r="U65" s="107"/>
      <c r="V65" s="107"/>
      <c r="W65" s="107"/>
    </row>
    <row r="66" spans="1:23" ht="51" hidden="1" outlineLevel="2" x14ac:dyDescent="0.2">
      <c r="A66" s="196"/>
      <c r="B66" s="196"/>
      <c r="C66" s="196"/>
      <c r="D66" s="196"/>
      <c r="E66" s="111" t="s">
        <v>526</v>
      </c>
      <c r="F66" s="111" t="s">
        <v>903</v>
      </c>
      <c r="G66" s="108">
        <v>16365</v>
      </c>
      <c r="H66" s="110"/>
      <c r="I66" s="110"/>
      <c r="J66" s="110"/>
      <c r="K66" s="110">
        <v>14278</v>
      </c>
      <c r="L66" s="110">
        <v>1453</v>
      </c>
      <c r="M66" s="110"/>
      <c r="N66" s="110">
        <v>634</v>
      </c>
      <c r="O66" s="110"/>
      <c r="P66" s="110"/>
      <c r="Q66" s="110"/>
      <c r="R66" s="110"/>
      <c r="S66" s="110"/>
      <c r="T66" s="110"/>
      <c r="U66" s="110"/>
      <c r="V66" s="110"/>
      <c r="W66" s="110"/>
    </row>
    <row r="67" spans="1:23" ht="38.25" hidden="1" outlineLevel="2" x14ac:dyDescent="0.2">
      <c r="A67" s="195"/>
      <c r="B67" s="195"/>
      <c r="C67" s="195"/>
      <c r="D67" s="195"/>
      <c r="E67" s="109" t="s">
        <v>46</v>
      </c>
      <c r="F67" s="109" t="s">
        <v>237</v>
      </c>
      <c r="G67" s="108">
        <v>183112</v>
      </c>
      <c r="H67" s="107">
        <v>54981</v>
      </c>
      <c r="I67" s="107">
        <v>14977</v>
      </c>
      <c r="J67" s="107"/>
      <c r="K67" s="107">
        <v>66279</v>
      </c>
      <c r="L67" s="107">
        <v>10540</v>
      </c>
      <c r="M67" s="107"/>
      <c r="N67" s="107">
        <v>22115</v>
      </c>
      <c r="O67" s="107"/>
      <c r="P67" s="107"/>
      <c r="Q67" s="107"/>
      <c r="R67" s="107">
        <v>14220</v>
      </c>
      <c r="S67" s="107"/>
      <c r="T67" s="107"/>
      <c r="U67" s="107"/>
      <c r="V67" s="107"/>
      <c r="W67" s="107"/>
    </row>
    <row r="68" spans="1:23" ht="51" hidden="1" outlineLevel="2" x14ac:dyDescent="0.2">
      <c r="A68" s="196"/>
      <c r="B68" s="196"/>
      <c r="C68" s="196"/>
      <c r="D68" s="196"/>
      <c r="E68" s="111" t="s">
        <v>47</v>
      </c>
      <c r="F68" s="111" t="s">
        <v>238</v>
      </c>
      <c r="G68" s="108">
        <v>146676</v>
      </c>
      <c r="H68" s="110"/>
      <c r="I68" s="110"/>
      <c r="J68" s="110"/>
      <c r="K68" s="110">
        <v>137498</v>
      </c>
      <c r="L68" s="110">
        <v>500</v>
      </c>
      <c r="M68" s="110"/>
      <c r="N68" s="110">
        <v>8678</v>
      </c>
      <c r="O68" s="110"/>
      <c r="P68" s="110"/>
      <c r="Q68" s="110"/>
      <c r="R68" s="110"/>
      <c r="S68" s="110"/>
      <c r="T68" s="110"/>
      <c r="U68" s="110"/>
      <c r="V68" s="110"/>
      <c r="W68" s="110"/>
    </row>
    <row r="69" spans="1:23" outlineLevel="1" collapsed="1" x14ac:dyDescent="0.2">
      <c r="A69" s="195"/>
      <c r="B69" s="195"/>
      <c r="C69" s="109" t="s">
        <v>48</v>
      </c>
      <c r="D69" s="195" t="s">
        <v>49</v>
      </c>
      <c r="E69" s="195"/>
      <c r="F69" s="195"/>
      <c r="G69" s="108">
        <v>513616</v>
      </c>
      <c r="H69" s="108"/>
      <c r="I69" s="108"/>
      <c r="J69" s="108"/>
      <c r="K69" s="108">
        <v>480535</v>
      </c>
      <c r="L69" s="108"/>
      <c r="M69" s="108"/>
      <c r="N69" s="108">
        <v>200</v>
      </c>
      <c r="O69" s="108"/>
      <c r="P69" s="108"/>
      <c r="Q69" s="108"/>
      <c r="R69" s="108">
        <v>32881</v>
      </c>
      <c r="S69" s="108"/>
      <c r="T69" s="108"/>
      <c r="U69" s="108"/>
      <c r="V69" s="108"/>
      <c r="W69" s="108"/>
    </row>
    <row r="70" spans="1:23" ht="25.5" hidden="1" outlineLevel="2" x14ac:dyDescent="0.2">
      <c r="A70" s="196"/>
      <c r="B70" s="196"/>
      <c r="C70" s="196"/>
      <c r="D70" s="196"/>
      <c r="E70" s="111" t="s">
        <v>50</v>
      </c>
      <c r="F70" s="111" t="s">
        <v>49</v>
      </c>
      <c r="G70" s="108">
        <v>513616</v>
      </c>
      <c r="H70" s="110"/>
      <c r="I70" s="110"/>
      <c r="J70" s="110"/>
      <c r="K70" s="110">
        <v>480535</v>
      </c>
      <c r="L70" s="110"/>
      <c r="M70" s="110"/>
      <c r="N70" s="110">
        <v>200</v>
      </c>
      <c r="O70" s="110"/>
      <c r="P70" s="110"/>
      <c r="Q70" s="110"/>
      <c r="R70" s="110">
        <v>32881</v>
      </c>
      <c r="S70" s="110"/>
      <c r="T70" s="110"/>
      <c r="U70" s="110"/>
      <c r="V70" s="110"/>
      <c r="W70" s="110"/>
    </row>
    <row r="71" spans="1:23" outlineLevel="1" collapsed="1" x14ac:dyDescent="0.2">
      <c r="A71" s="195"/>
      <c r="B71" s="195"/>
      <c r="C71" s="109" t="s">
        <v>51</v>
      </c>
      <c r="D71" s="195" t="s">
        <v>314</v>
      </c>
      <c r="E71" s="195"/>
      <c r="F71" s="195"/>
      <c r="G71" s="108">
        <v>459127</v>
      </c>
      <c r="H71" s="108">
        <v>158526</v>
      </c>
      <c r="I71" s="108">
        <v>46167</v>
      </c>
      <c r="J71" s="108">
        <v>1100</v>
      </c>
      <c r="K71" s="108">
        <v>159902</v>
      </c>
      <c r="L71" s="108">
        <v>15592</v>
      </c>
      <c r="M71" s="108"/>
      <c r="N71" s="108">
        <v>17840</v>
      </c>
      <c r="O71" s="108">
        <v>60000</v>
      </c>
      <c r="P71" s="108"/>
      <c r="Q71" s="108"/>
      <c r="R71" s="108"/>
      <c r="S71" s="108"/>
      <c r="T71" s="108"/>
      <c r="U71" s="108"/>
      <c r="V71" s="108"/>
      <c r="W71" s="108"/>
    </row>
    <row r="72" spans="1:23" ht="25.5" hidden="1" outlineLevel="2" x14ac:dyDescent="0.2">
      <c r="A72" s="196"/>
      <c r="B72" s="196"/>
      <c r="C72" s="196"/>
      <c r="D72" s="196"/>
      <c r="E72" s="111" t="s">
        <v>52</v>
      </c>
      <c r="F72" s="111" t="s">
        <v>240</v>
      </c>
      <c r="G72" s="108">
        <v>38191</v>
      </c>
      <c r="H72" s="110">
        <v>11336</v>
      </c>
      <c r="I72" s="110">
        <v>2675</v>
      </c>
      <c r="J72" s="110"/>
      <c r="K72" s="110">
        <v>15500</v>
      </c>
      <c r="L72" s="110"/>
      <c r="M72" s="110"/>
      <c r="N72" s="110">
        <v>8680</v>
      </c>
      <c r="O72" s="110"/>
      <c r="P72" s="110"/>
      <c r="Q72" s="110"/>
      <c r="R72" s="110"/>
      <c r="S72" s="110"/>
      <c r="T72" s="110"/>
      <c r="U72" s="110"/>
      <c r="V72" s="110"/>
      <c r="W72" s="110"/>
    </row>
    <row r="73" spans="1:23" ht="25.5" hidden="1" outlineLevel="2" x14ac:dyDescent="0.2">
      <c r="A73" s="195"/>
      <c r="B73" s="195"/>
      <c r="C73" s="195"/>
      <c r="D73" s="195"/>
      <c r="E73" s="109" t="s">
        <v>120</v>
      </c>
      <c r="F73" s="109" t="s">
        <v>121</v>
      </c>
      <c r="G73" s="108">
        <v>245574</v>
      </c>
      <c r="H73" s="107">
        <v>86732</v>
      </c>
      <c r="I73" s="107">
        <v>25277</v>
      </c>
      <c r="J73" s="107"/>
      <c r="K73" s="107">
        <v>117635</v>
      </c>
      <c r="L73" s="107">
        <v>6770</v>
      </c>
      <c r="M73" s="107"/>
      <c r="N73" s="107">
        <v>9160</v>
      </c>
      <c r="O73" s="107"/>
      <c r="P73" s="107"/>
      <c r="Q73" s="107"/>
      <c r="R73" s="107"/>
      <c r="S73" s="107"/>
      <c r="T73" s="107"/>
      <c r="U73" s="107"/>
      <c r="V73" s="107"/>
      <c r="W73" s="107"/>
    </row>
    <row r="74" spans="1:23" ht="25.5" hidden="1" outlineLevel="2" x14ac:dyDescent="0.2">
      <c r="A74" s="196"/>
      <c r="B74" s="196"/>
      <c r="C74" s="196"/>
      <c r="D74" s="196"/>
      <c r="E74" s="111" t="s">
        <v>53</v>
      </c>
      <c r="F74" s="111" t="s">
        <v>241</v>
      </c>
      <c r="G74" s="108">
        <v>175362</v>
      </c>
      <c r="H74" s="110">
        <v>60458</v>
      </c>
      <c r="I74" s="110">
        <v>18215</v>
      </c>
      <c r="J74" s="110">
        <v>1100</v>
      </c>
      <c r="K74" s="110">
        <v>26767</v>
      </c>
      <c r="L74" s="110">
        <v>8822</v>
      </c>
      <c r="M74" s="110"/>
      <c r="N74" s="110"/>
      <c r="O74" s="110">
        <v>60000</v>
      </c>
      <c r="P74" s="110"/>
      <c r="Q74" s="110"/>
      <c r="R74" s="110"/>
      <c r="S74" s="110"/>
      <c r="T74" s="110"/>
      <c r="U74" s="110"/>
      <c r="V74" s="110"/>
      <c r="W74" s="110"/>
    </row>
    <row r="75" spans="1:23" x14ac:dyDescent="0.2">
      <c r="A75" s="109" t="s">
        <v>54</v>
      </c>
      <c r="B75" s="195" t="s">
        <v>315</v>
      </c>
      <c r="C75" s="195"/>
      <c r="D75" s="195"/>
      <c r="E75" s="195"/>
      <c r="F75" s="195"/>
      <c r="G75" s="108">
        <v>5179209</v>
      </c>
      <c r="H75" s="108">
        <v>1717509</v>
      </c>
      <c r="I75" s="108">
        <v>494613</v>
      </c>
      <c r="J75" s="108">
        <v>12474</v>
      </c>
      <c r="K75" s="108">
        <v>1193286</v>
      </c>
      <c r="L75" s="108">
        <v>223740</v>
      </c>
      <c r="M75" s="108">
        <v>13250</v>
      </c>
      <c r="N75" s="108">
        <v>36572</v>
      </c>
      <c r="O75" s="108">
        <v>599072</v>
      </c>
      <c r="P75" s="108"/>
      <c r="Q75" s="108"/>
      <c r="R75" s="108">
        <v>881706</v>
      </c>
      <c r="S75" s="108"/>
      <c r="T75" s="108"/>
      <c r="U75" s="108">
        <v>1145</v>
      </c>
      <c r="V75" s="108"/>
      <c r="W75" s="108">
        <v>5842</v>
      </c>
    </row>
    <row r="76" spans="1:23" outlineLevel="1" collapsed="1" x14ac:dyDescent="0.2">
      <c r="A76" s="196"/>
      <c r="B76" s="196"/>
      <c r="C76" s="111" t="s">
        <v>55</v>
      </c>
      <c r="D76" s="196" t="s">
        <v>316</v>
      </c>
      <c r="E76" s="196"/>
      <c r="F76" s="196"/>
      <c r="G76" s="108">
        <v>779901</v>
      </c>
      <c r="H76" s="108">
        <v>78375</v>
      </c>
      <c r="I76" s="108">
        <v>23545</v>
      </c>
      <c r="J76" s="108">
        <v>0</v>
      </c>
      <c r="K76" s="108">
        <v>138715</v>
      </c>
      <c r="L76" s="108">
        <v>29058</v>
      </c>
      <c r="M76" s="108"/>
      <c r="N76" s="108">
        <v>27991</v>
      </c>
      <c r="O76" s="108">
        <v>475217</v>
      </c>
      <c r="P76" s="108"/>
      <c r="Q76" s="108"/>
      <c r="R76" s="108">
        <v>7000</v>
      </c>
      <c r="S76" s="108"/>
      <c r="T76" s="108"/>
      <c r="U76" s="108"/>
      <c r="V76" s="108"/>
      <c r="W76" s="108"/>
    </row>
    <row r="77" spans="1:23" ht="38.25" hidden="1" outlineLevel="2" x14ac:dyDescent="0.2">
      <c r="A77" s="195"/>
      <c r="B77" s="195"/>
      <c r="C77" s="195"/>
      <c r="D77" s="195"/>
      <c r="E77" s="109" t="s">
        <v>56</v>
      </c>
      <c r="F77" s="109" t="s">
        <v>940</v>
      </c>
      <c r="G77" s="108">
        <v>610101</v>
      </c>
      <c r="H77" s="107">
        <v>61789</v>
      </c>
      <c r="I77" s="107">
        <v>18637</v>
      </c>
      <c r="J77" s="107">
        <v>0</v>
      </c>
      <c r="K77" s="107">
        <v>120069</v>
      </c>
      <c r="L77" s="107">
        <v>19609</v>
      </c>
      <c r="M77" s="107"/>
      <c r="N77" s="107">
        <v>27505</v>
      </c>
      <c r="O77" s="107">
        <v>355492</v>
      </c>
      <c r="P77" s="107"/>
      <c r="Q77" s="107"/>
      <c r="R77" s="107">
        <v>7000</v>
      </c>
      <c r="S77" s="107"/>
      <c r="T77" s="107"/>
      <c r="U77" s="107"/>
      <c r="V77" s="107"/>
      <c r="W77" s="107"/>
    </row>
    <row r="78" spans="1:23" ht="38.25" hidden="1" outlineLevel="2" x14ac:dyDescent="0.2">
      <c r="A78" s="196"/>
      <c r="B78" s="196"/>
      <c r="C78" s="196"/>
      <c r="D78" s="196"/>
      <c r="E78" s="111" t="s">
        <v>57</v>
      </c>
      <c r="F78" s="111" t="s">
        <v>242</v>
      </c>
      <c r="G78" s="108">
        <v>119725</v>
      </c>
      <c r="H78" s="110"/>
      <c r="I78" s="110"/>
      <c r="J78" s="110"/>
      <c r="K78" s="110"/>
      <c r="L78" s="110"/>
      <c r="M78" s="110"/>
      <c r="N78" s="110"/>
      <c r="O78" s="110">
        <v>119725</v>
      </c>
      <c r="P78" s="110"/>
      <c r="Q78" s="110"/>
      <c r="R78" s="110"/>
      <c r="S78" s="110"/>
      <c r="T78" s="110"/>
      <c r="U78" s="110"/>
      <c r="V78" s="110"/>
      <c r="W78" s="110"/>
    </row>
    <row r="79" spans="1:23" ht="76.5" hidden="1" outlineLevel="2" x14ac:dyDescent="0.2">
      <c r="A79" s="195"/>
      <c r="B79" s="195"/>
      <c r="C79" s="195"/>
      <c r="D79" s="195"/>
      <c r="E79" s="109" t="s">
        <v>135</v>
      </c>
      <c r="F79" s="109" t="s">
        <v>524</v>
      </c>
      <c r="G79" s="108">
        <v>43595</v>
      </c>
      <c r="H79" s="107">
        <v>15843</v>
      </c>
      <c r="I79" s="107">
        <v>4730</v>
      </c>
      <c r="J79" s="107"/>
      <c r="K79" s="107">
        <v>17486</v>
      </c>
      <c r="L79" s="107">
        <v>5050</v>
      </c>
      <c r="M79" s="107"/>
      <c r="N79" s="107">
        <v>486</v>
      </c>
      <c r="O79" s="107"/>
      <c r="P79" s="107"/>
      <c r="Q79" s="107"/>
      <c r="R79" s="107">
        <v>0</v>
      </c>
      <c r="S79" s="107"/>
      <c r="T79" s="107"/>
      <c r="U79" s="107"/>
      <c r="V79" s="107"/>
      <c r="W79" s="107"/>
    </row>
    <row r="80" spans="1:23" ht="51" hidden="1" outlineLevel="2" x14ac:dyDescent="0.2">
      <c r="A80" s="196"/>
      <c r="B80" s="196"/>
      <c r="C80" s="196"/>
      <c r="D80" s="196"/>
      <c r="E80" s="111" t="s">
        <v>169</v>
      </c>
      <c r="F80" s="111" t="s">
        <v>322</v>
      </c>
      <c r="G80" s="108">
        <v>3250</v>
      </c>
      <c r="H80" s="110"/>
      <c r="I80" s="110"/>
      <c r="J80" s="110"/>
      <c r="K80" s="110">
        <v>300</v>
      </c>
      <c r="L80" s="110">
        <v>2950</v>
      </c>
      <c r="M80" s="110"/>
      <c r="N80" s="110"/>
      <c r="O80" s="110"/>
      <c r="P80" s="110"/>
      <c r="Q80" s="110"/>
      <c r="R80" s="110"/>
      <c r="S80" s="110"/>
      <c r="T80" s="110"/>
      <c r="U80" s="110"/>
      <c r="V80" s="110"/>
      <c r="W80" s="110"/>
    </row>
    <row r="81" spans="1:23" ht="51" hidden="1" outlineLevel="2" x14ac:dyDescent="0.2">
      <c r="A81" s="195"/>
      <c r="B81" s="195"/>
      <c r="C81" s="195"/>
      <c r="D81" s="195"/>
      <c r="E81" s="109" t="s">
        <v>523</v>
      </c>
      <c r="F81" s="109" t="s">
        <v>522</v>
      </c>
      <c r="G81" s="108">
        <v>3230</v>
      </c>
      <c r="H81" s="107">
        <v>743</v>
      </c>
      <c r="I81" s="107">
        <v>178</v>
      </c>
      <c r="J81" s="107"/>
      <c r="K81" s="107">
        <v>860</v>
      </c>
      <c r="L81" s="107">
        <v>1449</v>
      </c>
      <c r="M81" s="107"/>
      <c r="N81" s="107"/>
      <c r="O81" s="107"/>
      <c r="P81" s="107"/>
      <c r="Q81" s="107"/>
      <c r="R81" s="107"/>
      <c r="S81" s="107"/>
      <c r="T81" s="107"/>
      <c r="U81" s="107"/>
      <c r="V81" s="107"/>
      <c r="W81" s="107"/>
    </row>
    <row r="82" spans="1:23" outlineLevel="1" collapsed="1" x14ac:dyDescent="0.2">
      <c r="A82" s="196"/>
      <c r="B82" s="196"/>
      <c r="C82" s="111" t="s">
        <v>243</v>
      </c>
      <c r="D82" s="196" t="s">
        <v>58</v>
      </c>
      <c r="E82" s="196"/>
      <c r="F82" s="196"/>
      <c r="G82" s="108">
        <v>696273</v>
      </c>
      <c r="H82" s="108">
        <v>335055</v>
      </c>
      <c r="I82" s="108">
        <v>98199</v>
      </c>
      <c r="J82" s="108">
        <v>1158</v>
      </c>
      <c r="K82" s="108">
        <v>95192</v>
      </c>
      <c r="L82" s="108">
        <v>30711</v>
      </c>
      <c r="M82" s="108">
        <v>13250</v>
      </c>
      <c r="N82" s="108">
        <v>131</v>
      </c>
      <c r="O82" s="108"/>
      <c r="P82" s="108"/>
      <c r="Q82" s="108"/>
      <c r="R82" s="108">
        <v>116747</v>
      </c>
      <c r="S82" s="108"/>
      <c r="T82" s="108"/>
      <c r="U82" s="108"/>
      <c r="V82" s="108"/>
      <c r="W82" s="108">
        <v>5830</v>
      </c>
    </row>
    <row r="83" spans="1:23" ht="25.5" hidden="1" outlineLevel="2" x14ac:dyDescent="0.2">
      <c r="A83" s="195"/>
      <c r="B83" s="195"/>
      <c r="C83" s="195"/>
      <c r="D83" s="195"/>
      <c r="E83" s="109" t="s">
        <v>59</v>
      </c>
      <c r="F83" s="109" t="s">
        <v>60</v>
      </c>
      <c r="G83" s="108">
        <v>278392</v>
      </c>
      <c r="H83" s="107">
        <v>148284</v>
      </c>
      <c r="I83" s="107">
        <v>43371</v>
      </c>
      <c r="J83" s="107">
        <v>310</v>
      </c>
      <c r="K83" s="107">
        <v>50622</v>
      </c>
      <c r="L83" s="107">
        <v>7342</v>
      </c>
      <c r="M83" s="107">
        <v>2600</v>
      </c>
      <c r="N83" s="107">
        <v>13</v>
      </c>
      <c r="O83" s="107"/>
      <c r="P83" s="107"/>
      <c r="Q83" s="107"/>
      <c r="R83" s="107">
        <v>24250</v>
      </c>
      <c r="S83" s="107"/>
      <c r="T83" s="107"/>
      <c r="U83" s="107"/>
      <c r="V83" s="107"/>
      <c r="W83" s="107">
        <v>1600</v>
      </c>
    </row>
    <row r="84" spans="1:23" ht="25.5" hidden="1" outlineLevel="2" x14ac:dyDescent="0.2">
      <c r="A84" s="196"/>
      <c r="B84" s="196"/>
      <c r="C84" s="196"/>
      <c r="D84" s="196"/>
      <c r="E84" s="111" t="s">
        <v>61</v>
      </c>
      <c r="F84" s="111" t="s">
        <v>816</v>
      </c>
      <c r="G84" s="108">
        <v>28260</v>
      </c>
      <c r="H84" s="110">
        <v>13124</v>
      </c>
      <c r="I84" s="110">
        <v>3871</v>
      </c>
      <c r="J84" s="110">
        <v>15</v>
      </c>
      <c r="K84" s="110">
        <v>7344</v>
      </c>
      <c r="L84" s="110">
        <v>745</v>
      </c>
      <c r="M84" s="110">
        <v>750</v>
      </c>
      <c r="N84" s="110">
        <v>11</v>
      </c>
      <c r="O84" s="110"/>
      <c r="P84" s="110"/>
      <c r="Q84" s="110"/>
      <c r="R84" s="110">
        <v>2400</v>
      </c>
      <c r="S84" s="110"/>
      <c r="T84" s="110"/>
      <c r="U84" s="110"/>
      <c r="V84" s="110"/>
      <c r="W84" s="110"/>
    </row>
    <row r="85" spans="1:23" ht="38.25" hidden="1" outlineLevel="2" x14ac:dyDescent="0.2">
      <c r="A85" s="195"/>
      <c r="B85" s="195"/>
      <c r="C85" s="195"/>
      <c r="D85" s="195"/>
      <c r="E85" s="109" t="s">
        <v>63</v>
      </c>
      <c r="F85" s="109" t="s">
        <v>904</v>
      </c>
      <c r="G85" s="108">
        <v>50927</v>
      </c>
      <c r="H85" s="107">
        <v>23008</v>
      </c>
      <c r="I85" s="107">
        <v>6691</v>
      </c>
      <c r="J85" s="107">
        <v>89</v>
      </c>
      <c r="K85" s="107">
        <v>14393</v>
      </c>
      <c r="L85" s="107">
        <v>2841</v>
      </c>
      <c r="M85" s="107">
        <v>750</v>
      </c>
      <c r="N85" s="107">
        <v>5</v>
      </c>
      <c r="O85" s="107"/>
      <c r="P85" s="107"/>
      <c r="Q85" s="107"/>
      <c r="R85" s="107">
        <v>3150</v>
      </c>
      <c r="S85" s="107"/>
      <c r="T85" s="107"/>
      <c r="U85" s="107"/>
      <c r="V85" s="107"/>
      <c r="W85" s="107"/>
    </row>
    <row r="86" spans="1:23" ht="25.5" hidden="1" outlineLevel="2" x14ac:dyDescent="0.2">
      <c r="A86" s="196"/>
      <c r="B86" s="196"/>
      <c r="C86" s="196"/>
      <c r="D86" s="196"/>
      <c r="E86" s="111" t="s">
        <v>65</v>
      </c>
      <c r="F86" s="111" t="s">
        <v>244</v>
      </c>
      <c r="G86" s="108">
        <v>21586</v>
      </c>
      <c r="H86" s="110">
        <v>12535</v>
      </c>
      <c r="I86" s="110">
        <v>3676</v>
      </c>
      <c r="J86" s="110"/>
      <c r="K86" s="110">
        <v>1625</v>
      </c>
      <c r="L86" s="110">
        <v>1045</v>
      </c>
      <c r="M86" s="110">
        <v>700</v>
      </c>
      <c r="N86" s="110">
        <v>5</v>
      </c>
      <c r="O86" s="110"/>
      <c r="P86" s="110"/>
      <c r="Q86" s="110"/>
      <c r="R86" s="110">
        <v>2000</v>
      </c>
      <c r="S86" s="110"/>
      <c r="T86" s="110"/>
      <c r="U86" s="110"/>
      <c r="V86" s="110"/>
      <c r="W86" s="110"/>
    </row>
    <row r="87" spans="1:23" ht="25.5" hidden="1" outlineLevel="2" x14ac:dyDescent="0.2">
      <c r="A87" s="195"/>
      <c r="B87" s="195"/>
      <c r="C87" s="195"/>
      <c r="D87" s="195"/>
      <c r="E87" s="109" t="s">
        <v>66</v>
      </c>
      <c r="F87" s="109" t="s">
        <v>245</v>
      </c>
      <c r="G87" s="108">
        <v>26803</v>
      </c>
      <c r="H87" s="107">
        <v>14883</v>
      </c>
      <c r="I87" s="107">
        <v>4652</v>
      </c>
      <c r="J87" s="107">
        <v>89</v>
      </c>
      <c r="K87" s="107">
        <v>925</v>
      </c>
      <c r="L87" s="107">
        <v>2147</v>
      </c>
      <c r="M87" s="107">
        <v>800</v>
      </c>
      <c r="N87" s="107">
        <v>7</v>
      </c>
      <c r="O87" s="107"/>
      <c r="P87" s="107"/>
      <c r="Q87" s="107"/>
      <c r="R87" s="107">
        <v>3300</v>
      </c>
      <c r="S87" s="107"/>
      <c r="T87" s="107"/>
      <c r="U87" s="107"/>
      <c r="V87" s="107"/>
      <c r="W87" s="107"/>
    </row>
    <row r="88" spans="1:23" ht="25.5" hidden="1" outlineLevel="2" x14ac:dyDescent="0.2">
      <c r="A88" s="196"/>
      <c r="B88" s="196"/>
      <c r="C88" s="196"/>
      <c r="D88" s="196"/>
      <c r="E88" s="111" t="s">
        <v>122</v>
      </c>
      <c r="F88" s="111" t="s">
        <v>123</v>
      </c>
      <c r="G88" s="108">
        <v>46954</v>
      </c>
      <c r="H88" s="110">
        <v>26220</v>
      </c>
      <c r="I88" s="110">
        <v>7664</v>
      </c>
      <c r="J88" s="110"/>
      <c r="K88" s="110">
        <v>1068</v>
      </c>
      <c r="L88" s="110">
        <v>2242</v>
      </c>
      <c r="M88" s="110">
        <v>1500</v>
      </c>
      <c r="N88" s="110">
        <v>50</v>
      </c>
      <c r="O88" s="110"/>
      <c r="P88" s="110"/>
      <c r="Q88" s="110"/>
      <c r="R88" s="110">
        <v>6800</v>
      </c>
      <c r="S88" s="110"/>
      <c r="T88" s="110"/>
      <c r="U88" s="110"/>
      <c r="V88" s="110"/>
      <c r="W88" s="110">
        <v>1410</v>
      </c>
    </row>
    <row r="89" spans="1:23" ht="25.5" hidden="1" outlineLevel="2" x14ac:dyDescent="0.2">
      <c r="A89" s="195"/>
      <c r="B89" s="195"/>
      <c r="C89" s="195"/>
      <c r="D89" s="195"/>
      <c r="E89" s="109" t="s">
        <v>124</v>
      </c>
      <c r="F89" s="109" t="s">
        <v>317</v>
      </c>
      <c r="G89" s="108">
        <v>23197</v>
      </c>
      <c r="H89" s="107">
        <v>9825</v>
      </c>
      <c r="I89" s="107">
        <v>2670</v>
      </c>
      <c r="J89" s="107">
        <v>215</v>
      </c>
      <c r="K89" s="107">
        <v>4428</v>
      </c>
      <c r="L89" s="107">
        <v>904</v>
      </c>
      <c r="M89" s="107">
        <v>750</v>
      </c>
      <c r="N89" s="107">
        <v>5</v>
      </c>
      <c r="O89" s="107"/>
      <c r="P89" s="107"/>
      <c r="Q89" s="107"/>
      <c r="R89" s="107">
        <v>4400</v>
      </c>
      <c r="S89" s="107"/>
      <c r="T89" s="107"/>
      <c r="U89" s="107"/>
      <c r="V89" s="107"/>
      <c r="W89" s="107"/>
    </row>
    <row r="90" spans="1:23" ht="25.5" hidden="1" outlineLevel="2" x14ac:dyDescent="0.2">
      <c r="A90" s="196"/>
      <c r="B90" s="196"/>
      <c r="C90" s="196"/>
      <c r="D90" s="196"/>
      <c r="E90" s="111" t="s">
        <v>138</v>
      </c>
      <c r="F90" s="111" t="s">
        <v>246</v>
      </c>
      <c r="G90" s="108">
        <v>55651</v>
      </c>
      <c r="H90" s="110">
        <v>28835</v>
      </c>
      <c r="I90" s="110">
        <v>9127</v>
      </c>
      <c r="J90" s="110">
        <v>295</v>
      </c>
      <c r="K90" s="110">
        <v>4257</v>
      </c>
      <c r="L90" s="110">
        <v>3117</v>
      </c>
      <c r="M90" s="110">
        <v>1500</v>
      </c>
      <c r="N90" s="110">
        <v>20</v>
      </c>
      <c r="O90" s="110"/>
      <c r="P90" s="110"/>
      <c r="Q90" s="110"/>
      <c r="R90" s="110">
        <v>7400</v>
      </c>
      <c r="S90" s="110"/>
      <c r="T90" s="110"/>
      <c r="U90" s="110"/>
      <c r="V90" s="110"/>
      <c r="W90" s="110">
        <v>1100</v>
      </c>
    </row>
    <row r="91" spans="1:23" ht="38.25" hidden="1" outlineLevel="2" x14ac:dyDescent="0.2">
      <c r="A91" s="195"/>
      <c r="B91" s="195"/>
      <c r="C91" s="195"/>
      <c r="D91" s="195"/>
      <c r="E91" s="109" t="s">
        <v>139</v>
      </c>
      <c r="F91" s="109" t="s">
        <v>905</v>
      </c>
      <c r="G91" s="108">
        <v>29599</v>
      </c>
      <c r="H91" s="107">
        <v>13796</v>
      </c>
      <c r="I91" s="107">
        <v>4140</v>
      </c>
      <c r="J91" s="107">
        <v>115</v>
      </c>
      <c r="K91" s="107">
        <v>958</v>
      </c>
      <c r="L91" s="107">
        <v>1465</v>
      </c>
      <c r="M91" s="107">
        <v>1800</v>
      </c>
      <c r="N91" s="107">
        <v>5</v>
      </c>
      <c r="O91" s="107"/>
      <c r="P91" s="107"/>
      <c r="Q91" s="107"/>
      <c r="R91" s="107">
        <v>5600</v>
      </c>
      <c r="S91" s="107"/>
      <c r="T91" s="107"/>
      <c r="U91" s="107"/>
      <c r="V91" s="107"/>
      <c r="W91" s="107">
        <v>1720</v>
      </c>
    </row>
    <row r="92" spans="1:23" ht="25.5" hidden="1" outlineLevel="2" x14ac:dyDescent="0.2">
      <c r="A92" s="196"/>
      <c r="B92" s="196"/>
      <c r="C92" s="196"/>
      <c r="D92" s="196"/>
      <c r="E92" s="111" t="s">
        <v>162</v>
      </c>
      <c r="F92" s="111" t="s">
        <v>248</v>
      </c>
      <c r="G92" s="108">
        <v>114598</v>
      </c>
      <c r="H92" s="110">
        <v>33758</v>
      </c>
      <c r="I92" s="110">
        <v>9156</v>
      </c>
      <c r="J92" s="110">
        <v>15</v>
      </c>
      <c r="K92" s="110">
        <v>8284</v>
      </c>
      <c r="L92" s="110">
        <v>7583</v>
      </c>
      <c r="M92" s="110">
        <v>1250</v>
      </c>
      <c r="N92" s="110">
        <v>5</v>
      </c>
      <c r="O92" s="110"/>
      <c r="P92" s="110"/>
      <c r="Q92" s="110"/>
      <c r="R92" s="110">
        <v>54547</v>
      </c>
      <c r="S92" s="110"/>
      <c r="T92" s="110"/>
      <c r="U92" s="110"/>
      <c r="V92" s="110"/>
      <c r="W92" s="110"/>
    </row>
    <row r="93" spans="1:23" ht="25.5" hidden="1" outlineLevel="2" x14ac:dyDescent="0.2">
      <c r="A93" s="195"/>
      <c r="B93" s="195"/>
      <c r="C93" s="195"/>
      <c r="D93" s="195"/>
      <c r="E93" s="109" t="s">
        <v>521</v>
      </c>
      <c r="F93" s="109" t="s">
        <v>520</v>
      </c>
      <c r="G93" s="108">
        <v>20306</v>
      </c>
      <c r="H93" s="107">
        <v>10787</v>
      </c>
      <c r="I93" s="107">
        <v>3181</v>
      </c>
      <c r="J93" s="107">
        <v>15</v>
      </c>
      <c r="K93" s="107">
        <v>1288</v>
      </c>
      <c r="L93" s="107">
        <v>1280</v>
      </c>
      <c r="M93" s="107">
        <v>850</v>
      </c>
      <c r="N93" s="107">
        <v>5</v>
      </c>
      <c r="O93" s="107"/>
      <c r="P93" s="107"/>
      <c r="Q93" s="107"/>
      <c r="R93" s="107">
        <v>2900</v>
      </c>
      <c r="S93" s="107"/>
      <c r="T93" s="107"/>
      <c r="U93" s="107"/>
      <c r="V93" s="107"/>
      <c r="W93" s="107"/>
    </row>
    <row r="94" spans="1:23" outlineLevel="1" collapsed="1" x14ac:dyDescent="0.2">
      <c r="A94" s="196"/>
      <c r="B94" s="196"/>
      <c r="C94" s="111" t="s">
        <v>67</v>
      </c>
      <c r="D94" s="196" t="s">
        <v>68</v>
      </c>
      <c r="E94" s="196"/>
      <c r="F94" s="196"/>
      <c r="G94" s="108">
        <v>3623035</v>
      </c>
      <c r="H94" s="108">
        <v>1304079</v>
      </c>
      <c r="I94" s="108">
        <v>372869</v>
      </c>
      <c r="J94" s="108">
        <v>11316</v>
      </c>
      <c r="K94" s="108">
        <v>959379</v>
      </c>
      <c r="L94" s="108">
        <v>163971</v>
      </c>
      <c r="M94" s="108"/>
      <c r="N94" s="108">
        <v>8450</v>
      </c>
      <c r="O94" s="108">
        <v>45000</v>
      </c>
      <c r="P94" s="108"/>
      <c r="Q94" s="108"/>
      <c r="R94" s="108">
        <v>757959</v>
      </c>
      <c r="S94" s="108"/>
      <c r="T94" s="108"/>
      <c r="U94" s="108"/>
      <c r="V94" s="108"/>
      <c r="W94" s="108">
        <v>12</v>
      </c>
    </row>
    <row r="95" spans="1:23" ht="25.5" hidden="1" outlineLevel="2" x14ac:dyDescent="0.2">
      <c r="A95" s="195"/>
      <c r="B95" s="195"/>
      <c r="C95" s="195"/>
      <c r="D95" s="195"/>
      <c r="E95" s="109" t="s">
        <v>69</v>
      </c>
      <c r="F95" s="109" t="s">
        <v>249</v>
      </c>
      <c r="G95" s="108">
        <v>1243537</v>
      </c>
      <c r="H95" s="107">
        <v>501448</v>
      </c>
      <c r="I95" s="107">
        <v>140241</v>
      </c>
      <c r="J95" s="107">
        <v>9932</v>
      </c>
      <c r="K95" s="107">
        <v>454027</v>
      </c>
      <c r="L95" s="107">
        <v>62239</v>
      </c>
      <c r="M95" s="107"/>
      <c r="N95" s="107">
        <v>4100</v>
      </c>
      <c r="O95" s="107">
        <v>45000</v>
      </c>
      <c r="P95" s="107"/>
      <c r="Q95" s="107"/>
      <c r="R95" s="107">
        <v>26538</v>
      </c>
      <c r="S95" s="107"/>
      <c r="T95" s="107"/>
      <c r="U95" s="107"/>
      <c r="V95" s="107"/>
      <c r="W95" s="107">
        <v>12</v>
      </c>
    </row>
    <row r="96" spans="1:23" ht="25.5" hidden="1" outlineLevel="2" x14ac:dyDescent="0.2">
      <c r="A96" s="196"/>
      <c r="B96" s="196"/>
      <c r="C96" s="196"/>
      <c r="D96" s="196"/>
      <c r="E96" s="111" t="s">
        <v>113</v>
      </c>
      <c r="F96" s="111" t="s">
        <v>250</v>
      </c>
      <c r="G96" s="108">
        <v>19520</v>
      </c>
      <c r="H96" s="110">
        <v>1836</v>
      </c>
      <c r="I96" s="110">
        <v>106</v>
      </c>
      <c r="J96" s="110"/>
      <c r="K96" s="110">
        <v>17302</v>
      </c>
      <c r="L96" s="110">
        <v>276</v>
      </c>
      <c r="M96" s="110"/>
      <c r="N96" s="110"/>
      <c r="O96" s="110"/>
      <c r="P96" s="110"/>
      <c r="Q96" s="110"/>
      <c r="R96" s="110"/>
      <c r="S96" s="110"/>
      <c r="T96" s="110"/>
      <c r="U96" s="110"/>
      <c r="V96" s="110"/>
      <c r="W96" s="110"/>
    </row>
    <row r="97" spans="1:23" ht="25.5" hidden="1" outlineLevel="2" x14ac:dyDescent="0.2">
      <c r="A97" s="195"/>
      <c r="B97" s="195"/>
      <c r="C97" s="195"/>
      <c r="D97" s="195"/>
      <c r="E97" s="109" t="s">
        <v>70</v>
      </c>
      <c r="F97" s="109" t="s">
        <v>251</v>
      </c>
      <c r="G97" s="108">
        <v>126751</v>
      </c>
      <c r="H97" s="107">
        <v>66832</v>
      </c>
      <c r="I97" s="107">
        <v>20049</v>
      </c>
      <c r="J97" s="107">
        <v>200</v>
      </c>
      <c r="K97" s="107">
        <v>24637</v>
      </c>
      <c r="L97" s="107">
        <v>11299</v>
      </c>
      <c r="M97" s="107"/>
      <c r="N97" s="107">
        <v>868</v>
      </c>
      <c r="O97" s="107"/>
      <c r="P97" s="107"/>
      <c r="Q97" s="107"/>
      <c r="R97" s="107">
        <v>2866</v>
      </c>
      <c r="S97" s="107"/>
      <c r="T97" s="107"/>
      <c r="U97" s="107"/>
      <c r="V97" s="107"/>
      <c r="W97" s="107"/>
    </row>
    <row r="98" spans="1:23" ht="25.5" hidden="1" outlineLevel="2" x14ac:dyDescent="0.2">
      <c r="A98" s="196"/>
      <c r="B98" s="196"/>
      <c r="C98" s="196"/>
      <c r="D98" s="196"/>
      <c r="E98" s="111" t="s">
        <v>71</v>
      </c>
      <c r="F98" s="111" t="s">
        <v>252</v>
      </c>
      <c r="G98" s="108">
        <v>92856</v>
      </c>
      <c r="H98" s="110">
        <v>48617</v>
      </c>
      <c r="I98" s="110">
        <v>13285</v>
      </c>
      <c r="J98" s="110"/>
      <c r="K98" s="110">
        <v>21168</v>
      </c>
      <c r="L98" s="110">
        <v>9786</v>
      </c>
      <c r="M98" s="110"/>
      <c r="N98" s="110"/>
      <c r="O98" s="110"/>
      <c r="P98" s="110"/>
      <c r="Q98" s="110"/>
      <c r="R98" s="110"/>
      <c r="S98" s="110"/>
      <c r="T98" s="110"/>
      <c r="U98" s="110"/>
      <c r="V98" s="110"/>
      <c r="W98" s="110"/>
    </row>
    <row r="99" spans="1:23" ht="25.5" hidden="1" outlineLevel="2" x14ac:dyDescent="0.2">
      <c r="A99" s="195"/>
      <c r="B99" s="195"/>
      <c r="C99" s="195"/>
      <c r="D99" s="195"/>
      <c r="E99" s="109" t="s">
        <v>72</v>
      </c>
      <c r="F99" s="109" t="s">
        <v>253</v>
      </c>
      <c r="G99" s="108">
        <v>97485</v>
      </c>
      <c r="H99" s="107">
        <v>48642</v>
      </c>
      <c r="I99" s="107">
        <v>13168</v>
      </c>
      <c r="J99" s="107">
        <v>124</v>
      </c>
      <c r="K99" s="107">
        <v>22392</v>
      </c>
      <c r="L99" s="107">
        <v>13002</v>
      </c>
      <c r="M99" s="107"/>
      <c r="N99" s="107">
        <v>157</v>
      </c>
      <c r="O99" s="107"/>
      <c r="P99" s="107"/>
      <c r="Q99" s="107"/>
      <c r="R99" s="107"/>
      <c r="S99" s="107"/>
      <c r="T99" s="107"/>
      <c r="U99" s="107"/>
      <c r="V99" s="107"/>
      <c r="W99" s="107"/>
    </row>
    <row r="100" spans="1:23" ht="38.25" hidden="1" outlineLevel="2" x14ac:dyDescent="0.2">
      <c r="A100" s="196"/>
      <c r="B100" s="196"/>
      <c r="C100" s="196"/>
      <c r="D100" s="196"/>
      <c r="E100" s="111" t="s">
        <v>73</v>
      </c>
      <c r="F100" s="111" t="s">
        <v>254</v>
      </c>
      <c r="G100" s="108">
        <v>64228</v>
      </c>
      <c r="H100" s="110">
        <v>14590</v>
      </c>
      <c r="I100" s="110">
        <v>4165</v>
      </c>
      <c r="J100" s="110"/>
      <c r="K100" s="110">
        <v>43333</v>
      </c>
      <c r="L100" s="110">
        <v>1950</v>
      </c>
      <c r="M100" s="110"/>
      <c r="N100" s="110">
        <v>190</v>
      </c>
      <c r="O100" s="110"/>
      <c r="P100" s="110"/>
      <c r="Q100" s="110"/>
      <c r="R100" s="110"/>
      <c r="S100" s="110"/>
      <c r="T100" s="110"/>
      <c r="U100" s="110"/>
      <c r="V100" s="110"/>
      <c r="W100" s="110"/>
    </row>
    <row r="101" spans="1:23" ht="25.5" hidden="1" outlineLevel="2" x14ac:dyDescent="0.2">
      <c r="A101" s="195"/>
      <c r="B101" s="195"/>
      <c r="C101" s="195"/>
      <c r="D101" s="195"/>
      <c r="E101" s="109" t="s">
        <v>125</v>
      </c>
      <c r="F101" s="109" t="s">
        <v>126</v>
      </c>
      <c r="G101" s="108">
        <v>1110711</v>
      </c>
      <c r="H101" s="107">
        <v>220485</v>
      </c>
      <c r="I101" s="107">
        <v>66883</v>
      </c>
      <c r="J101" s="107">
        <v>550</v>
      </c>
      <c r="K101" s="107">
        <v>114329</v>
      </c>
      <c r="L101" s="107">
        <v>19505</v>
      </c>
      <c r="M101" s="107"/>
      <c r="N101" s="107">
        <v>1102</v>
      </c>
      <c r="O101" s="107"/>
      <c r="P101" s="107"/>
      <c r="Q101" s="107"/>
      <c r="R101" s="107">
        <v>687857</v>
      </c>
      <c r="S101" s="107"/>
      <c r="T101" s="107"/>
      <c r="U101" s="107"/>
      <c r="V101" s="107"/>
      <c r="W101" s="107"/>
    </row>
    <row r="102" spans="1:23" ht="38.25" hidden="1" outlineLevel="2" x14ac:dyDescent="0.2">
      <c r="A102" s="196"/>
      <c r="B102" s="196"/>
      <c r="C102" s="196"/>
      <c r="D102" s="196"/>
      <c r="E102" s="111" t="s">
        <v>563</v>
      </c>
      <c r="F102" s="111" t="s">
        <v>817</v>
      </c>
      <c r="G102" s="108">
        <v>31395</v>
      </c>
      <c r="H102" s="110">
        <v>16108</v>
      </c>
      <c r="I102" s="110">
        <v>4317</v>
      </c>
      <c r="J102" s="110">
        <v>60</v>
      </c>
      <c r="K102" s="110">
        <v>6476</v>
      </c>
      <c r="L102" s="110">
        <v>2347</v>
      </c>
      <c r="M102" s="110"/>
      <c r="N102" s="110">
        <v>87</v>
      </c>
      <c r="O102" s="110"/>
      <c r="P102" s="110"/>
      <c r="Q102" s="110"/>
      <c r="R102" s="110">
        <v>2000</v>
      </c>
      <c r="S102" s="110"/>
      <c r="T102" s="110"/>
      <c r="U102" s="110"/>
      <c r="V102" s="110"/>
      <c r="W102" s="110"/>
    </row>
    <row r="103" spans="1:23" ht="25.5" hidden="1" outlineLevel="2" x14ac:dyDescent="0.2">
      <c r="A103" s="195"/>
      <c r="B103" s="195"/>
      <c r="C103" s="195"/>
      <c r="D103" s="195"/>
      <c r="E103" s="109" t="s">
        <v>140</v>
      </c>
      <c r="F103" s="109" t="s">
        <v>255</v>
      </c>
      <c r="G103" s="108">
        <v>232580</v>
      </c>
      <c r="H103" s="107">
        <v>132969</v>
      </c>
      <c r="I103" s="107">
        <v>37989</v>
      </c>
      <c r="J103" s="107">
        <v>100</v>
      </c>
      <c r="K103" s="107">
        <v>39086</v>
      </c>
      <c r="L103" s="107">
        <v>11183</v>
      </c>
      <c r="M103" s="107"/>
      <c r="N103" s="107">
        <v>540</v>
      </c>
      <c r="O103" s="107"/>
      <c r="P103" s="107"/>
      <c r="Q103" s="107"/>
      <c r="R103" s="107">
        <v>10713</v>
      </c>
      <c r="S103" s="107"/>
      <c r="T103" s="107"/>
      <c r="U103" s="107"/>
      <c r="V103" s="107"/>
      <c r="W103" s="107"/>
    </row>
    <row r="104" spans="1:23" ht="25.5" hidden="1" outlineLevel="2" x14ac:dyDescent="0.2">
      <c r="A104" s="196"/>
      <c r="B104" s="196"/>
      <c r="C104" s="196"/>
      <c r="D104" s="196"/>
      <c r="E104" s="111" t="s">
        <v>906</v>
      </c>
      <c r="F104" s="111" t="s">
        <v>825</v>
      </c>
      <c r="G104" s="108">
        <v>39524</v>
      </c>
      <c r="H104" s="110"/>
      <c r="I104" s="110"/>
      <c r="J104" s="110"/>
      <c r="K104" s="110">
        <v>12557</v>
      </c>
      <c r="L104" s="110">
        <v>4573</v>
      </c>
      <c r="M104" s="110"/>
      <c r="N104" s="110"/>
      <c r="O104" s="110"/>
      <c r="P104" s="110"/>
      <c r="Q104" s="110"/>
      <c r="R104" s="110">
        <v>22394</v>
      </c>
      <c r="S104" s="110"/>
      <c r="T104" s="110"/>
      <c r="U104" s="110"/>
      <c r="V104" s="110"/>
      <c r="W104" s="110"/>
    </row>
    <row r="105" spans="1:23" ht="25.5" hidden="1" outlineLevel="2" x14ac:dyDescent="0.2">
      <c r="A105" s="195"/>
      <c r="B105" s="195"/>
      <c r="C105" s="195"/>
      <c r="D105" s="195"/>
      <c r="E105" s="109" t="s">
        <v>141</v>
      </c>
      <c r="F105" s="109" t="s">
        <v>256</v>
      </c>
      <c r="G105" s="108">
        <v>170272</v>
      </c>
      <c r="H105" s="107">
        <v>81366</v>
      </c>
      <c r="I105" s="107">
        <v>22792</v>
      </c>
      <c r="J105" s="107">
        <v>150</v>
      </c>
      <c r="K105" s="107">
        <v>54014</v>
      </c>
      <c r="L105" s="107">
        <v>8449</v>
      </c>
      <c r="M105" s="107"/>
      <c r="N105" s="107">
        <v>110</v>
      </c>
      <c r="O105" s="107"/>
      <c r="P105" s="107"/>
      <c r="Q105" s="107"/>
      <c r="R105" s="107">
        <v>3391</v>
      </c>
      <c r="S105" s="107"/>
      <c r="T105" s="107"/>
      <c r="U105" s="107"/>
      <c r="V105" s="107"/>
      <c r="W105" s="107"/>
    </row>
    <row r="106" spans="1:23" ht="25.5" hidden="1" outlineLevel="2" x14ac:dyDescent="0.2">
      <c r="A106" s="196"/>
      <c r="B106" s="196"/>
      <c r="C106" s="196"/>
      <c r="D106" s="196"/>
      <c r="E106" s="111" t="s">
        <v>172</v>
      </c>
      <c r="F106" s="111" t="s">
        <v>171</v>
      </c>
      <c r="G106" s="108">
        <v>63529</v>
      </c>
      <c r="H106" s="110">
        <v>29899</v>
      </c>
      <c r="I106" s="110">
        <v>7837</v>
      </c>
      <c r="J106" s="110"/>
      <c r="K106" s="110">
        <v>21812</v>
      </c>
      <c r="L106" s="110">
        <v>3085</v>
      </c>
      <c r="M106" s="110"/>
      <c r="N106" s="110">
        <v>896</v>
      </c>
      <c r="O106" s="110"/>
      <c r="P106" s="110"/>
      <c r="Q106" s="110"/>
      <c r="R106" s="110"/>
      <c r="S106" s="110"/>
      <c r="T106" s="110"/>
      <c r="U106" s="110"/>
      <c r="V106" s="110"/>
      <c r="W106" s="110"/>
    </row>
    <row r="107" spans="1:23" ht="25.5" hidden="1" outlineLevel="2" x14ac:dyDescent="0.2">
      <c r="A107" s="195"/>
      <c r="B107" s="195"/>
      <c r="C107" s="195"/>
      <c r="D107" s="195"/>
      <c r="E107" s="109" t="s">
        <v>163</v>
      </c>
      <c r="F107" s="109" t="s">
        <v>257</v>
      </c>
      <c r="G107" s="108">
        <v>330647</v>
      </c>
      <c r="H107" s="107">
        <v>141287</v>
      </c>
      <c r="I107" s="107">
        <v>42037</v>
      </c>
      <c r="J107" s="107">
        <v>200</v>
      </c>
      <c r="K107" s="107">
        <v>128246</v>
      </c>
      <c r="L107" s="107">
        <v>16277</v>
      </c>
      <c r="M107" s="107"/>
      <c r="N107" s="107">
        <v>400</v>
      </c>
      <c r="O107" s="107"/>
      <c r="P107" s="107"/>
      <c r="Q107" s="107"/>
      <c r="R107" s="107">
        <v>2200</v>
      </c>
      <c r="S107" s="107"/>
      <c r="T107" s="107"/>
      <c r="U107" s="107"/>
      <c r="V107" s="107"/>
      <c r="W107" s="107"/>
    </row>
    <row r="108" spans="1:23" outlineLevel="1" collapsed="1" x14ac:dyDescent="0.2">
      <c r="A108" s="196"/>
      <c r="B108" s="196"/>
      <c r="C108" s="111" t="s">
        <v>258</v>
      </c>
      <c r="D108" s="196" t="s">
        <v>318</v>
      </c>
      <c r="E108" s="196"/>
      <c r="F108" s="196"/>
      <c r="G108" s="108">
        <v>80000</v>
      </c>
      <c r="H108" s="108"/>
      <c r="I108" s="108"/>
      <c r="J108" s="108"/>
      <c r="K108" s="108"/>
      <c r="L108" s="108"/>
      <c r="M108" s="108"/>
      <c r="N108" s="108"/>
      <c r="O108" s="108">
        <v>78855</v>
      </c>
      <c r="P108" s="108"/>
      <c r="Q108" s="108"/>
      <c r="R108" s="108"/>
      <c r="S108" s="108"/>
      <c r="T108" s="108"/>
      <c r="U108" s="108">
        <v>1145</v>
      </c>
      <c r="V108" s="108"/>
      <c r="W108" s="108"/>
    </row>
    <row r="109" spans="1:23" ht="51" hidden="1" outlineLevel="2" x14ac:dyDescent="0.2">
      <c r="A109" s="195"/>
      <c r="B109" s="195"/>
      <c r="C109" s="195"/>
      <c r="D109" s="195"/>
      <c r="E109" s="109" t="s">
        <v>74</v>
      </c>
      <c r="F109" s="109" t="s">
        <v>259</v>
      </c>
      <c r="G109" s="108">
        <v>80000</v>
      </c>
      <c r="H109" s="107"/>
      <c r="I109" s="107"/>
      <c r="J109" s="107"/>
      <c r="K109" s="107"/>
      <c r="L109" s="107"/>
      <c r="M109" s="107"/>
      <c r="N109" s="107"/>
      <c r="O109" s="107">
        <v>78855</v>
      </c>
      <c r="P109" s="107"/>
      <c r="Q109" s="107"/>
      <c r="R109" s="107"/>
      <c r="S109" s="107"/>
      <c r="T109" s="107"/>
      <c r="U109" s="107">
        <v>1145</v>
      </c>
      <c r="V109" s="107"/>
      <c r="W109" s="107"/>
    </row>
    <row r="110" spans="1:23" x14ac:dyDescent="0.2">
      <c r="A110" s="111" t="s">
        <v>75</v>
      </c>
      <c r="B110" s="196" t="s">
        <v>76</v>
      </c>
      <c r="C110" s="196"/>
      <c r="D110" s="196"/>
      <c r="E110" s="196"/>
      <c r="F110" s="196"/>
      <c r="G110" s="108">
        <v>28814235</v>
      </c>
      <c r="H110" s="108">
        <v>15479167</v>
      </c>
      <c r="I110" s="108">
        <v>4450652</v>
      </c>
      <c r="J110" s="108">
        <v>103900</v>
      </c>
      <c r="K110" s="108">
        <v>3373024</v>
      </c>
      <c r="L110" s="108">
        <v>3528050</v>
      </c>
      <c r="M110" s="108">
        <v>2382</v>
      </c>
      <c r="N110" s="108">
        <v>86661</v>
      </c>
      <c r="O110" s="108">
        <v>942193</v>
      </c>
      <c r="P110" s="108"/>
      <c r="Q110" s="108"/>
      <c r="R110" s="108">
        <v>706371</v>
      </c>
      <c r="S110" s="108"/>
      <c r="T110" s="108"/>
      <c r="U110" s="108">
        <v>140085</v>
      </c>
      <c r="V110" s="108"/>
      <c r="W110" s="108">
        <v>1750</v>
      </c>
    </row>
    <row r="111" spans="1:23" outlineLevel="1" collapsed="1" x14ac:dyDescent="0.2">
      <c r="A111" s="195"/>
      <c r="B111" s="195"/>
      <c r="C111" s="109" t="s">
        <v>77</v>
      </c>
      <c r="D111" s="195" t="s">
        <v>519</v>
      </c>
      <c r="E111" s="195"/>
      <c r="F111" s="195"/>
      <c r="G111" s="108">
        <v>8905342</v>
      </c>
      <c r="H111" s="108">
        <v>5309422</v>
      </c>
      <c r="I111" s="108">
        <v>1560809</v>
      </c>
      <c r="J111" s="108">
        <v>13566</v>
      </c>
      <c r="K111" s="108">
        <v>662364</v>
      </c>
      <c r="L111" s="108">
        <v>240140</v>
      </c>
      <c r="M111" s="108"/>
      <c r="N111" s="108">
        <v>17143</v>
      </c>
      <c r="O111" s="108">
        <v>714983</v>
      </c>
      <c r="P111" s="108"/>
      <c r="Q111" s="108"/>
      <c r="R111" s="108">
        <v>289646</v>
      </c>
      <c r="S111" s="108"/>
      <c r="T111" s="108"/>
      <c r="U111" s="108">
        <v>97269</v>
      </c>
      <c r="V111" s="108"/>
      <c r="W111" s="108"/>
    </row>
    <row r="112" spans="1:23" hidden="1" outlineLevel="2" x14ac:dyDescent="0.2">
      <c r="A112" s="196"/>
      <c r="B112" s="196"/>
      <c r="C112" s="196"/>
      <c r="D112" s="196"/>
      <c r="E112" s="111" t="s">
        <v>78</v>
      </c>
      <c r="F112" s="111" t="s">
        <v>564</v>
      </c>
      <c r="G112" s="108">
        <v>975016</v>
      </c>
      <c r="H112" s="110">
        <v>631372</v>
      </c>
      <c r="I112" s="110">
        <v>183081</v>
      </c>
      <c r="J112" s="110">
        <v>895</v>
      </c>
      <c r="K112" s="110">
        <v>68716</v>
      </c>
      <c r="L112" s="110">
        <v>25321</v>
      </c>
      <c r="M112" s="110"/>
      <c r="N112" s="110">
        <v>2705</v>
      </c>
      <c r="O112" s="110"/>
      <c r="P112" s="110"/>
      <c r="Q112" s="110"/>
      <c r="R112" s="110">
        <v>62926</v>
      </c>
      <c r="S112" s="110"/>
      <c r="T112" s="110"/>
      <c r="U112" s="110"/>
      <c r="V112" s="110"/>
      <c r="W112" s="110"/>
    </row>
    <row r="113" spans="1:23" hidden="1" outlineLevel="2" x14ac:dyDescent="0.2">
      <c r="A113" s="195"/>
      <c r="B113" s="195"/>
      <c r="C113" s="195"/>
      <c r="D113" s="195"/>
      <c r="E113" s="109" t="s">
        <v>79</v>
      </c>
      <c r="F113" s="109" t="s">
        <v>261</v>
      </c>
      <c r="G113" s="108">
        <v>562801</v>
      </c>
      <c r="H113" s="107">
        <v>376670</v>
      </c>
      <c r="I113" s="107">
        <v>110818</v>
      </c>
      <c r="J113" s="107">
        <v>24</v>
      </c>
      <c r="K113" s="107">
        <v>48586</v>
      </c>
      <c r="L113" s="107">
        <v>13336</v>
      </c>
      <c r="M113" s="107"/>
      <c r="N113" s="107">
        <v>241</v>
      </c>
      <c r="O113" s="107"/>
      <c r="P113" s="107"/>
      <c r="Q113" s="107"/>
      <c r="R113" s="107">
        <v>13126</v>
      </c>
      <c r="S113" s="107"/>
      <c r="T113" s="107"/>
      <c r="U113" s="107"/>
      <c r="V113" s="107"/>
      <c r="W113" s="107"/>
    </row>
    <row r="114" spans="1:23" hidden="1" outlineLevel="2" x14ac:dyDescent="0.2">
      <c r="A114" s="196"/>
      <c r="B114" s="196"/>
      <c r="C114" s="196"/>
      <c r="D114" s="196"/>
      <c r="E114" s="111" t="s">
        <v>80</v>
      </c>
      <c r="F114" s="111" t="s">
        <v>262</v>
      </c>
      <c r="G114" s="108">
        <v>835778</v>
      </c>
      <c r="H114" s="110">
        <v>564254</v>
      </c>
      <c r="I114" s="110">
        <v>168630</v>
      </c>
      <c r="J114" s="110">
        <v>100</v>
      </c>
      <c r="K114" s="110">
        <v>74961</v>
      </c>
      <c r="L114" s="110">
        <v>20329</v>
      </c>
      <c r="M114" s="110"/>
      <c r="N114" s="110">
        <v>2860</v>
      </c>
      <c r="O114" s="110"/>
      <c r="P114" s="110"/>
      <c r="Q114" s="110"/>
      <c r="R114" s="110">
        <v>4644</v>
      </c>
      <c r="S114" s="110"/>
      <c r="T114" s="110"/>
      <c r="U114" s="110"/>
      <c r="V114" s="110"/>
      <c r="W114" s="110"/>
    </row>
    <row r="115" spans="1:23" ht="25.5" hidden="1" outlineLevel="2" x14ac:dyDescent="0.2">
      <c r="A115" s="195"/>
      <c r="B115" s="195"/>
      <c r="C115" s="195"/>
      <c r="D115" s="195"/>
      <c r="E115" s="109" t="s">
        <v>81</v>
      </c>
      <c r="F115" s="109" t="s">
        <v>263</v>
      </c>
      <c r="G115" s="108">
        <v>812252</v>
      </c>
      <c r="H115" s="107"/>
      <c r="I115" s="107"/>
      <c r="J115" s="107"/>
      <c r="K115" s="107"/>
      <c r="L115" s="107"/>
      <c r="M115" s="107"/>
      <c r="N115" s="107"/>
      <c r="O115" s="107">
        <v>714983</v>
      </c>
      <c r="P115" s="107"/>
      <c r="Q115" s="107"/>
      <c r="R115" s="107"/>
      <c r="S115" s="107"/>
      <c r="T115" s="107"/>
      <c r="U115" s="107">
        <v>97269</v>
      </c>
      <c r="V115" s="107"/>
      <c r="W115" s="107"/>
    </row>
    <row r="116" spans="1:23" hidden="1" outlineLevel="2" x14ac:dyDescent="0.2">
      <c r="A116" s="196"/>
      <c r="B116" s="196"/>
      <c r="C116" s="196"/>
      <c r="D116" s="196"/>
      <c r="E116" s="111" t="s">
        <v>82</v>
      </c>
      <c r="F116" s="111" t="s">
        <v>264</v>
      </c>
      <c r="G116" s="108">
        <v>566338</v>
      </c>
      <c r="H116" s="110">
        <v>385126</v>
      </c>
      <c r="I116" s="110">
        <v>112544</v>
      </c>
      <c r="J116" s="110">
        <v>10076</v>
      </c>
      <c r="K116" s="110">
        <v>31816</v>
      </c>
      <c r="L116" s="110">
        <v>20206</v>
      </c>
      <c r="M116" s="110"/>
      <c r="N116" s="110">
        <v>2530</v>
      </c>
      <c r="O116" s="110"/>
      <c r="P116" s="110"/>
      <c r="Q116" s="110"/>
      <c r="R116" s="110">
        <v>4040</v>
      </c>
      <c r="S116" s="110"/>
      <c r="T116" s="110"/>
      <c r="U116" s="110"/>
      <c r="V116" s="110"/>
      <c r="W116" s="110"/>
    </row>
    <row r="117" spans="1:23" ht="51" hidden="1" outlineLevel="2" x14ac:dyDescent="0.2">
      <c r="A117" s="195"/>
      <c r="B117" s="195"/>
      <c r="C117" s="195"/>
      <c r="D117" s="195"/>
      <c r="E117" s="109" t="s">
        <v>83</v>
      </c>
      <c r="F117" s="109" t="s">
        <v>265</v>
      </c>
      <c r="G117" s="108">
        <v>434827</v>
      </c>
      <c r="H117" s="107">
        <v>289769</v>
      </c>
      <c r="I117" s="107">
        <v>84661</v>
      </c>
      <c r="J117" s="107">
        <v>90</v>
      </c>
      <c r="K117" s="107">
        <v>21228</v>
      </c>
      <c r="L117" s="107">
        <v>34710</v>
      </c>
      <c r="M117" s="107"/>
      <c r="N117" s="107">
        <v>347</v>
      </c>
      <c r="O117" s="107"/>
      <c r="P117" s="107"/>
      <c r="Q117" s="107"/>
      <c r="R117" s="107">
        <v>4022</v>
      </c>
      <c r="S117" s="107"/>
      <c r="T117" s="107"/>
      <c r="U117" s="107"/>
      <c r="V117" s="107"/>
      <c r="W117" s="107"/>
    </row>
    <row r="118" spans="1:23" ht="25.5" hidden="1" outlineLevel="2" x14ac:dyDescent="0.2">
      <c r="A118" s="196"/>
      <c r="B118" s="196"/>
      <c r="C118" s="196"/>
      <c r="D118" s="196"/>
      <c r="E118" s="111" t="s">
        <v>84</v>
      </c>
      <c r="F118" s="111" t="s">
        <v>266</v>
      </c>
      <c r="G118" s="108">
        <v>529019</v>
      </c>
      <c r="H118" s="110">
        <v>361420</v>
      </c>
      <c r="I118" s="110">
        <v>109106</v>
      </c>
      <c r="J118" s="110">
        <v>144</v>
      </c>
      <c r="K118" s="110">
        <v>32592</v>
      </c>
      <c r="L118" s="110">
        <v>15700</v>
      </c>
      <c r="M118" s="110"/>
      <c r="N118" s="110">
        <v>2303</v>
      </c>
      <c r="O118" s="110"/>
      <c r="P118" s="110"/>
      <c r="Q118" s="110"/>
      <c r="R118" s="110">
        <v>7754</v>
      </c>
      <c r="S118" s="110"/>
      <c r="T118" s="110"/>
      <c r="U118" s="110"/>
      <c r="V118" s="110"/>
      <c r="W118" s="110"/>
    </row>
    <row r="119" spans="1:23" ht="25.5" hidden="1" outlineLevel="2" x14ac:dyDescent="0.2">
      <c r="A119" s="195"/>
      <c r="B119" s="195"/>
      <c r="C119" s="195"/>
      <c r="D119" s="195"/>
      <c r="E119" s="109" t="s">
        <v>85</v>
      </c>
      <c r="F119" s="109" t="s">
        <v>267</v>
      </c>
      <c r="G119" s="108">
        <v>1112856</v>
      </c>
      <c r="H119" s="107">
        <v>688234</v>
      </c>
      <c r="I119" s="107">
        <v>198587</v>
      </c>
      <c r="J119" s="107"/>
      <c r="K119" s="107">
        <v>86335</v>
      </c>
      <c r="L119" s="107">
        <v>23221</v>
      </c>
      <c r="M119" s="107"/>
      <c r="N119" s="107">
        <v>1234</v>
      </c>
      <c r="O119" s="107"/>
      <c r="P119" s="107"/>
      <c r="Q119" s="107"/>
      <c r="R119" s="107">
        <v>115245</v>
      </c>
      <c r="S119" s="107"/>
      <c r="T119" s="107"/>
      <c r="U119" s="107"/>
      <c r="V119" s="107"/>
      <c r="W119" s="107"/>
    </row>
    <row r="120" spans="1:23" ht="25.5" hidden="1" outlineLevel="2" x14ac:dyDescent="0.2">
      <c r="A120" s="196"/>
      <c r="B120" s="196"/>
      <c r="C120" s="196"/>
      <c r="D120" s="196"/>
      <c r="E120" s="111" t="s">
        <v>127</v>
      </c>
      <c r="F120" s="111" t="s">
        <v>205</v>
      </c>
      <c r="G120" s="108">
        <v>748440</v>
      </c>
      <c r="H120" s="110">
        <v>511677</v>
      </c>
      <c r="I120" s="110">
        <v>152567</v>
      </c>
      <c r="J120" s="110">
        <v>525</v>
      </c>
      <c r="K120" s="110">
        <v>54832</v>
      </c>
      <c r="L120" s="110">
        <v>22295</v>
      </c>
      <c r="M120" s="110"/>
      <c r="N120" s="110">
        <v>1720</v>
      </c>
      <c r="O120" s="110"/>
      <c r="P120" s="110"/>
      <c r="Q120" s="110"/>
      <c r="R120" s="110">
        <v>4824</v>
      </c>
      <c r="S120" s="110"/>
      <c r="T120" s="110"/>
      <c r="U120" s="110"/>
      <c r="V120" s="110"/>
      <c r="W120" s="110"/>
    </row>
    <row r="121" spans="1:23" ht="25.5" hidden="1" outlineLevel="2" x14ac:dyDescent="0.2">
      <c r="A121" s="195"/>
      <c r="B121" s="195"/>
      <c r="C121" s="195"/>
      <c r="D121" s="195"/>
      <c r="E121" s="109" t="s">
        <v>146</v>
      </c>
      <c r="F121" s="109" t="s">
        <v>268</v>
      </c>
      <c r="G121" s="108">
        <v>707244</v>
      </c>
      <c r="H121" s="107">
        <v>430294</v>
      </c>
      <c r="I121" s="107">
        <v>122575</v>
      </c>
      <c r="J121" s="107">
        <v>927</v>
      </c>
      <c r="K121" s="107">
        <v>72933</v>
      </c>
      <c r="L121" s="107">
        <v>20032</v>
      </c>
      <c r="M121" s="107"/>
      <c r="N121" s="107">
        <v>1110</v>
      </c>
      <c r="O121" s="107"/>
      <c r="P121" s="107"/>
      <c r="Q121" s="107"/>
      <c r="R121" s="107">
        <v>59373</v>
      </c>
      <c r="S121" s="107"/>
      <c r="T121" s="107"/>
      <c r="U121" s="107"/>
      <c r="V121" s="107"/>
      <c r="W121" s="107"/>
    </row>
    <row r="122" spans="1:23" hidden="1" outlineLevel="2" x14ac:dyDescent="0.2">
      <c r="A122" s="196"/>
      <c r="B122" s="196"/>
      <c r="C122" s="196"/>
      <c r="D122" s="196"/>
      <c r="E122" s="111" t="s">
        <v>136</v>
      </c>
      <c r="F122" s="111" t="s">
        <v>269</v>
      </c>
      <c r="G122" s="108">
        <v>713205</v>
      </c>
      <c r="H122" s="110">
        <v>455179</v>
      </c>
      <c r="I122" s="110">
        <v>139395</v>
      </c>
      <c r="J122" s="110">
        <v>465</v>
      </c>
      <c r="K122" s="110">
        <v>89405</v>
      </c>
      <c r="L122" s="110">
        <v>23667</v>
      </c>
      <c r="M122" s="110"/>
      <c r="N122" s="110">
        <v>2070</v>
      </c>
      <c r="O122" s="110"/>
      <c r="P122" s="110"/>
      <c r="Q122" s="110"/>
      <c r="R122" s="110">
        <v>3024</v>
      </c>
      <c r="S122" s="110"/>
      <c r="T122" s="110"/>
      <c r="U122" s="110"/>
      <c r="V122" s="110"/>
      <c r="W122" s="110"/>
    </row>
    <row r="123" spans="1:23" hidden="1" outlineLevel="2" x14ac:dyDescent="0.2">
      <c r="A123" s="195"/>
      <c r="B123" s="195"/>
      <c r="C123" s="195"/>
      <c r="D123" s="195"/>
      <c r="E123" s="109" t="s">
        <v>142</v>
      </c>
      <c r="F123" s="109" t="s">
        <v>270</v>
      </c>
      <c r="G123" s="108">
        <v>433300</v>
      </c>
      <c r="H123" s="107">
        <v>264695</v>
      </c>
      <c r="I123" s="107">
        <v>79870</v>
      </c>
      <c r="J123" s="107">
        <v>40</v>
      </c>
      <c r="K123" s="107">
        <v>71162</v>
      </c>
      <c r="L123" s="107">
        <v>10284</v>
      </c>
      <c r="M123" s="107"/>
      <c r="N123" s="107">
        <v>23</v>
      </c>
      <c r="O123" s="107"/>
      <c r="P123" s="107"/>
      <c r="Q123" s="107"/>
      <c r="R123" s="107">
        <v>7226</v>
      </c>
      <c r="S123" s="107"/>
      <c r="T123" s="107"/>
      <c r="U123" s="107"/>
      <c r="V123" s="107"/>
      <c r="W123" s="107"/>
    </row>
    <row r="124" spans="1:23" ht="25.5" hidden="1" outlineLevel="2" x14ac:dyDescent="0.2">
      <c r="A124" s="196"/>
      <c r="B124" s="196"/>
      <c r="C124" s="196"/>
      <c r="D124" s="196"/>
      <c r="E124" s="111" t="s">
        <v>143</v>
      </c>
      <c r="F124" s="111" t="s">
        <v>271</v>
      </c>
      <c r="G124" s="108">
        <v>230341</v>
      </c>
      <c r="H124" s="110">
        <v>160703</v>
      </c>
      <c r="I124" s="110">
        <v>46803</v>
      </c>
      <c r="J124" s="110">
        <v>280</v>
      </c>
      <c r="K124" s="110">
        <v>9798</v>
      </c>
      <c r="L124" s="110">
        <v>9315</v>
      </c>
      <c r="M124" s="110"/>
      <c r="N124" s="110"/>
      <c r="O124" s="110"/>
      <c r="P124" s="110"/>
      <c r="Q124" s="110"/>
      <c r="R124" s="110">
        <v>3442</v>
      </c>
      <c r="S124" s="110"/>
      <c r="T124" s="110"/>
      <c r="U124" s="110"/>
      <c r="V124" s="110"/>
      <c r="W124" s="110"/>
    </row>
    <row r="125" spans="1:23" ht="51" hidden="1" outlineLevel="2" x14ac:dyDescent="0.2">
      <c r="A125" s="195"/>
      <c r="B125" s="195"/>
      <c r="C125" s="195"/>
      <c r="D125" s="195"/>
      <c r="E125" s="109" t="s">
        <v>518</v>
      </c>
      <c r="F125" s="109" t="s">
        <v>517</v>
      </c>
      <c r="G125" s="108">
        <v>113280</v>
      </c>
      <c r="H125" s="107">
        <v>88541</v>
      </c>
      <c r="I125" s="107">
        <v>24352</v>
      </c>
      <c r="J125" s="107"/>
      <c r="K125" s="107"/>
      <c r="L125" s="107">
        <v>387</v>
      </c>
      <c r="M125" s="107"/>
      <c r="N125" s="107"/>
      <c r="O125" s="107"/>
      <c r="P125" s="107"/>
      <c r="Q125" s="107"/>
      <c r="R125" s="107"/>
      <c r="S125" s="107"/>
      <c r="T125" s="107"/>
      <c r="U125" s="107"/>
      <c r="V125" s="107"/>
      <c r="W125" s="107"/>
    </row>
    <row r="126" spans="1:23" ht="51" hidden="1" outlineLevel="2" x14ac:dyDescent="0.2">
      <c r="A126" s="196"/>
      <c r="B126" s="196"/>
      <c r="C126" s="196"/>
      <c r="D126" s="196"/>
      <c r="E126" s="111" t="s">
        <v>516</v>
      </c>
      <c r="F126" s="111" t="s">
        <v>515</v>
      </c>
      <c r="G126" s="108">
        <v>130645</v>
      </c>
      <c r="H126" s="110">
        <v>101488</v>
      </c>
      <c r="I126" s="110">
        <v>27820</v>
      </c>
      <c r="J126" s="110"/>
      <c r="K126" s="110"/>
      <c r="L126" s="110">
        <v>1337</v>
      </c>
      <c r="M126" s="110"/>
      <c r="N126" s="110"/>
      <c r="O126" s="110"/>
      <c r="P126" s="110"/>
      <c r="Q126" s="110"/>
      <c r="R126" s="110"/>
      <c r="S126" s="110"/>
      <c r="T126" s="110"/>
      <c r="U126" s="110"/>
      <c r="V126" s="110"/>
      <c r="W126" s="110"/>
    </row>
    <row r="127" spans="1:23" outlineLevel="1" collapsed="1" x14ac:dyDescent="0.2">
      <c r="A127" s="195"/>
      <c r="B127" s="195"/>
      <c r="C127" s="109" t="s">
        <v>86</v>
      </c>
      <c r="D127" s="195" t="s">
        <v>319</v>
      </c>
      <c r="E127" s="195"/>
      <c r="F127" s="195"/>
      <c r="G127" s="108">
        <v>12978522</v>
      </c>
      <c r="H127" s="108">
        <v>7660448</v>
      </c>
      <c r="I127" s="108">
        <v>2186190</v>
      </c>
      <c r="J127" s="108">
        <v>44699</v>
      </c>
      <c r="K127" s="108">
        <v>1843302</v>
      </c>
      <c r="L127" s="108">
        <v>682106</v>
      </c>
      <c r="M127" s="108">
        <v>2015</v>
      </c>
      <c r="N127" s="108">
        <v>63338</v>
      </c>
      <c r="O127" s="108">
        <v>84070</v>
      </c>
      <c r="P127" s="108"/>
      <c r="Q127" s="108"/>
      <c r="R127" s="108">
        <v>371938</v>
      </c>
      <c r="S127" s="108"/>
      <c r="T127" s="108"/>
      <c r="U127" s="108">
        <v>40416</v>
      </c>
      <c r="V127" s="108"/>
      <c r="W127" s="108"/>
    </row>
    <row r="128" spans="1:23" ht="25.5" hidden="1" outlineLevel="2" x14ac:dyDescent="0.2">
      <c r="A128" s="196"/>
      <c r="B128" s="196"/>
      <c r="C128" s="196"/>
      <c r="D128" s="196"/>
      <c r="E128" s="111" t="s">
        <v>87</v>
      </c>
      <c r="F128" s="111" t="s">
        <v>114</v>
      </c>
      <c r="G128" s="108">
        <v>1778950</v>
      </c>
      <c r="H128" s="110">
        <v>1140286</v>
      </c>
      <c r="I128" s="110">
        <v>310197</v>
      </c>
      <c r="J128" s="110">
        <v>2495</v>
      </c>
      <c r="K128" s="110">
        <v>244414</v>
      </c>
      <c r="L128" s="110">
        <v>63106</v>
      </c>
      <c r="M128" s="110">
        <v>200</v>
      </c>
      <c r="N128" s="110">
        <v>2668</v>
      </c>
      <c r="O128" s="110"/>
      <c r="P128" s="110"/>
      <c r="Q128" s="110"/>
      <c r="R128" s="110">
        <v>14384</v>
      </c>
      <c r="S128" s="110"/>
      <c r="T128" s="110"/>
      <c r="U128" s="110">
        <v>1200</v>
      </c>
      <c r="V128" s="110"/>
      <c r="W128" s="110"/>
    </row>
    <row r="129" spans="1:23" ht="38.25" hidden="1" outlineLevel="2" x14ac:dyDescent="0.2">
      <c r="A129" s="195"/>
      <c r="B129" s="195"/>
      <c r="C129" s="195"/>
      <c r="D129" s="195"/>
      <c r="E129" s="109" t="s">
        <v>88</v>
      </c>
      <c r="F129" s="109" t="s">
        <v>273</v>
      </c>
      <c r="G129" s="108">
        <v>1195416</v>
      </c>
      <c r="H129" s="107">
        <v>726139</v>
      </c>
      <c r="I129" s="107">
        <v>215681</v>
      </c>
      <c r="J129" s="107">
        <v>1015</v>
      </c>
      <c r="K129" s="107">
        <v>175672</v>
      </c>
      <c r="L129" s="107">
        <v>57340</v>
      </c>
      <c r="M129" s="107">
        <v>330</v>
      </c>
      <c r="N129" s="107">
        <v>2363</v>
      </c>
      <c r="O129" s="107"/>
      <c r="P129" s="107"/>
      <c r="Q129" s="107"/>
      <c r="R129" s="107">
        <v>16876</v>
      </c>
      <c r="S129" s="107"/>
      <c r="T129" s="107"/>
      <c r="U129" s="107"/>
      <c r="V129" s="107"/>
      <c r="W129" s="107"/>
    </row>
    <row r="130" spans="1:23" ht="25.5" hidden="1" outlineLevel="2" x14ac:dyDescent="0.2">
      <c r="A130" s="196"/>
      <c r="B130" s="196"/>
      <c r="C130" s="196"/>
      <c r="D130" s="196"/>
      <c r="E130" s="111" t="s">
        <v>89</v>
      </c>
      <c r="F130" s="111" t="s">
        <v>274</v>
      </c>
      <c r="G130" s="108">
        <v>1252125</v>
      </c>
      <c r="H130" s="110">
        <v>808763</v>
      </c>
      <c r="I130" s="110">
        <v>219115</v>
      </c>
      <c r="J130" s="110">
        <v>5990</v>
      </c>
      <c r="K130" s="110">
        <v>131858</v>
      </c>
      <c r="L130" s="110">
        <v>55977</v>
      </c>
      <c r="M130" s="110">
        <v>220</v>
      </c>
      <c r="N130" s="110">
        <v>4750</v>
      </c>
      <c r="O130" s="110"/>
      <c r="P130" s="110"/>
      <c r="Q130" s="110"/>
      <c r="R130" s="110">
        <v>25452</v>
      </c>
      <c r="S130" s="110"/>
      <c r="T130" s="110"/>
      <c r="U130" s="110"/>
      <c r="V130" s="110"/>
      <c r="W130" s="110"/>
    </row>
    <row r="131" spans="1:23" ht="25.5" hidden="1" outlineLevel="2" x14ac:dyDescent="0.2">
      <c r="A131" s="195"/>
      <c r="B131" s="195"/>
      <c r="C131" s="195"/>
      <c r="D131" s="195"/>
      <c r="E131" s="109" t="s">
        <v>90</v>
      </c>
      <c r="F131" s="109" t="s">
        <v>275</v>
      </c>
      <c r="G131" s="108">
        <v>2642509</v>
      </c>
      <c r="H131" s="107">
        <v>1596746</v>
      </c>
      <c r="I131" s="107">
        <v>461939</v>
      </c>
      <c r="J131" s="107">
        <v>3295</v>
      </c>
      <c r="K131" s="107">
        <v>396661</v>
      </c>
      <c r="L131" s="107">
        <v>104542</v>
      </c>
      <c r="M131" s="107">
        <v>200</v>
      </c>
      <c r="N131" s="107">
        <v>4160</v>
      </c>
      <c r="O131" s="107"/>
      <c r="P131" s="107"/>
      <c r="Q131" s="107"/>
      <c r="R131" s="107">
        <v>73706</v>
      </c>
      <c r="S131" s="107"/>
      <c r="T131" s="107"/>
      <c r="U131" s="107">
        <v>1260</v>
      </c>
      <c r="V131" s="107"/>
      <c r="W131" s="107"/>
    </row>
    <row r="132" spans="1:23" ht="25.5" hidden="1" outlineLevel="2" x14ac:dyDescent="0.2">
      <c r="A132" s="196"/>
      <c r="B132" s="196"/>
      <c r="C132" s="196"/>
      <c r="D132" s="196"/>
      <c r="E132" s="111" t="s">
        <v>91</v>
      </c>
      <c r="F132" s="111" t="s">
        <v>276</v>
      </c>
      <c r="G132" s="108">
        <v>837690</v>
      </c>
      <c r="H132" s="110">
        <v>479024</v>
      </c>
      <c r="I132" s="110">
        <v>142180</v>
      </c>
      <c r="J132" s="110">
        <v>922</v>
      </c>
      <c r="K132" s="110">
        <v>32821</v>
      </c>
      <c r="L132" s="110">
        <v>72433</v>
      </c>
      <c r="M132" s="110"/>
      <c r="N132" s="110">
        <v>157</v>
      </c>
      <c r="O132" s="110"/>
      <c r="P132" s="110"/>
      <c r="Q132" s="110"/>
      <c r="R132" s="110">
        <v>110153</v>
      </c>
      <c r="S132" s="110"/>
      <c r="T132" s="110"/>
      <c r="U132" s="110"/>
      <c r="V132" s="110"/>
      <c r="W132" s="110"/>
    </row>
    <row r="133" spans="1:23" ht="38.25" hidden="1" outlineLevel="2" x14ac:dyDescent="0.2">
      <c r="A133" s="195"/>
      <c r="B133" s="195"/>
      <c r="C133" s="195"/>
      <c r="D133" s="195"/>
      <c r="E133" s="109" t="s">
        <v>92</v>
      </c>
      <c r="F133" s="109" t="s">
        <v>277</v>
      </c>
      <c r="G133" s="108">
        <v>84070</v>
      </c>
      <c r="H133" s="107"/>
      <c r="I133" s="107"/>
      <c r="J133" s="107"/>
      <c r="K133" s="107"/>
      <c r="L133" s="107"/>
      <c r="M133" s="107"/>
      <c r="N133" s="107"/>
      <c r="O133" s="107">
        <v>84070</v>
      </c>
      <c r="P133" s="107"/>
      <c r="Q133" s="107"/>
      <c r="R133" s="107"/>
      <c r="S133" s="107"/>
      <c r="T133" s="107"/>
      <c r="U133" s="107"/>
      <c r="V133" s="107"/>
      <c r="W133" s="107"/>
    </row>
    <row r="134" spans="1:23" ht="25.5" hidden="1" outlineLevel="2" x14ac:dyDescent="0.2">
      <c r="A134" s="196"/>
      <c r="B134" s="196"/>
      <c r="C134" s="196"/>
      <c r="D134" s="196"/>
      <c r="E134" s="111" t="s">
        <v>93</v>
      </c>
      <c r="F134" s="111" t="s">
        <v>278</v>
      </c>
      <c r="G134" s="108">
        <v>505036</v>
      </c>
      <c r="H134" s="110">
        <v>286013</v>
      </c>
      <c r="I134" s="110">
        <v>81857</v>
      </c>
      <c r="J134" s="110">
        <v>26083</v>
      </c>
      <c r="K134" s="110">
        <v>31121</v>
      </c>
      <c r="L134" s="110">
        <v>74794</v>
      </c>
      <c r="M134" s="110">
        <v>90</v>
      </c>
      <c r="N134" s="110">
        <v>443</v>
      </c>
      <c r="O134" s="110"/>
      <c r="P134" s="110"/>
      <c r="Q134" s="110"/>
      <c r="R134" s="110">
        <v>4635</v>
      </c>
      <c r="S134" s="110"/>
      <c r="T134" s="110"/>
      <c r="U134" s="110"/>
      <c r="V134" s="110"/>
      <c r="W134" s="110"/>
    </row>
    <row r="135" spans="1:23" ht="25.5" hidden="1" outlineLevel="2" x14ac:dyDescent="0.2">
      <c r="A135" s="195"/>
      <c r="B135" s="195"/>
      <c r="C135" s="195"/>
      <c r="D135" s="195"/>
      <c r="E135" s="109" t="s">
        <v>128</v>
      </c>
      <c r="F135" s="109" t="s">
        <v>174</v>
      </c>
      <c r="G135" s="108">
        <v>980728</v>
      </c>
      <c r="H135" s="107">
        <v>623585</v>
      </c>
      <c r="I135" s="107">
        <v>171984</v>
      </c>
      <c r="J135" s="107">
        <v>611</v>
      </c>
      <c r="K135" s="107">
        <v>118720</v>
      </c>
      <c r="L135" s="107">
        <v>52220</v>
      </c>
      <c r="M135" s="107">
        <v>725</v>
      </c>
      <c r="N135" s="107">
        <v>3483</v>
      </c>
      <c r="O135" s="107"/>
      <c r="P135" s="107"/>
      <c r="Q135" s="107"/>
      <c r="R135" s="107">
        <v>9100</v>
      </c>
      <c r="S135" s="107"/>
      <c r="T135" s="107"/>
      <c r="U135" s="107">
        <v>300</v>
      </c>
      <c r="V135" s="107"/>
      <c r="W135" s="107"/>
    </row>
    <row r="136" spans="1:23" ht="25.5" hidden="1" outlineLevel="2" x14ac:dyDescent="0.2">
      <c r="A136" s="196"/>
      <c r="B136" s="196"/>
      <c r="C136" s="196"/>
      <c r="D136" s="196"/>
      <c r="E136" s="111" t="s">
        <v>147</v>
      </c>
      <c r="F136" s="111" t="s">
        <v>279</v>
      </c>
      <c r="G136" s="108">
        <v>766004</v>
      </c>
      <c r="H136" s="110">
        <v>482630</v>
      </c>
      <c r="I136" s="110">
        <v>149036</v>
      </c>
      <c r="J136" s="110">
        <v>3660</v>
      </c>
      <c r="K136" s="110">
        <v>77938</v>
      </c>
      <c r="L136" s="110">
        <v>35633</v>
      </c>
      <c r="M136" s="110"/>
      <c r="N136" s="110">
        <v>1845</v>
      </c>
      <c r="O136" s="110"/>
      <c r="P136" s="110"/>
      <c r="Q136" s="110"/>
      <c r="R136" s="110">
        <v>15262</v>
      </c>
      <c r="S136" s="110"/>
      <c r="T136" s="110"/>
      <c r="U136" s="110"/>
      <c r="V136" s="110"/>
      <c r="W136" s="110"/>
    </row>
    <row r="137" spans="1:23" ht="25.5" hidden="1" outlineLevel="2" x14ac:dyDescent="0.2">
      <c r="A137" s="195"/>
      <c r="B137" s="195"/>
      <c r="C137" s="195"/>
      <c r="D137" s="195"/>
      <c r="E137" s="109" t="s">
        <v>148</v>
      </c>
      <c r="F137" s="109" t="s">
        <v>137</v>
      </c>
      <c r="G137" s="108">
        <v>1140714</v>
      </c>
      <c r="H137" s="107">
        <v>719508</v>
      </c>
      <c r="I137" s="107">
        <v>202211</v>
      </c>
      <c r="J137" s="107"/>
      <c r="K137" s="107">
        <v>133594</v>
      </c>
      <c r="L137" s="107">
        <v>45211</v>
      </c>
      <c r="M137" s="107">
        <v>250</v>
      </c>
      <c r="N137" s="107">
        <v>3050</v>
      </c>
      <c r="O137" s="107"/>
      <c r="P137" s="107"/>
      <c r="Q137" s="107"/>
      <c r="R137" s="107">
        <v>36170</v>
      </c>
      <c r="S137" s="107"/>
      <c r="T137" s="107"/>
      <c r="U137" s="107">
        <v>720</v>
      </c>
      <c r="V137" s="107"/>
      <c r="W137" s="107"/>
    </row>
    <row r="138" spans="1:23" ht="25.5" hidden="1" outlineLevel="2" x14ac:dyDescent="0.2">
      <c r="A138" s="196"/>
      <c r="B138" s="196"/>
      <c r="C138" s="196"/>
      <c r="D138" s="196"/>
      <c r="E138" s="111" t="s">
        <v>149</v>
      </c>
      <c r="F138" s="111" t="s">
        <v>175</v>
      </c>
      <c r="G138" s="108">
        <v>322126</v>
      </c>
      <c r="H138" s="110">
        <v>133638</v>
      </c>
      <c r="I138" s="110">
        <v>38905</v>
      </c>
      <c r="J138" s="110"/>
      <c r="K138" s="110">
        <v>102194</v>
      </c>
      <c r="L138" s="110">
        <v>21397</v>
      </c>
      <c r="M138" s="110"/>
      <c r="N138" s="110">
        <v>15880</v>
      </c>
      <c r="O138" s="110"/>
      <c r="P138" s="110"/>
      <c r="Q138" s="110"/>
      <c r="R138" s="110">
        <v>10112</v>
      </c>
      <c r="S138" s="110"/>
      <c r="T138" s="110"/>
      <c r="U138" s="110"/>
      <c r="V138" s="110"/>
      <c r="W138" s="110"/>
    </row>
    <row r="139" spans="1:23" ht="25.5" hidden="1" outlineLevel="2" x14ac:dyDescent="0.2">
      <c r="A139" s="195"/>
      <c r="B139" s="195"/>
      <c r="C139" s="195"/>
      <c r="D139" s="195"/>
      <c r="E139" s="109" t="s">
        <v>150</v>
      </c>
      <c r="F139" s="109" t="s">
        <v>170</v>
      </c>
      <c r="G139" s="108">
        <v>398186</v>
      </c>
      <c r="H139" s="107">
        <v>248559</v>
      </c>
      <c r="I139" s="107">
        <v>69879</v>
      </c>
      <c r="J139" s="107">
        <v>628</v>
      </c>
      <c r="K139" s="107">
        <v>33974</v>
      </c>
      <c r="L139" s="107">
        <v>18396</v>
      </c>
      <c r="M139" s="107"/>
      <c r="N139" s="107">
        <v>153</v>
      </c>
      <c r="O139" s="107"/>
      <c r="P139" s="107"/>
      <c r="Q139" s="107"/>
      <c r="R139" s="107">
        <v>26597</v>
      </c>
      <c r="S139" s="107"/>
      <c r="T139" s="107"/>
      <c r="U139" s="107"/>
      <c r="V139" s="107"/>
      <c r="W139" s="107"/>
    </row>
    <row r="140" spans="1:23" ht="25.5" hidden="1" outlineLevel="2" x14ac:dyDescent="0.2">
      <c r="A140" s="196"/>
      <c r="B140" s="196"/>
      <c r="C140" s="196"/>
      <c r="D140" s="196"/>
      <c r="E140" s="111" t="s">
        <v>514</v>
      </c>
      <c r="F140" s="111" t="s">
        <v>513</v>
      </c>
      <c r="G140" s="108">
        <v>362834</v>
      </c>
      <c r="H140" s="110">
        <v>135408</v>
      </c>
      <c r="I140" s="110">
        <v>40625</v>
      </c>
      <c r="J140" s="110"/>
      <c r="K140" s="110">
        <v>134001</v>
      </c>
      <c r="L140" s="110">
        <v>32750</v>
      </c>
      <c r="M140" s="110"/>
      <c r="N140" s="110">
        <v>8550</v>
      </c>
      <c r="O140" s="110"/>
      <c r="P140" s="110"/>
      <c r="Q140" s="110"/>
      <c r="R140" s="110">
        <v>11500</v>
      </c>
      <c r="S140" s="110"/>
      <c r="T140" s="110"/>
      <c r="U140" s="110"/>
      <c r="V140" s="110"/>
      <c r="W140" s="110"/>
    </row>
    <row r="141" spans="1:23" ht="25.5" hidden="1" outlineLevel="2" x14ac:dyDescent="0.2">
      <c r="A141" s="195"/>
      <c r="B141" s="195"/>
      <c r="C141" s="195"/>
      <c r="D141" s="195"/>
      <c r="E141" s="109" t="s">
        <v>512</v>
      </c>
      <c r="F141" s="109" t="s">
        <v>511</v>
      </c>
      <c r="G141" s="108">
        <v>85653</v>
      </c>
      <c r="H141" s="107">
        <v>41017</v>
      </c>
      <c r="I141" s="107">
        <v>12391</v>
      </c>
      <c r="J141" s="107"/>
      <c r="K141" s="107">
        <v>15257</v>
      </c>
      <c r="L141" s="107">
        <v>16942</v>
      </c>
      <c r="M141" s="107"/>
      <c r="N141" s="107">
        <v>46</v>
      </c>
      <c r="O141" s="107"/>
      <c r="P141" s="107"/>
      <c r="Q141" s="107"/>
      <c r="R141" s="107"/>
      <c r="S141" s="107"/>
      <c r="T141" s="107"/>
      <c r="U141" s="107"/>
      <c r="V141" s="107"/>
      <c r="W141" s="107"/>
    </row>
    <row r="142" spans="1:23" ht="25.5" hidden="1" outlineLevel="2" x14ac:dyDescent="0.2">
      <c r="A142" s="196"/>
      <c r="B142" s="196"/>
      <c r="C142" s="196"/>
      <c r="D142" s="196"/>
      <c r="E142" s="111" t="s">
        <v>510</v>
      </c>
      <c r="F142" s="111" t="s">
        <v>509</v>
      </c>
      <c r="G142" s="108">
        <v>449492</v>
      </c>
      <c r="H142" s="110">
        <v>168005</v>
      </c>
      <c r="I142" s="110">
        <v>49544</v>
      </c>
      <c r="J142" s="110">
        <v>0</v>
      </c>
      <c r="K142" s="110">
        <v>183834</v>
      </c>
      <c r="L142" s="110">
        <v>28892</v>
      </c>
      <c r="M142" s="110"/>
      <c r="N142" s="110">
        <v>15165</v>
      </c>
      <c r="O142" s="110"/>
      <c r="P142" s="110"/>
      <c r="Q142" s="110"/>
      <c r="R142" s="110">
        <v>4052</v>
      </c>
      <c r="S142" s="110"/>
      <c r="T142" s="110"/>
      <c r="U142" s="110"/>
      <c r="V142" s="110"/>
      <c r="W142" s="110"/>
    </row>
    <row r="143" spans="1:23" ht="25.5" hidden="1" outlineLevel="2" x14ac:dyDescent="0.2">
      <c r="A143" s="195"/>
      <c r="B143" s="195"/>
      <c r="C143" s="195"/>
      <c r="D143" s="195"/>
      <c r="E143" s="109" t="s">
        <v>907</v>
      </c>
      <c r="F143" s="109" t="s">
        <v>827</v>
      </c>
      <c r="G143" s="108">
        <v>36861</v>
      </c>
      <c r="H143" s="107">
        <v>29825</v>
      </c>
      <c r="I143" s="107">
        <v>7036</v>
      </c>
      <c r="J143" s="107"/>
      <c r="K143" s="107"/>
      <c r="L143" s="107"/>
      <c r="M143" s="107"/>
      <c r="N143" s="107"/>
      <c r="O143" s="107"/>
      <c r="P143" s="107"/>
      <c r="Q143" s="107"/>
      <c r="R143" s="107"/>
      <c r="S143" s="107"/>
      <c r="T143" s="107"/>
      <c r="U143" s="107"/>
      <c r="V143" s="107"/>
      <c r="W143" s="107"/>
    </row>
    <row r="144" spans="1:23" ht="25.5" hidden="1" outlineLevel="2" x14ac:dyDescent="0.2">
      <c r="A144" s="196"/>
      <c r="B144" s="196"/>
      <c r="C144" s="196"/>
      <c r="D144" s="196"/>
      <c r="E144" s="111" t="s">
        <v>94</v>
      </c>
      <c r="F144" s="111" t="s">
        <v>239</v>
      </c>
      <c r="G144" s="108">
        <v>103192</v>
      </c>
      <c r="H144" s="110">
        <v>41302</v>
      </c>
      <c r="I144" s="110">
        <v>13610</v>
      </c>
      <c r="J144" s="110"/>
      <c r="K144" s="110">
        <v>31243</v>
      </c>
      <c r="L144" s="110">
        <v>2473</v>
      </c>
      <c r="M144" s="110"/>
      <c r="N144" s="110">
        <v>625</v>
      </c>
      <c r="O144" s="110"/>
      <c r="P144" s="110"/>
      <c r="Q144" s="110"/>
      <c r="R144" s="110">
        <v>13939</v>
      </c>
      <c r="S144" s="110"/>
      <c r="T144" s="110"/>
      <c r="U144" s="110"/>
      <c r="V144" s="110"/>
      <c r="W144" s="110"/>
    </row>
    <row r="145" spans="1:23" ht="25.5" hidden="1" outlineLevel="2" x14ac:dyDescent="0.2">
      <c r="A145" s="195"/>
      <c r="B145" s="195"/>
      <c r="C145" s="195"/>
      <c r="D145" s="195"/>
      <c r="E145" s="109" t="s">
        <v>908</v>
      </c>
      <c r="F145" s="109" t="s">
        <v>828</v>
      </c>
      <c r="G145" s="108">
        <v>36936</v>
      </c>
      <c r="H145" s="107"/>
      <c r="I145" s="107"/>
      <c r="J145" s="107"/>
      <c r="K145" s="107"/>
      <c r="L145" s="107"/>
      <c r="M145" s="107"/>
      <c r="N145" s="107"/>
      <c r="O145" s="107"/>
      <c r="P145" s="107"/>
      <c r="Q145" s="107"/>
      <c r="R145" s="107"/>
      <c r="S145" s="107"/>
      <c r="T145" s="107"/>
      <c r="U145" s="107">
        <v>36936</v>
      </c>
      <c r="V145" s="107"/>
      <c r="W145" s="107"/>
    </row>
    <row r="146" spans="1:23" outlineLevel="1" collapsed="1" x14ac:dyDescent="0.2">
      <c r="A146" s="196"/>
      <c r="B146" s="196"/>
      <c r="C146" s="111" t="s">
        <v>95</v>
      </c>
      <c r="D146" s="196" t="s">
        <v>320</v>
      </c>
      <c r="E146" s="196"/>
      <c r="F146" s="196"/>
      <c r="G146" s="108">
        <v>3242920</v>
      </c>
      <c r="H146" s="108">
        <v>1918150</v>
      </c>
      <c r="I146" s="108">
        <v>535549</v>
      </c>
      <c r="J146" s="108">
        <v>36680</v>
      </c>
      <c r="K146" s="108">
        <v>535390</v>
      </c>
      <c r="L146" s="108">
        <v>142747</v>
      </c>
      <c r="M146" s="108">
        <v>367</v>
      </c>
      <c r="N146" s="108">
        <v>1680</v>
      </c>
      <c r="O146" s="108">
        <v>30000</v>
      </c>
      <c r="P146" s="108"/>
      <c r="Q146" s="108"/>
      <c r="R146" s="108">
        <v>41787</v>
      </c>
      <c r="S146" s="108"/>
      <c r="T146" s="108"/>
      <c r="U146" s="108"/>
      <c r="V146" s="108"/>
      <c r="W146" s="108">
        <v>570</v>
      </c>
    </row>
    <row r="147" spans="1:23" ht="38.25" hidden="1" outlineLevel="2" x14ac:dyDescent="0.2">
      <c r="A147" s="195"/>
      <c r="B147" s="195"/>
      <c r="C147" s="195"/>
      <c r="D147" s="195"/>
      <c r="E147" s="109" t="s">
        <v>96</v>
      </c>
      <c r="F147" s="109" t="s">
        <v>280</v>
      </c>
      <c r="G147" s="108">
        <v>957104</v>
      </c>
      <c r="H147" s="107">
        <v>625993</v>
      </c>
      <c r="I147" s="107">
        <v>174235</v>
      </c>
      <c r="J147" s="107">
        <v>450</v>
      </c>
      <c r="K147" s="107">
        <v>114704</v>
      </c>
      <c r="L147" s="107">
        <v>34546</v>
      </c>
      <c r="M147" s="107">
        <v>154</v>
      </c>
      <c r="N147" s="107">
        <v>584</v>
      </c>
      <c r="O147" s="107"/>
      <c r="P147" s="107"/>
      <c r="Q147" s="107"/>
      <c r="R147" s="107">
        <v>6438</v>
      </c>
      <c r="S147" s="107"/>
      <c r="T147" s="107"/>
      <c r="U147" s="107"/>
      <c r="V147" s="107"/>
      <c r="W147" s="107"/>
    </row>
    <row r="148" spans="1:23" ht="25.5" hidden="1" outlineLevel="2" x14ac:dyDescent="0.2">
      <c r="A148" s="196"/>
      <c r="B148" s="196"/>
      <c r="C148" s="196"/>
      <c r="D148" s="196"/>
      <c r="E148" s="111" t="s">
        <v>129</v>
      </c>
      <c r="F148" s="111" t="s">
        <v>565</v>
      </c>
      <c r="G148" s="108">
        <v>186938</v>
      </c>
      <c r="H148" s="110">
        <v>132055</v>
      </c>
      <c r="I148" s="110">
        <v>36069</v>
      </c>
      <c r="J148" s="110">
        <v>1150</v>
      </c>
      <c r="K148" s="110">
        <v>9559</v>
      </c>
      <c r="L148" s="110">
        <v>6386</v>
      </c>
      <c r="M148" s="110">
        <v>73</v>
      </c>
      <c r="N148" s="110">
        <v>26</v>
      </c>
      <c r="O148" s="110"/>
      <c r="P148" s="110"/>
      <c r="Q148" s="110"/>
      <c r="R148" s="110">
        <v>1620</v>
      </c>
      <c r="S148" s="110"/>
      <c r="T148" s="110"/>
      <c r="U148" s="110"/>
      <c r="V148" s="110"/>
      <c r="W148" s="110"/>
    </row>
    <row r="149" spans="1:23" ht="25.5" hidden="1" outlineLevel="2" x14ac:dyDescent="0.2">
      <c r="A149" s="195"/>
      <c r="B149" s="195"/>
      <c r="C149" s="195"/>
      <c r="D149" s="195"/>
      <c r="E149" s="109" t="s">
        <v>98</v>
      </c>
      <c r="F149" s="109" t="s">
        <v>97</v>
      </c>
      <c r="G149" s="108">
        <v>334607</v>
      </c>
      <c r="H149" s="107">
        <v>203591</v>
      </c>
      <c r="I149" s="107">
        <v>59667</v>
      </c>
      <c r="J149" s="107">
        <v>2485</v>
      </c>
      <c r="K149" s="107">
        <v>46195</v>
      </c>
      <c r="L149" s="107">
        <v>21460</v>
      </c>
      <c r="M149" s="107"/>
      <c r="N149" s="107">
        <v>70</v>
      </c>
      <c r="O149" s="107"/>
      <c r="P149" s="107"/>
      <c r="Q149" s="107"/>
      <c r="R149" s="107">
        <v>720</v>
      </c>
      <c r="S149" s="107"/>
      <c r="T149" s="107"/>
      <c r="U149" s="107"/>
      <c r="V149" s="107"/>
      <c r="W149" s="107">
        <v>419</v>
      </c>
    </row>
    <row r="150" spans="1:23" ht="25.5" hidden="1" outlineLevel="2" x14ac:dyDescent="0.2">
      <c r="A150" s="196"/>
      <c r="B150" s="196"/>
      <c r="C150" s="196"/>
      <c r="D150" s="196"/>
      <c r="E150" s="111" t="s">
        <v>99</v>
      </c>
      <c r="F150" s="111" t="s">
        <v>566</v>
      </c>
      <c r="G150" s="108">
        <v>1235813</v>
      </c>
      <c r="H150" s="110">
        <v>593918</v>
      </c>
      <c r="I150" s="110">
        <v>159648</v>
      </c>
      <c r="J150" s="110">
        <v>27130</v>
      </c>
      <c r="K150" s="110">
        <v>345049</v>
      </c>
      <c r="L150" s="110">
        <v>53867</v>
      </c>
      <c r="M150" s="110">
        <v>60</v>
      </c>
      <c r="N150" s="110">
        <v>870</v>
      </c>
      <c r="O150" s="110">
        <v>30000</v>
      </c>
      <c r="P150" s="110"/>
      <c r="Q150" s="110"/>
      <c r="R150" s="110">
        <v>25120</v>
      </c>
      <c r="S150" s="110"/>
      <c r="T150" s="110"/>
      <c r="U150" s="110"/>
      <c r="V150" s="110"/>
      <c r="W150" s="110">
        <v>151</v>
      </c>
    </row>
    <row r="151" spans="1:23" ht="38.25" hidden="1" outlineLevel="2" x14ac:dyDescent="0.2">
      <c r="A151" s="195"/>
      <c r="B151" s="195"/>
      <c r="C151" s="195"/>
      <c r="D151" s="195"/>
      <c r="E151" s="109" t="s">
        <v>151</v>
      </c>
      <c r="F151" s="109" t="s">
        <v>567</v>
      </c>
      <c r="G151" s="108">
        <v>186437</v>
      </c>
      <c r="H151" s="107">
        <v>131242</v>
      </c>
      <c r="I151" s="107">
        <v>37537</v>
      </c>
      <c r="J151" s="107">
        <v>441</v>
      </c>
      <c r="K151" s="107">
        <v>6344</v>
      </c>
      <c r="L151" s="107">
        <v>5371</v>
      </c>
      <c r="M151" s="107"/>
      <c r="N151" s="107"/>
      <c r="O151" s="107"/>
      <c r="P151" s="107"/>
      <c r="Q151" s="107"/>
      <c r="R151" s="107">
        <v>5502</v>
      </c>
      <c r="S151" s="107"/>
      <c r="T151" s="107"/>
      <c r="U151" s="107"/>
      <c r="V151" s="107"/>
      <c r="W151" s="107"/>
    </row>
    <row r="152" spans="1:23" ht="38.25" hidden="1" outlineLevel="2" x14ac:dyDescent="0.2">
      <c r="A152" s="196"/>
      <c r="B152" s="196"/>
      <c r="C152" s="196"/>
      <c r="D152" s="196"/>
      <c r="E152" s="111" t="s">
        <v>152</v>
      </c>
      <c r="F152" s="111" t="s">
        <v>568</v>
      </c>
      <c r="G152" s="108">
        <v>271442</v>
      </c>
      <c r="H152" s="110">
        <v>182205</v>
      </c>
      <c r="I152" s="110">
        <v>53532</v>
      </c>
      <c r="J152" s="110">
        <v>4874</v>
      </c>
      <c r="K152" s="110">
        <v>11128</v>
      </c>
      <c r="L152" s="110">
        <v>17106</v>
      </c>
      <c r="M152" s="110">
        <v>80</v>
      </c>
      <c r="N152" s="110">
        <v>130</v>
      </c>
      <c r="O152" s="110"/>
      <c r="P152" s="110"/>
      <c r="Q152" s="110"/>
      <c r="R152" s="110">
        <v>2387</v>
      </c>
      <c r="S152" s="110"/>
      <c r="T152" s="110"/>
      <c r="U152" s="110"/>
      <c r="V152" s="110"/>
      <c r="W152" s="110"/>
    </row>
    <row r="153" spans="1:23" ht="38.25" hidden="1" outlineLevel="2" x14ac:dyDescent="0.2">
      <c r="A153" s="195"/>
      <c r="B153" s="195"/>
      <c r="C153" s="195"/>
      <c r="D153" s="195"/>
      <c r="E153" s="109" t="s">
        <v>153</v>
      </c>
      <c r="F153" s="109" t="s">
        <v>569</v>
      </c>
      <c r="G153" s="108">
        <v>70579</v>
      </c>
      <c r="H153" s="107">
        <v>49146</v>
      </c>
      <c r="I153" s="107">
        <v>14861</v>
      </c>
      <c r="J153" s="107">
        <v>150</v>
      </c>
      <c r="K153" s="107">
        <v>2411</v>
      </c>
      <c r="L153" s="107">
        <v>4011</v>
      </c>
      <c r="M153" s="107"/>
      <c r="N153" s="107"/>
      <c r="O153" s="107"/>
      <c r="P153" s="107"/>
      <c r="Q153" s="107"/>
      <c r="R153" s="107"/>
      <c r="S153" s="107"/>
      <c r="T153" s="107"/>
      <c r="U153" s="107"/>
      <c r="V153" s="107"/>
      <c r="W153" s="107"/>
    </row>
    <row r="154" spans="1:23" outlineLevel="1" collapsed="1" x14ac:dyDescent="0.2">
      <c r="A154" s="196"/>
      <c r="B154" s="196"/>
      <c r="C154" s="111" t="s">
        <v>829</v>
      </c>
      <c r="D154" s="196" t="s">
        <v>830</v>
      </c>
      <c r="E154" s="196"/>
      <c r="F154" s="196"/>
      <c r="G154" s="108">
        <v>752173</v>
      </c>
      <c r="H154" s="108">
        <v>245128</v>
      </c>
      <c r="I154" s="108">
        <v>70087</v>
      </c>
      <c r="J154" s="108">
        <v>4200</v>
      </c>
      <c r="K154" s="108">
        <v>182158</v>
      </c>
      <c r="L154" s="108">
        <v>149100</v>
      </c>
      <c r="M154" s="108"/>
      <c r="N154" s="108">
        <v>3500</v>
      </c>
      <c r="O154" s="108">
        <v>98000</v>
      </c>
      <c r="P154" s="108"/>
      <c r="Q154" s="108"/>
      <c r="R154" s="108"/>
      <c r="S154" s="108"/>
      <c r="T154" s="108"/>
      <c r="U154" s="108"/>
      <c r="V154" s="108"/>
      <c r="W154" s="108"/>
    </row>
    <row r="155" spans="1:23" ht="25.5" hidden="1" outlineLevel="2" x14ac:dyDescent="0.2">
      <c r="A155" s="195"/>
      <c r="B155" s="195"/>
      <c r="C155" s="195"/>
      <c r="D155" s="195"/>
      <c r="E155" s="109" t="s">
        <v>909</v>
      </c>
      <c r="F155" s="109" t="s">
        <v>831</v>
      </c>
      <c r="G155" s="108">
        <v>752173</v>
      </c>
      <c r="H155" s="107">
        <v>245128</v>
      </c>
      <c r="I155" s="107">
        <v>70087</v>
      </c>
      <c r="J155" s="107">
        <v>4200</v>
      </c>
      <c r="K155" s="107">
        <v>182158</v>
      </c>
      <c r="L155" s="107">
        <v>149100</v>
      </c>
      <c r="M155" s="107"/>
      <c r="N155" s="107">
        <v>3500</v>
      </c>
      <c r="O155" s="107">
        <v>98000</v>
      </c>
      <c r="P155" s="107"/>
      <c r="Q155" s="107"/>
      <c r="R155" s="107"/>
      <c r="S155" s="107"/>
      <c r="T155" s="107"/>
      <c r="U155" s="107"/>
      <c r="V155" s="107"/>
      <c r="W155" s="107"/>
    </row>
    <row r="156" spans="1:23" outlineLevel="1" collapsed="1" x14ac:dyDescent="0.2">
      <c r="A156" s="196"/>
      <c r="B156" s="196"/>
      <c r="C156" s="111" t="s">
        <v>832</v>
      </c>
      <c r="D156" s="196" t="s">
        <v>833</v>
      </c>
      <c r="E156" s="196"/>
      <c r="F156" s="196"/>
      <c r="G156" s="108">
        <v>2348407</v>
      </c>
      <c r="H156" s="108">
        <v>56313</v>
      </c>
      <c r="I156" s="108">
        <v>15698</v>
      </c>
      <c r="J156" s="108"/>
      <c r="K156" s="108"/>
      <c r="L156" s="108">
        <v>2275216</v>
      </c>
      <c r="M156" s="108"/>
      <c r="N156" s="108"/>
      <c r="O156" s="108"/>
      <c r="P156" s="108"/>
      <c r="Q156" s="108"/>
      <c r="R156" s="108"/>
      <c r="S156" s="108"/>
      <c r="T156" s="108"/>
      <c r="U156" s="108"/>
      <c r="V156" s="108"/>
      <c r="W156" s="108">
        <v>1180</v>
      </c>
    </row>
    <row r="157" spans="1:23" ht="38.25" hidden="1" outlineLevel="2" x14ac:dyDescent="0.2">
      <c r="A157" s="195"/>
      <c r="B157" s="195"/>
      <c r="C157" s="195"/>
      <c r="D157" s="195"/>
      <c r="E157" s="109" t="s">
        <v>834</v>
      </c>
      <c r="F157" s="109" t="s">
        <v>835</v>
      </c>
      <c r="G157" s="108">
        <v>131889</v>
      </c>
      <c r="H157" s="107"/>
      <c r="I157" s="107"/>
      <c r="J157" s="107"/>
      <c r="K157" s="107"/>
      <c r="L157" s="107">
        <v>131889</v>
      </c>
      <c r="M157" s="107"/>
      <c r="N157" s="107"/>
      <c r="O157" s="107"/>
      <c r="P157" s="107"/>
      <c r="Q157" s="107"/>
      <c r="R157" s="107"/>
      <c r="S157" s="107"/>
      <c r="T157" s="107"/>
      <c r="U157" s="107"/>
      <c r="V157" s="107"/>
      <c r="W157" s="107"/>
    </row>
    <row r="158" spans="1:23" ht="38.25" hidden="1" outlineLevel="2" x14ac:dyDescent="0.2">
      <c r="A158" s="196"/>
      <c r="B158" s="196"/>
      <c r="C158" s="196"/>
      <c r="D158" s="196"/>
      <c r="E158" s="111" t="s">
        <v>836</v>
      </c>
      <c r="F158" s="111" t="s">
        <v>837</v>
      </c>
      <c r="G158" s="108">
        <v>72531</v>
      </c>
      <c r="H158" s="110"/>
      <c r="I158" s="110"/>
      <c r="J158" s="110"/>
      <c r="K158" s="110"/>
      <c r="L158" s="110">
        <v>72531</v>
      </c>
      <c r="M158" s="110"/>
      <c r="N158" s="110"/>
      <c r="O158" s="110"/>
      <c r="P158" s="110"/>
      <c r="Q158" s="110"/>
      <c r="R158" s="110"/>
      <c r="S158" s="110"/>
      <c r="T158" s="110"/>
      <c r="U158" s="110"/>
      <c r="V158" s="110"/>
      <c r="W158" s="110"/>
    </row>
    <row r="159" spans="1:23" ht="38.25" hidden="1" outlineLevel="2" x14ac:dyDescent="0.2">
      <c r="A159" s="195"/>
      <c r="B159" s="195"/>
      <c r="C159" s="195"/>
      <c r="D159" s="195"/>
      <c r="E159" s="109" t="s">
        <v>838</v>
      </c>
      <c r="F159" s="109" t="s">
        <v>839</v>
      </c>
      <c r="G159" s="108">
        <v>126608</v>
      </c>
      <c r="H159" s="107"/>
      <c r="I159" s="107"/>
      <c r="J159" s="107"/>
      <c r="K159" s="107"/>
      <c r="L159" s="107">
        <v>126608</v>
      </c>
      <c r="M159" s="107"/>
      <c r="N159" s="107"/>
      <c r="O159" s="107"/>
      <c r="P159" s="107"/>
      <c r="Q159" s="107"/>
      <c r="R159" s="107"/>
      <c r="S159" s="107"/>
      <c r="T159" s="107"/>
      <c r="U159" s="107"/>
      <c r="V159" s="107"/>
      <c r="W159" s="107"/>
    </row>
    <row r="160" spans="1:23" ht="38.25" hidden="1" outlineLevel="2" x14ac:dyDescent="0.2">
      <c r="A160" s="196"/>
      <c r="B160" s="196"/>
      <c r="C160" s="196"/>
      <c r="D160" s="196"/>
      <c r="E160" s="111" t="s">
        <v>840</v>
      </c>
      <c r="F160" s="111" t="s">
        <v>841</v>
      </c>
      <c r="G160" s="108">
        <v>77851</v>
      </c>
      <c r="H160" s="110"/>
      <c r="I160" s="110"/>
      <c r="J160" s="110"/>
      <c r="K160" s="110"/>
      <c r="L160" s="110">
        <v>77851</v>
      </c>
      <c r="M160" s="110"/>
      <c r="N160" s="110"/>
      <c r="O160" s="110"/>
      <c r="P160" s="110"/>
      <c r="Q160" s="110"/>
      <c r="R160" s="110"/>
      <c r="S160" s="110"/>
      <c r="T160" s="110"/>
      <c r="U160" s="110"/>
      <c r="V160" s="110"/>
      <c r="W160" s="110"/>
    </row>
    <row r="161" spans="1:23" ht="51" hidden="1" outlineLevel="2" x14ac:dyDescent="0.2">
      <c r="A161" s="195"/>
      <c r="B161" s="195"/>
      <c r="C161" s="195"/>
      <c r="D161" s="195"/>
      <c r="E161" s="109" t="s">
        <v>842</v>
      </c>
      <c r="F161" s="109" t="s">
        <v>843</v>
      </c>
      <c r="G161" s="108">
        <v>50196</v>
      </c>
      <c r="H161" s="107"/>
      <c r="I161" s="107"/>
      <c r="J161" s="107"/>
      <c r="K161" s="107"/>
      <c r="L161" s="107">
        <v>50196</v>
      </c>
      <c r="M161" s="107"/>
      <c r="N161" s="107"/>
      <c r="O161" s="107"/>
      <c r="P161" s="107"/>
      <c r="Q161" s="107"/>
      <c r="R161" s="107"/>
      <c r="S161" s="107"/>
      <c r="T161" s="107"/>
      <c r="U161" s="107"/>
      <c r="V161" s="107"/>
      <c r="W161" s="107"/>
    </row>
    <row r="162" spans="1:23" ht="38.25" hidden="1" outlineLevel="2" x14ac:dyDescent="0.2">
      <c r="A162" s="196"/>
      <c r="B162" s="196"/>
      <c r="C162" s="196"/>
      <c r="D162" s="196"/>
      <c r="E162" s="111" t="s">
        <v>844</v>
      </c>
      <c r="F162" s="111" t="s">
        <v>845</v>
      </c>
      <c r="G162" s="108">
        <v>76209</v>
      </c>
      <c r="H162" s="110"/>
      <c r="I162" s="110"/>
      <c r="J162" s="110"/>
      <c r="K162" s="110"/>
      <c r="L162" s="110">
        <v>76209</v>
      </c>
      <c r="M162" s="110"/>
      <c r="N162" s="110"/>
      <c r="O162" s="110"/>
      <c r="P162" s="110"/>
      <c r="Q162" s="110"/>
      <c r="R162" s="110"/>
      <c r="S162" s="110"/>
      <c r="T162" s="110"/>
      <c r="U162" s="110"/>
      <c r="V162" s="110"/>
      <c r="W162" s="110"/>
    </row>
    <row r="163" spans="1:23" ht="38.25" hidden="1" outlineLevel="2" x14ac:dyDescent="0.2">
      <c r="A163" s="195"/>
      <c r="B163" s="195"/>
      <c r="C163" s="195"/>
      <c r="D163" s="195"/>
      <c r="E163" s="109" t="s">
        <v>846</v>
      </c>
      <c r="F163" s="109" t="s">
        <v>847</v>
      </c>
      <c r="G163" s="108">
        <v>120653</v>
      </c>
      <c r="H163" s="107"/>
      <c r="I163" s="107"/>
      <c r="J163" s="107"/>
      <c r="K163" s="107"/>
      <c r="L163" s="107">
        <v>120653</v>
      </c>
      <c r="M163" s="107"/>
      <c r="N163" s="107"/>
      <c r="O163" s="107"/>
      <c r="P163" s="107"/>
      <c r="Q163" s="107"/>
      <c r="R163" s="107"/>
      <c r="S163" s="107"/>
      <c r="T163" s="107"/>
      <c r="U163" s="107"/>
      <c r="V163" s="107"/>
      <c r="W163" s="107"/>
    </row>
    <row r="164" spans="1:23" ht="38.25" hidden="1" outlineLevel="2" x14ac:dyDescent="0.2">
      <c r="A164" s="196"/>
      <c r="B164" s="196"/>
      <c r="C164" s="196"/>
      <c r="D164" s="196"/>
      <c r="E164" s="111" t="s">
        <v>848</v>
      </c>
      <c r="F164" s="111" t="s">
        <v>849</v>
      </c>
      <c r="G164" s="108">
        <v>89757</v>
      </c>
      <c r="H164" s="110"/>
      <c r="I164" s="110"/>
      <c r="J164" s="110"/>
      <c r="K164" s="110"/>
      <c r="L164" s="110">
        <v>89757</v>
      </c>
      <c r="M164" s="110"/>
      <c r="N164" s="110"/>
      <c r="O164" s="110"/>
      <c r="P164" s="110"/>
      <c r="Q164" s="110"/>
      <c r="R164" s="110"/>
      <c r="S164" s="110"/>
      <c r="T164" s="110"/>
      <c r="U164" s="110"/>
      <c r="V164" s="110"/>
      <c r="W164" s="110"/>
    </row>
    <row r="165" spans="1:23" ht="38.25" hidden="1" outlineLevel="2" x14ac:dyDescent="0.2">
      <c r="A165" s="195"/>
      <c r="B165" s="195"/>
      <c r="C165" s="195"/>
      <c r="D165" s="195"/>
      <c r="E165" s="109" t="s">
        <v>850</v>
      </c>
      <c r="F165" s="109" t="s">
        <v>851</v>
      </c>
      <c r="G165" s="108">
        <v>82172</v>
      </c>
      <c r="H165" s="107"/>
      <c r="I165" s="107"/>
      <c r="J165" s="107"/>
      <c r="K165" s="107"/>
      <c r="L165" s="107">
        <v>82172</v>
      </c>
      <c r="M165" s="107"/>
      <c r="N165" s="107"/>
      <c r="O165" s="107"/>
      <c r="P165" s="107"/>
      <c r="Q165" s="107"/>
      <c r="R165" s="107"/>
      <c r="S165" s="107"/>
      <c r="T165" s="107"/>
      <c r="U165" s="107"/>
      <c r="V165" s="107"/>
      <c r="W165" s="107"/>
    </row>
    <row r="166" spans="1:23" ht="38.25" hidden="1" outlineLevel="2" x14ac:dyDescent="0.2">
      <c r="A166" s="196"/>
      <c r="B166" s="196"/>
      <c r="C166" s="196"/>
      <c r="D166" s="196"/>
      <c r="E166" s="111" t="s">
        <v>852</v>
      </c>
      <c r="F166" s="111" t="s">
        <v>853</v>
      </c>
      <c r="G166" s="108">
        <v>91586</v>
      </c>
      <c r="H166" s="110"/>
      <c r="I166" s="110"/>
      <c r="J166" s="110"/>
      <c r="K166" s="110"/>
      <c r="L166" s="110">
        <v>91586</v>
      </c>
      <c r="M166" s="110"/>
      <c r="N166" s="110"/>
      <c r="O166" s="110"/>
      <c r="P166" s="110"/>
      <c r="Q166" s="110"/>
      <c r="R166" s="110"/>
      <c r="S166" s="110"/>
      <c r="T166" s="110"/>
      <c r="U166" s="110"/>
      <c r="V166" s="110"/>
      <c r="W166" s="110"/>
    </row>
    <row r="167" spans="1:23" ht="38.25" hidden="1" outlineLevel="2" x14ac:dyDescent="0.2">
      <c r="A167" s="195"/>
      <c r="B167" s="195"/>
      <c r="C167" s="195"/>
      <c r="D167" s="195"/>
      <c r="E167" s="109" t="s">
        <v>854</v>
      </c>
      <c r="F167" s="109" t="s">
        <v>855</v>
      </c>
      <c r="G167" s="108">
        <v>47720</v>
      </c>
      <c r="H167" s="107">
        <v>18596</v>
      </c>
      <c r="I167" s="107">
        <v>5595</v>
      </c>
      <c r="J167" s="107"/>
      <c r="K167" s="107"/>
      <c r="L167" s="107">
        <v>23529</v>
      </c>
      <c r="M167" s="107"/>
      <c r="N167" s="107"/>
      <c r="O167" s="107"/>
      <c r="P167" s="107"/>
      <c r="Q167" s="107"/>
      <c r="R167" s="107"/>
      <c r="S167" s="107"/>
      <c r="T167" s="107"/>
      <c r="U167" s="107"/>
      <c r="V167" s="107"/>
      <c r="W167" s="107"/>
    </row>
    <row r="168" spans="1:23" ht="63.75" hidden="1" outlineLevel="2" x14ac:dyDescent="0.2">
      <c r="A168" s="196"/>
      <c r="B168" s="196"/>
      <c r="C168" s="196"/>
      <c r="D168" s="196"/>
      <c r="E168" s="111" t="s">
        <v>856</v>
      </c>
      <c r="F168" s="111" t="s">
        <v>857</v>
      </c>
      <c r="G168" s="108">
        <v>26067</v>
      </c>
      <c r="H168" s="110"/>
      <c r="I168" s="110"/>
      <c r="J168" s="110"/>
      <c r="K168" s="110"/>
      <c r="L168" s="110">
        <v>26067</v>
      </c>
      <c r="M168" s="110"/>
      <c r="N168" s="110"/>
      <c r="O168" s="110"/>
      <c r="P168" s="110"/>
      <c r="Q168" s="110"/>
      <c r="R168" s="110"/>
      <c r="S168" s="110"/>
      <c r="T168" s="110"/>
      <c r="U168" s="110"/>
      <c r="V168" s="110"/>
      <c r="W168" s="110"/>
    </row>
    <row r="169" spans="1:23" ht="51" hidden="1" outlineLevel="2" x14ac:dyDescent="0.2">
      <c r="A169" s="195"/>
      <c r="B169" s="195"/>
      <c r="C169" s="195"/>
      <c r="D169" s="195"/>
      <c r="E169" s="109" t="s">
        <v>858</v>
      </c>
      <c r="F169" s="109" t="s">
        <v>859</v>
      </c>
      <c r="G169" s="108">
        <v>102627</v>
      </c>
      <c r="H169" s="107"/>
      <c r="I169" s="107"/>
      <c r="J169" s="107"/>
      <c r="K169" s="107"/>
      <c r="L169" s="107">
        <v>102627</v>
      </c>
      <c r="M169" s="107"/>
      <c r="N169" s="107"/>
      <c r="O169" s="107"/>
      <c r="P169" s="107"/>
      <c r="Q169" s="107"/>
      <c r="R169" s="107"/>
      <c r="S169" s="107"/>
      <c r="T169" s="107"/>
      <c r="U169" s="107"/>
      <c r="V169" s="107"/>
      <c r="W169" s="107"/>
    </row>
    <row r="170" spans="1:23" ht="63.75" hidden="1" outlineLevel="2" x14ac:dyDescent="0.2">
      <c r="A170" s="196"/>
      <c r="B170" s="196"/>
      <c r="C170" s="196"/>
      <c r="D170" s="196"/>
      <c r="E170" s="111" t="s">
        <v>860</v>
      </c>
      <c r="F170" s="111" t="s">
        <v>861</v>
      </c>
      <c r="G170" s="108">
        <v>150690</v>
      </c>
      <c r="H170" s="110"/>
      <c r="I170" s="110"/>
      <c r="J170" s="110"/>
      <c r="K170" s="110"/>
      <c r="L170" s="110">
        <v>150638</v>
      </c>
      <c r="M170" s="110"/>
      <c r="N170" s="110"/>
      <c r="O170" s="110"/>
      <c r="P170" s="110"/>
      <c r="Q170" s="110"/>
      <c r="R170" s="110"/>
      <c r="S170" s="110"/>
      <c r="T170" s="110"/>
      <c r="U170" s="110"/>
      <c r="V170" s="110"/>
      <c r="W170" s="110">
        <v>52</v>
      </c>
    </row>
    <row r="171" spans="1:23" ht="51" hidden="1" outlineLevel="2" x14ac:dyDescent="0.2">
      <c r="A171" s="195"/>
      <c r="B171" s="195"/>
      <c r="C171" s="195"/>
      <c r="D171" s="195"/>
      <c r="E171" s="109" t="s">
        <v>862</v>
      </c>
      <c r="F171" s="109" t="s">
        <v>863</v>
      </c>
      <c r="G171" s="108">
        <v>188314</v>
      </c>
      <c r="H171" s="107"/>
      <c r="I171" s="107"/>
      <c r="J171" s="107"/>
      <c r="K171" s="107"/>
      <c r="L171" s="107">
        <v>187855</v>
      </c>
      <c r="M171" s="107"/>
      <c r="N171" s="107"/>
      <c r="O171" s="107"/>
      <c r="P171" s="107"/>
      <c r="Q171" s="107"/>
      <c r="R171" s="107"/>
      <c r="S171" s="107"/>
      <c r="T171" s="107"/>
      <c r="U171" s="107"/>
      <c r="V171" s="107"/>
      <c r="W171" s="107">
        <v>459</v>
      </c>
    </row>
    <row r="172" spans="1:23" ht="51" hidden="1" outlineLevel="2" x14ac:dyDescent="0.2">
      <c r="A172" s="196"/>
      <c r="B172" s="196"/>
      <c r="C172" s="196"/>
      <c r="D172" s="196"/>
      <c r="E172" s="111" t="s">
        <v>864</v>
      </c>
      <c r="F172" s="111" t="s">
        <v>865</v>
      </c>
      <c r="G172" s="108">
        <v>315988</v>
      </c>
      <c r="H172" s="110"/>
      <c r="I172" s="110"/>
      <c r="J172" s="110"/>
      <c r="K172" s="110"/>
      <c r="L172" s="110">
        <v>315988</v>
      </c>
      <c r="M172" s="110"/>
      <c r="N172" s="110"/>
      <c r="O172" s="110"/>
      <c r="P172" s="110"/>
      <c r="Q172" s="110"/>
      <c r="R172" s="110"/>
      <c r="S172" s="110"/>
      <c r="T172" s="110"/>
      <c r="U172" s="110"/>
      <c r="V172" s="110"/>
      <c r="W172" s="110"/>
    </row>
    <row r="173" spans="1:23" ht="38.25" hidden="1" outlineLevel="2" x14ac:dyDescent="0.2">
      <c r="A173" s="195"/>
      <c r="B173" s="195"/>
      <c r="C173" s="195"/>
      <c r="D173" s="195"/>
      <c r="E173" s="109" t="s">
        <v>866</v>
      </c>
      <c r="F173" s="109" t="s">
        <v>867</v>
      </c>
      <c r="G173" s="108">
        <v>61496</v>
      </c>
      <c r="H173" s="107">
        <v>18476</v>
      </c>
      <c r="I173" s="107">
        <v>4949</v>
      </c>
      <c r="J173" s="107"/>
      <c r="K173" s="107"/>
      <c r="L173" s="107">
        <v>38071</v>
      </c>
      <c r="M173" s="107"/>
      <c r="N173" s="107"/>
      <c r="O173" s="107"/>
      <c r="P173" s="107"/>
      <c r="Q173" s="107"/>
      <c r="R173" s="107"/>
      <c r="S173" s="107"/>
      <c r="T173" s="107"/>
      <c r="U173" s="107"/>
      <c r="V173" s="107"/>
      <c r="W173" s="107"/>
    </row>
    <row r="174" spans="1:23" ht="38.25" hidden="1" outlineLevel="2" x14ac:dyDescent="0.2">
      <c r="A174" s="196"/>
      <c r="B174" s="196"/>
      <c r="C174" s="196"/>
      <c r="D174" s="196"/>
      <c r="E174" s="111" t="s">
        <v>868</v>
      </c>
      <c r="F174" s="111" t="s">
        <v>869</v>
      </c>
      <c r="G174" s="108">
        <v>38880</v>
      </c>
      <c r="H174" s="110"/>
      <c r="I174" s="110"/>
      <c r="J174" s="110"/>
      <c r="K174" s="110"/>
      <c r="L174" s="110">
        <v>38666</v>
      </c>
      <c r="M174" s="110"/>
      <c r="N174" s="110"/>
      <c r="O174" s="110"/>
      <c r="P174" s="110"/>
      <c r="Q174" s="110"/>
      <c r="R174" s="110"/>
      <c r="S174" s="110"/>
      <c r="T174" s="110"/>
      <c r="U174" s="110"/>
      <c r="V174" s="110"/>
      <c r="W174" s="110">
        <v>214</v>
      </c>
    </row>
    <row r="175" spans="1:23" ht="51" hidden="1" outlineLevel="2" x14ac:dyDescent="0.2">
      <c r="A175" s="195"/>
      <c r="B175" s="195"/>
      <c r="C175" s="195"/>
      <c r="D175" s="195"/>
      <c r="E175" s="109" t="s">
        <v>870</v>
      </c>
      <c r="F175" s="109" t="s">
        <v>871</v>
      </c>
      <c r="G175" s="108">
        <v>171863</v>
      </c>
      <c r="H175" s="107"/>
      <c r="I175" s="107"/>
      <c r="J175" s="107"/>
      <c r="K175" s="107"/>
      <c r="L175" s="107">
        <v>171667</v>
      </c>
      <c r="M175" s="107"/>
      <c r="N175" s="107"/>
      <c r="O175" s="107"/>
      <c r="P175" s="107"/>
      <c r="Q175" s="107"/>
      <c r="R175" s="107"/>
      <c r="S175" s="107"/>
      <c r="T175" s="107"/>
      <c r="U175" s="107"/>
      <c r="V175" s="107"/>
      <c r="W175" s="107">
        <v>196</v>
      </c>
    </row>
    <row r="176" spans="1:23" ht="51" hidden="1" outlineLevel="2" x14ac:dyDescent="0.2">
      <c r="A176" s="196"/>
      <c r="B176" s="196"/>
      <c r="C176" s="196"/>
      <c r="D176" s="196"/>
      <c r="E176" s="111" t="s">
        <v>872</v>
      </c>
      <c r="F176" s="111" t="s">
        <v>873</v>
      </c>
      <c r="G176" s="108">
        <v>119328</v>
      </c>
      <c r="H176" s="110"/>
      <c r="I176" s="110"/>
      <c r="J176" s="110"/>
      <c r="K176" s="110"/>
      <c r="L176" s="110">
        <v>119328</v>
      </c>
      <c r="M176" s="110"/>
      <c r="N176" s="110"/>
      <c r="O176" s="110"/>
      <c r="P176" s="110"/>
      <c r="Q176" s="110"/>
      <c r="R176" s="110"/>
      <c r="S176" s="110"/>
      <c r="T176" s="110"/>
      <c r="U176" s="110"/>
      <c r="V176" s="110"/>
      <c r="W176" s="110"/>
    </row>
    <row r="177" spans="1:23" ht="51" hidden="1" outlineLevel="2" x14ac:dyDescent="0.2">
      <c r="A177" s="195"/>
      <c r="B177" s="195"/>
      <c r="C177" s="195"/>
      <c r="D177" s="195"/>
      <c r="E177" s="109" t="s">
        <v>874</v>
      </c>
      <c r="F177" s="109" t="s">
        <v>875</v>
      </c>
      <c r="G177" s="108">
        <v>155515</v>
      </c>
      <c r="H177" s="107"/>
      <c r="I177" s="107"/>
      <c r="J177" s="107"/>
      <c r="K177" s="107"/>
      <c r="L177" s="107">
        <v>155256</v>
      </c>
      <c r="M177" s="107"/>
      <c r="N177" s="107"/>
      <c r="O177" s="107"/>
      <c r="P177" s="107"/>
      <c r="Q177" s="107"/>
      <c r="R177" s="107"/>
      <c r="S177" s="107"/>
      <c r="T177" s="107"/>
      <c r="U177" s="107"/>
      <c r="V177" s="107"/>
      <c r="W177" s="107">
        <v>259</v>
      </c>
    </row>
    <row r="178" spans="1:23" ht="51" hidden="1" outlineLevel="2" x14ac:dyDescent="0.2">
      <c r="A178" s="196"/>
      <c r="B178" s="196"/>
      <c r="C178" s="196"/>
      <c r="D178" s="196"/>
      <c r="E178" s="111" t="s">
        <v>876</v>
      </c>
      <c r="F178" s="111" t="s">
        <v>877</v>
      </c>
      <c r="G178" s="108">
        <v>50467</v>
      </c>
      <c r="H178" s="110">
        <v>19241</v>
      </c>
      <c r="I178" s="110">
        <v>5154</v>
      </c>
      <c r="J178" s="110"/>
      <c r="K178" s="110"/>
      <c r="L178" s="110">
        <v>26072</v>
      </c>
      <c r="M178" s="110"/>
      <c r="N178" s="110"/>
      <c r="O178" s="110"/>
      <c r="P178" s="110"/>
      <c r="Q178" s="110"/>
      <c r="R178" s="110"/>
      <c r="S178" s="110"/>
      <c r="T178" s="110"/>
      <c r="U178" s="110"/>
      <c r="V178" s="110"/>
      <c r="W178" s="110"/>
    </row>
    <row r="179" spans="1:23" outlineLevel="1" collapsed="1" x14ac:dyDescent="0.2">
      <c r="A179" s="195"/>
      <c r="B179" s="195"/>
      <c r="C179" s="109" t="s">
        <v>878</v>
      </c>
      <c r="D179" s="195" t="s">
        <v>879</v>
      </c>
      <c r="E179" s="195"/>
      <c r="F179" s="195"/>
      <c r="G179" s="108">
        <v>2213</v>
      </c>
      <c r="H179" s="108"/>
      <c r="I179" s="108"/>
      <c r="J179" s="108"/>
      <c r="K179" s="108">
        <v>613</v>
      </c>
      <c r="L179" s="108">
        <v>600</v>
      </c>
      <c r="M179" s="108"/>
      <c r="N179" s="108">
        <v>1000</v>
      </c>
      <c r="O179" s="108"/>
      <c r="P179" s="108"/>
      <c r="Q179" s="108"/>
      <c r="R179" s="108"/>
      <c r="S179" s="108"/>
      <c r="T179" s="108"/>
      <c r="U179" s="108"/>
      <c r="V179" s="108"/>
      <c r="W179" s="108"/>
    </row>
    <row r="180" spans="1:23" ht="63.75" hidden="1" outlineLevel="2" x14ac:dyDescent="0.2">
      <c r="A180" s="196"/>
      <c r="B180" s="196"/>
      <c r="C180" s="196"/>
      <c r="D180" s="196"/>
      <c r="E180" s="111" t="s">
        <v>910</v>
      </c>
      <c r="F180" s="111" t="s">
        <v>880</v>
      </c>
      <c r="G180" s="108">
        <v>2213</v>
      </c>
      <c r="H180" s="110"/>
      <c r="I180" s="110"/>
      <c r="J180" s="110"/>
      <c r="K180" s="110">
        <v>613</v>
      </c>
      <c r="L180" s="110">
        <v>600</v>
      </c>
      <c r="M180" s="110"/>
      <c r="N180" s="110">
        <v>1000</v>
      </c>
      <c r="O180" s="110"/>
      <c r="P180" s="110"/>
      <c r="Q180" s="110"/>
      <c r="R180" s="110"/>
      <c r="S180" s="110"/>
      <c r="T180" s="110"/>
      <c r="U180" s="110"/>
      <c r="V180" s="110"/>
      <c r="W180" s="110"/>
    </row>
    <row r="181" spans="1:23" outlineLevel="1" collapsed="1" x14ac:dyDescent="0.2">
      <c r="A181" s="195"/>
      <c r="B181" s="195"/>
      <c r="C181" s="109" t="s">
        <v>100</v>
      </c>
      <c r="D181" s="195" t="s">
        <v>101</v>
      </c>
      <c r="E181" s="195"/>
      <c r="F181" s="195"/>
      <c r="G181" s="108">
        <v>584658</v>
      </c>
      <c r="H181" s="108">
        <v>289706</v>
      </c>
      <c r="I181" s="108">
        <v>82319</v>
      </c>
      <c r="J181" s="108">
        <v>4755</v>
      </c>
      <c r="K181" s="108">
        <v>149197</v>
      </c>
      <c r="L181" s="108">
        <v>38141</v>
      </c>
      <c r="M181" s="108"/>
      <c r="N181" s="108"/>
      <c r="O181" s="108">
        <v>15140</v>
      </c>
      <c r="P181" s="108"/>
      <c r="Q181" s="108"/>
      <c r="R181" s="108">
        <v>3000</v>
      </c>
      <c r="S181" s="108"/>
      <c r="T181" s="108"/>
      <c r="U181" s="108">
        <v>2400</v>
      </c>
      <c r="V181" s="108"/>
      <c r="W181" s="108"/>
    </row>
    <row r="182" spans="1:23" ht="38.25" hidden="1" outlineLevel="2" x14ac:dyDescent="0.2">
      <c r="A182" s="196"/>
      <c r="B182" s="196"/>
      <c r="C182" s="196"/>
      <c r="D182" s="196"/>
      <c r="E182" s="111" t="s">
        <v>102</v>
      </c>
      <c r="F182" s="111" t="s">
        <v>913</v>
      </c>
      <c r="G182" s="108">
        <v>456025</v>
      </c>
      <c r="H182" s="110">
        <v>206828</v>
      </c>
      <c r="I182" s="110">
        <v>58988</v>
      </c>
      <c r="J182" s="110">
        <v>4755</v>
      </c>
      <c r="K182" s="110">
        <v>130947</v>
      </c>
      <c r="L182" s="110">
        <v>33967</v>
      </c>
      <c r="M182" s="110"/>
      <c r="N182" s="110"/>
      <c r="O182" s="110">
        <v>15140</v>
      </c>
      <c r="P182" s="110"/>
      <c r="Q182" s="110"/>
      <c r="R182" s="110">
        <v>3000</v>
      </c>
      <c r="S182" s="110"/>
      <c r="T182" s="110"/>
      <c r="U182" s="110">
        <v>2400</v>
      </c>
      <c r="V182" s="110"/>
      <c r="W182" s="110"/>
    </row>
    <row r="183" spans="1:23" ht="25.5" hidden="1" outlineLevel="2" x14ac:dyDescent="0.2">
      <c r="A183" s="195"/>
      <c r="B183" s="195"/>
      <c r="C183" s="195"/>
      <c r="D183" s="195"/>
      <c r="E183" s="109" t="s">
        <v>118</v>
      </c>
      <c r="F183" s="109" t="s">
        <v>284</v>
      </c>
      <c r="G183" s="108">
        <v>128633</v>
      </c>
      <c r="H183" s="107">
        <v>82878</v>
      </c>
      <c r="I183" s="107">
        <v>23331</v>
      </c>
      <c r="J183" s="107"/>
      <c r="K183" s="107">
        <v>18250</v>
      </c>
      <c r="L183" s="107">
        <v>4174</v>
      </c>
      <c r="M183" s="107"/>
      <c r="N183" s="107"/>
      <c r="O183" s="107"/>
      <c r="P183" s="107"/>
      <c r="Q183" s="107"/>
      <c r="R183" s="107"/>
      <c r="S183" s="107"/>
      <c r="T183" s="107"/>
      <c r="U183" s="107"/>
      <c r="V183" s="107"/>
      <c r="W183" s="107"/>
    </row>
    <row r="184" spans="1:23" x14ac:dyDescent="0.2">
      <c r="A184" s="111" t="s">
        <v>285</v>
      </c>
      <c r="B184" s="196" t="s">
        <v>104</v>
      </c>
      <c r="C184" s="196"/>
      <c r="D184" s="196"/>
      <c r="E184" s="196"/>
      <c r="F184" s="196"/>
      <c r="G184" s="108">
        <v>7346290</v>
      </c>
      <c r="H184" s="108">
        <v>2616007</v>
      </c>
      <c r="I184" s="108">
        <v>769965</v>
      </c>
      <c r="J184" s="108">
        <v>16775</v>
      </c>
      <c r="K184" s="108">
        <v>1322534</v>
      </c>
      <c r="L184" s="108">
        <v>723300</v>
      </c>
      <c r="M184" s="108">
        <v>1295</v>
      </c>
      <c r="N184" s="108">
        <v>12422</v>
      </c>
      <c r="O184" s="108">
        <v>49736</v>
      </c>
      <c r="P184" s="108"/>
      <c r="Q184" s="108"/>
      <c r="R184" s="108">
        <v>47100</v>
      </c>
      <c r="S184" s="108">
        <v>419391</v>
      </c>
      <c r="T184" s="108">
        <v>337184</v>
      </c>
      <c r="U184" s="108">
        <v>986690</v>
      </c>
      <c r="V184" s="108">
        <v>150</v>
      </c>
      <c r="W184" s="108">
        <v>43741</v>
      </c>
    </row>
    <row r="185" spans="1:23" outlineLevel="1" collapsed="1" x14ac:dyDescent="0.2">
      <c r="A185" s="195"/>
      <c r="B185" s="195"/>
      <c r="C185" s="109" t="s">
        <v>508</v>
      </c>
      <c r="D185" s="195" t="s">
        <v>911</v>
      </c>
      <c r="E185" s="195"/>
      <c r="F185" s="195"/>
      <c r="G185" s="108">
        <v>374243</v>
      </c>
      <c r="H185" s="108">
        <v>250446</v>
      </c>
      <c r="I185" s="108">
        <v>74329</v>
      </c>
      <c r="J185" s="108">
        <v>3000</v>
      </c>
      <c r="K185" s="108">
        <v>20830</v>
      </c>
      <c r="L185" s="108">
        <v>6888</v>
      </c>
      <c r="M185" s="108"/>
      <c r="N185" s="108">
        <v>300</v>
      </c>
      <c r="O185" s="108"/>
      <c r="P185" s="108"/>
      <c r="Q185" s="108"/>
      <c r="R185" s="108">
        <v>18300</v>
      </c>
      <c r="S185" s="108"/>
      <c r="T185" s="108"/>
      <c r="U185" s="108"/>
      <c r="V185" s="108">
        <v>150</v>
      </c>
      <c r="W185" s="108"/>
    </row>
    <row r="186" spans="1:23" hidden="1" outlineLevel="2" x14ac:dyDescent="0.2">
      <c r="A186" s="196"/>
      <c r="B186" s="196"/>
      <c r="C186" s="196"/>
      <c r="D186" s="196"/>
      <c r="E186" s="111" t="s">
        <v>506</v>
      </c>
      <c r="F186" s="111" t="s">
        <v>505</v>
      </c>
      <c r="G186" s="108">
        <v>374243</v>
      </c>
      <c r="H186" s="110">
        <v>250446</v>
      </c>
      <c r="I186" s="110">
        <v>74329</v>
      </c>
      <c r="J186" s="110">
        <v>3000</v>
      </c>
      <c r="K186" s="110">
        <v>20830</v>
      </c>
      <c r="L186" s="110">
        <v>6888</v>
      </c>
      <c r="M186" s="110"/>
      <c r="N186" s="110">
        <v>300</v>
      </c>
      <c r="O186" s="110"/>
      <c r="P186" s="110"/>
      <c r="Q186" s="110"/>
      <c r="R186" s="110">
        <v>18300</v>
      </c>
      <c r="S186" s="110"/>
      <c r="T186" s="110"/>
      <c r="U186" s="110"/>
      <c r="V186" s="110">
        <v>150</v>
      </c>
      <c r="W186" s="110"/>
    </row>
    <row r="187" spans="1:23" outlineLevel="1" collapsed="1" x14ac:dyDescent="0.2">
      <c r="A187" s="195"/>
      <c r="B187" s="195"/>
      <c r="C187" s="109" t="s">
        <v>103</v>
      </c>
      <c r="D187" s="195" t="s">
        <v>321</v>
      </c>
      <c r="E187" s="195"/>
      <c r="F187" s="195"/>
      <c r="G187" s="108">
        <v>6972047</v>
      </c>
      <c r="H187" s="108">
        <v>2365561</v>
      </c>
      <c r="I187" s="108">
        <v>695636</v>
      </c>
      <c r="J187" s="108">
        <v>13775</v>
      </c>
      <c r="K187" s="108">
        <v>1301704</v>
      </c>
      <c r="L187" s="108">
        <v>716412</v>
      </c>
      <c r="M187" s="108">
        <v>1295</v>
      </c>
      <c r="N187" s="108">
        <v>12122</v>
      </c>
      <c r="O187" s="108">
        <v>49736</v>
      </c>
      <c r="P187" s="108"/>
      <c r="Q187" s="108"/>
      <c r="R187" s="108">
        <v>28800</v>
      </c>
      <c r="S187" s="108">
        <v>419391</v>
      </c>
      <c r="T187" s="108">
        <v>337184</v>
      </c>
      <c r="U187" s="108">
        <v>986690</v>
      </c>
      <c r="V187" s="108"/>
      <c r="W187" s="108">
        <v>43741</v>
      </c>
    </row>
    <row r="188" spans="1:23" ht="38.25" hidden="1" outlineLevel="2" x14ac:dyDescent="0.2">
      <c r="A188" s="196"/>
      <c r="B188" s="196"/>
      <c r="C188" s="196"/>
      <c r="D188" s="196"/>
      <c r="E188" s="111" t="s">
        <v>105</v>
      </c>
      <c r="F188" s="111" t="s">
        <v>286</v>
      </c>
      <c r="G188" s="108">
        <v>2733532</v>
      </c>
      <c r="H188" s="110">
        <v>743758</v>
      </c>
      <c r="I188" s="110">
        <v>219935</v>
      </c>
      <c r="J188" s="110">
        <v>9500</v>
      </c>
      <c r="K188" s="110">
        <v>103865</v>
      </c>
      <c r="L188" s="110">
        <v>15483</v>
      </c>
      <c r="M188" s="110">
        <v>250</v>
      </c>
      <c r="N188" s="110">
        <v>4820</v>
      </c>
      <c r="O188" s="110">
        <v>46236</v>
      </c>
      <c r="P188" s="110"/>
      <c r="Q188" s="110"/>
      <c r="R188" s="110">
        <v>5000</v>
      </c>
      <c r="S188" s="110">
        <v>300196</v>
      </c>
      <c r="T188" s="110">
        <v>287334</v>
      </c>
      <c r="U188" s="110">
        <v>954690</v>
      </c>
      <c r="V188" s="110"/>
      <c r="W188" s="110">
        <v>42465</v>
      </c>
    </row>
    <row r="189" spans="1:23" ht="25.5" hidden="1" outlineLevel="2" x14ac:dyDescent="0.2">
      <c r="A189" s="195"/>
      <c r="B189" s="195"/>
      <c r="C189" s="195"/>
      <c r="D189" s="195"/>
      <c r="E189" s="109" t="s">
        <v>881</v>
      </c>
      <c r="F189" s="109" t="s">
        <v>882</v>
      </c>
      <c r="G189" s="108">
        <v>366779</v>
      </c>
      <c r="H189" s="107">
        <v>48554</v>
      </c>
      <c r="I189" s="107">
        <v>13084</v>
      </c>
      <c r="J189" s="107"/>
      <c r="K189" s="107">
        <v>66431</v>
      </c>
      <c r="L189" s="107">
        <v>62285</v>
      </c>
      <c r="M189" s="107"/>
      <c r="N189" s="107">
        <v>6075</v>
      </c>
      <c r="O189" s="107">
        <v>3500</v>
      </c>
      <c r="P189" s="107"/>
      <c r="Q189" s="107"/>
      <c r="R189" s="107"/>
      <c r="S189" s="107">
        <v>107000</v>
      </c>
      <c r="T189" s="107">
        <v>49850</v>
      </c>
      <c r="U189" s="107">
        <v>10000</v>
      </c>
      <c r="V189" s="107"/>
      <c r="W189" s="107"/>
    </row>
    <row r="190" spans="1:23" ht="25.5" hidden="1" outlineLevel="2" x14ac:dyDescent="0.2">
      <c r="A190" s="196"/>
      <c r="B190" s="196"/>
      <c r="C190" s="196"/>
      <c r="D190" s="196"/>
      <c r="E190" s="111" t="s">
        <v>115</v>
      </c>
      <c r="F190" s="111" t="s">
        <v>287</v>
      </c>
      <c r="G190" s="108">
        <v>847738</v>
      </c>
      <c r="H190" s="110">
        <v>600000</v>
      </c>
      <c r="I190" s="110">
        <v>172310</v>
      </c>
      <c r="J190" s="110"/>
      <c r="K190" s="110">
        <v>22178</v>
      </c>
      <c r="L190" s="110">
        <v>26250</v>
      </c>
      <c r="M190" s="110"/>
      <c r="N190" s="110"/>
      <c r="O190" s="110"/>
      <c r="P190" s="110"/>
      <c r="Q190" s="110"/>
      <c r="R190" s="110">
        <v>5000</v>
      </c>
      <c r="S190" s="110"/>
      <c r="T190" s="110"/>
      <c r="U190" s="110">
        <v>22000</v>
      </c>
      <c r="V190" s="110"/>
      <c r="W190" s="110"/>
    </row>
    <row r="191" spans="1:23" ht="51" hidden="1" outlineLevel="2" x14ac:dyDescent="0.2">
      <c r="A191" s="195"/>
      <c r="B191" s="195"/>
      <c r="C191" s="195"/>
      <c r="D191" s="195"/>
      <c r="E191" s="109" t="s">
        <v>106</v>
      </c>
      <c r="F191" s="109" t="s">
        <v>288</v>
      </c>
      <c r="G191" s="108">
        <v>906389</v>
      </c>
      <c r="H191" s="107"/>
      <c r="I191" s="107"/>
      <c r="J191" s="107"/>
      <c r="K191" s="107">
        <v>906389</v>
      </c>
      <c r="L191" s="107"/>
      <c r="M191" s="107"/>
      <c r="N191" s="107"/>
      <c r="O191" s="107"/>
      <c r="P191" s="107"/>
      <c r="Q191" s="107"/>
      <c r="R191" s="107"/>
      <c r="S191" s="107"/>
      <c r="T191" s="107"/>
      <c r="U191" s="107"/>
      <c r="V191" s="107"/>
      <c r="W191" s="107"/>
    </row>
    <row r="192" spans="1:23" ht="38.25" hidden="1" outlineLevel="2" x14ac:dyDescent="0.2">
      <c r="A192" s="196"/>
      <c r="B192" s="196"/>
      <c r="C192" s="196"/>
      <c r="D192" s="196"/>
      <c r="E192" s="111" t="s">
        <v>119</v>
      </c>
      <c r="F192" s="111" t="s">
        <v>289</v>
      </c>
      <c r="G192" s="108">
        <v>16322</v>
      </c>
      <c r="H192" s="110">
        <v>1867</v>
      </c>
      <c r="I192" s="110">
        <v>651</v>
      </c>
      <c r="J192" s="110"/>
      <c r="K192" s="110">
        <v>333</v>
      </c>
      <c r="L192" s="110">
        <v>0</v>
      </c>
      <c r="M192" s="110"/>
      <c r="N192" s="110"/>
      <c r="O192" s="110"/>
      <c r="P192" s="110"/>
      <c r="Q192" s="110"/>
      <c r="R192" s="110"/>
      <c r="S192" s="110">
        <v>12195</v>
      </c>
      <c r="T192" s="110"/>
      <c r="U192" s="110"/>
      <c r="V192" s="110"/>
      <c r="W192" s="110">
        <v>1276</v>
      </c>
    </row>
    <row r="193" spans="1:23" ht="38.25" hidden="1" outlineLevel="2" x14ac:dyDescent="0.2">
      <c r="A193" s="195"/>
      <c r="B193" s="195"/>
      <c r="C193" s="195"/>
      <c r="D193" s="195"/>
      <c r="E193" s="109" t="s">
        <v>107</v>
      </c>
      <c r="F193" s="109" t="s">
        <v>178</v>
      </c>
      <c r="G193" s="108">
        <v>378151</v>
      </c>
      <c r="H193" s="107">
        <v>172336</v>
      </c>
      <c r="I193" s="107">
        <v>51695</v>
      </c>
      <c r="J193" s="107">
        <v>725</v>
      </c>
      <c r="K193" s="107">
        <v>27453</v>
      </c>
      <c r="L193" s="107">
        <v>125742</v>
      </c>
      <c r="M193" s="107">
        <v>200</v>
      </c>
      <c r="N193" s="107"/>
      <c r="O193" s="107"/>
      <c r="P193" s="107"/>
      <c r="Q193" s="107"/>
      <c r="R193" s="107"/>
      <c r="S193" s="107"/>
      <c r="T193" s="107"/>
      <c r="U193" s="107"/>
      <c r="V193" s="107"/>
      <c r="W193" s="107"/>
    </row>
    <row r="194" spans="1:23" ht="25.5" hidden="1" outlineLevel="2" x14ac:dyDescent="0.2">
      <c r="A194" s="196"/>
      <c r="B194" s="196"/>
      <c r="C194" s="196"/>
      <c r="D194" s="196"/>
      <c r="E194" s="111" t="s">
        <v>181</v>
      </c>
      <c r="F194" s="111" t="s">
        <v>290</v>
      </c>
      <c r="G194" s="108">
        <v>111683</v>
      </c>
      <c r="H194" s="110">
        <v>86051</v>
      </c>
      <c r="I194" s="110">
        <v>23861</v>
      </c>
      <c r="J194" s="110">
        <v>300</v>
      </c>
      <c r="K194" s="110">
        <v>117</v>
      </c>
      <c r="L194" s="110">
        <v>1354</v>
      </c>
      <c r="M194" s="110"/>
      <c r="N194" s="110"/>
      <c r="O194" s="110"/>
      <c r="P194" s="110"/>
      <c r="Q194" s="110"/>
      <c r="R194" s="110"/>
      <c r="S194" s="110"/>
      <c r="T194" s="110"/>
      <c r="U194" s="110"/>
      <c r="V194" s="110"/>
      <c r="W194" s="110"/>
    </row>
    <row r="195" spans="1:23" ht="25.5" hidden="1" outlineLevel="2" x14ac:dyDescent="0.2">
      <c r="A195" s="195"/>
      <c r="B195" s="195"/>
      <c r="C195" s="195"/>
      <c r="D195" s="195"/>
      <c r="E195" s="109" t="s">
        <v>131</v>
      </c>
      <c r="F195" s="109" t="s">
        <v>177</v>
      </c>
      <c r="G195" s="108">
        <v>402464</v>
      </c>
      <c r="H195" s="107">
        <v>179513</v>
      </c>
      <c r="I195" s="107">
        <v>54916</v>
      </c>
      <c r="J195" s="107">
        <v>600</v>
      </c>
      <c r="K195" s="107">
        <v>34391</v>
      </c>
      <c r="L195" s="107">
        <v>125999</v>
      </c>
      <c r="M195" s="107">
        <v>245</v>
      </c>
      <c r="N195" s="107"/>
      <c r="O195" s="107"/>
      <c r="P195" s="107"/>
      <c r="Q195" s="107"/>
      <c r="R195" s="107">
        <v>6800</v>
      </c>
      <c r="S195" s="107"/>
      <c r="T195" s="107"/>
      <c r="U195" s="107"/>
      <c r="V195" s="107"/>
      <c r="W195" s="107"/>
    </row>
    <row r="196" spans="1:23" ht="25.5" hidden="1" outlineLevel="2" x14ac:dyDescent="0.2">
      <c r="A196" s="196"/>
      <c r="B196" s="196"/>
      <c r="C196" s="196"/>
      <c r="D196" s="196"/>
      <c r="E196" s="111" t="s">
        <v>144</v>
      </c>
      <c r="F196" s="111" t="s">
        <v>176</v>
      </c>
      <c r="G196" s="108">
        <v>311737</v>
      </c>
      <c r="H196" s="110">
        <v>159465</v>
      </c>
      <c r="I196" s="110">
        <v>47885</v>
      </c>
      <c r="J196" s="110">
        <v>650</v>
      </c>
      <c r="K196" s="110">
        <v>50347</v>
      </c>
      <c r="L196" s="110">
        <v>53090</v>
      </c>
      <c r="M196" s="110">
        <v>300</v>
      </c>
      <c r="N196" s="110"/>
      <c r="O196" s="110"/>
      <c r="P196" s="110"/>
      <c r="Q196" s="110"/>
      <c r="R196" s="110"/>
      <c r="S196" s="110"/>
      <c r="T196" s="110"/>
      <c r="U196" s="110"/>
      <c r="V196" s="110"/>
      <c r="W196" s="110"/>
    </row>
    <row r="197" spans="1:23" ht="25.5" hidden="1" outlineLevel="2" x14ac:dyDescent="0.2">
      <c r="A197" s="195"/>
      <c r="B197" s="195"/>
      <c r="C197" s="195"/>
      <c r="D197" s="195"/>
      <c r="E197" s="109" t="s">
        <v>168</v>
      </c>
      <c r="F197" s="109" t="s">
        <v>179</v>
      </c>
      <c r="G197" s="108">
        <v>897252</v>
      </c>
      <c r="H197" s="107">
        <v>374017</v>
      </c>
      <c r="I197" s="107">
        <v>111299</v>
      </c>
      <c r="J197" s="107">
        <v>2000</v>
      </c>
      <c r="K197" s="107">
        <v>90200</v>
      </c>
      <c r="L197" s="107">
        <v>306209</v>
      </c>
      <c r="M197" s="107">
        <v>300</v>
      </c>
      <c r="N197" s="107">
        <v>1227</v>
      </c>
      <c r="O197" s="107"/>
      <c r="P197" s="107"/>
      <c r="Q197" s="107"/>
      <c r="R197" s="107">
        <v>12000</v>
      </c>
      <c r="S197" s="107"/>
      <c r="T197" s="107"/>
      <c r="U197" s="107"/>
      <c r="V197" s="107"/>
      <c r="W197" s="107"/>
    </row>
  </sheetData>
  <mergeCells count="225">
    <mergeCell ref="A195:D195"/>
    <mergeCell ref="A196:D196"/>
    <mergeCell ref="A197:D197"/>
    <mergeCell ref="A189:D189"/>
    <mergeCell ref="A190:D190"/>
    <mergeCell ref="A191:D191"/>
    <mergeCell ref="A192:D192"/>
    <mergeCell ref="A193:D193"/>
    <mergeCell ref="A194:D194"/>
    <mergeCell ref="A185:B185"/>
    <mergeCell ref="D185:F185"/>
    <mergeCell ref="A186:D186"/>
    <mergeCell ref="A187:B187"/>
    <mergeCell ref="D187:F187"/>
    <mergeCell ref="A188:D188"/>
    <mergeCell ref="A180:D180"/>
    <mergeCell ref="A181:B181"/>
    <mergeCell ref="D181:F181"/>
    <mergeCell ref="A182:D182"/>
    <mergeCell ref="A183:D183"/>
    <mergeCell ref="B184:F184"/>
    <mergeCell ref="A175:D175"/>
    <mergeCell ref="A176:D176"/>
    <mergeCell ref="A177:D177"/>
    <mergeCell ref="A178:D178"/>
    <mergeCell ref="A179:B179"/>
    <mergeCell ref="D179:F179"/>
    <mergeCell ref="A169:D169"/>
    <mergeCell ref="A170:D170"/>
    <mergeCell ref="A171:D171"/>
    <mergeCell ref="A172:D172"/>
    <mergeCell ref="A173:D173"/>
    <mergeCell ref="A174:D174"/>
    <mergeCell ref="A163:D163"/>
    <mergeCell ref="A164:D164"/>
    <mergeCell ref="A165:D165"/>
    <mergeCell ref="A166:D166"/>
    <mergeCell ref="A167:D167"/>
    <mergeCell ref="A168:D168"/>
    <mergeCell ref="A157:D157"/>
    <mergeCell ref="A158:D158"/>
    <mergeCell ref="A159:D159"/>
    <mergeCell ref="A160:D160"/>
    <mergeCell ref="A161:D161"/>
    <mergeCell ref="A162:D162"/>
    <mergeCell ref="A153:D153"/>
    <mergeCell ref="A154:B154"/>
    <mergeCell ref="D154:F154"/>
    <mergeCell ref="A155:D155"/>
    <mergeCell ref="A156:B156"/>
    <mergeCell ref="D156:F156"/>
    <mergeCell ref="A147:D147"/>
    <mergeCell ref="A148:D148"/>
    <mergeCell ref="A149:D149"/>
    <mergeCell ref="A150:D150"/>
    <mergeCell ref="A151:D151"/>
    <mergeCell ref="A152:D152"/>
    <mergeCell ref="A141:D141"/>
    <mergeCell ref="A142:D142"/>
    <mergeCell ref="A143:D143"/>
    <mergeCell ref="A144:D144"/>
    <mergeCell ref="A145:D145"/>
    <mergeCell ref="A146:B146"/>
    <mergeCell ref="D146:F146"/>
    <mergeCell ref="A135:D135"/>
    <mergeCell ref="A136:D136"/>
    <mergeCell ref="A137:D137"/>
    <mergeCell ref="A138:D138"/>
    <mergeCell ref="A139:D139"/>
    <mergeCell ref="A140:D140"/>
    <mergeCell ref="A129:D129"/>
    <mergeCell ref="A130:D130"/>
    <mergeCell ref="A131:D131"/>
    <mergeCell ref="A132:D132"/>
    <mergeCell ref="A133:D133"/>
    <mergeCell ref="A134:D134"/>
    <mergeCell ref="A124:D124"/>
    <mergeCell ref="A125:D125"/>
    <mergeCell ref="A126:D126"/>
    <mergeCell ref="A127:B127"/>
    <mergeCell ref="D127:F127"/>
    <mergeCell ref="A128:D128"/>
    <mergeCell ref="A118:D118"/>
    <mergeCell ref="A119:D119"/>
    <mergeCell ref="A120:D120"/>
    <mergeCell ref="A121:D121"/>
    <mergeCell ref="A122:D122"/>
    <mergeCell ref="A123:D123"/>
    <mergeCell ref="A112:D112"/>
    <mergeCell ref="A113:D113"/>
    <mergeCell ref="A114:D114"/>
    <mergeCell ref="A115:D115"/>
    <mergeCell ref="A116:D116"/>
    <mergeCell ref="A117:D117"/>
    <mergeCell ref="A107:D107"/>
    <mergeCell ref="A108:B108"/>
    <mergeCell ref="D108:F108"/>
    <mergeCell ref="A109:D109"/>
    <mergeCell ref="B110:F110"/>
    <mergeCell ref="A111:B111"/>
    <mergeCell ref="D111:F111"/>
    <mergeCell ref="A101:D101"/>
    <mergeCell ref="A102:D102"/>
    <mergeCell ref="A103:D103"/>
    <mergeCell ref="A104:D104"/>
    <mergeCell ref="A105:D105"/>
    <mergeCell ref="A106:D106"/>
    <mergeCell ref="A95:D95"/>
    <mergeCell ref="A96:D96"/>
    <mergeCell ref="A97:D97"/>
    <mergeCell ref="A98:D98"/>
    <mergeCell ref="A99:D99"/>
    <mergeCell ref="A100:D100"/>
    <mergeCell ref="A89:D89"/>
    <mergeCell ref="A90:D90"/>
    <mergeCell ref="A91:D91"/>
    <mergeCell ref="A92:D92"/>
    <mergeCell ref="A93:D93"/>
    <mergeCell ref="A94:B94"/>
    <mergeCell ref="D94:F94"/>
    <mergeCell ref="A83:D83"/>
    <mergeCell ref="A84:D84"/>
    <mergeCell ref="A85:D85"/>
    <mergeCell ref="A86:D86"/>
    <mergeCell ref="A87:D87"/>
    <mergeCell ref="A88:D88"/>
    <mergeCell ref="A78:D78"/>
    <mergeCell ref="A79:D79"/>
    <mergeCell ref="A80:D80"/>
    <mergeCell ref="A81:D81"/>
    <mergeCell ref="A82:B82"/>
    <mergeCell ref="D82:F82"/>
    <mergeCell ref="A73:D73"/>
    <mergeCell ref="A74:D74"/>
    <mergeCell ref="B75:F75"/>
    <mergeCell ref="A76:B76"/>
    <mergeCell ref="D76:F76"/>
    <mergeCell ref="A77:D77"/>
    <mergeCell ref="A69:B69"/>
    <mergeCell ref="D69:F69"/>
    <mergeCell ref="A70:D70"/>
    <mergeCell ref="A71:B71"/>
    <mergeCell ref="D71:F71"/>
    <mergeCell ref="A72:D72"/>
    <mergeCell ref="A63:D63"/>
    <mergeCell ref="A64:D64"/>
    <mergeCell ref="A65:D65"/>
    <mergeCell ref="A66:D66"/>
    <mergeCell ref="A67:D67"/>
    <mergeCell ref="A68:D68"/>
    <mergeCell ref="A57:D57"/>
    <mergeCell ref="A58:D58"/>
    <mergeCell ref="A59:D59"/>
    <mergeCell ref="A60:D60"/>
    <mergeCell ref="A61:D61"/>
    <mergeCell ref="A62:D62"/>
    <mergeCell ref="A52:D52"/>
    <mergeCell ref="A53:B53"/>
    <mergeCell ref="D53:F53"/>
    <mergeCell ref="A54:D54"/>
    <mergeCell ref="B55:F55"/>
    <mergeCell ref="A56:B56"/>
    <mergeCell ref="D56:F56"/>
    <mergeCell ref="B47:F47"/>
    <mergeCell ref="A48:B48"/>
    <mergeCell ref="D48:F48"/>
    <mergeCell ref="A49:D49"/>
    <mergeCell ref="A50:D50"/>
    <mergeCell ref="A51:B51"/>
    <mergeCell ref="D51:F51"/>
    <mergeCell ref="A42:D42"/>
    <mergeCell ref="A43:D43"/>
    <mergeCell ref="A44:D44"/>
    <mergeCell ref="A45:B45"/>
    <mergeCell ref="D45:F45"/>
    <mergeCell ref="A46:D46"/>
    <mergeCell ref="A36:D36"/>
    <mergeCell ref="A37:D37"/>
    <mergeCell ref="A38:D38"/>
    <mergeCell ref="A39:D39"/>
    <mergeCell ref="A40:D40"/>
    <mergeCell ref="A41:D41"/>
    <mergeCell ref="A32:B32"/>
    <mergeCell ref="D32:F32"/>
    <mergeCell ref="A33:D33"/>
    <mergeCell ref="A34:B34"/>
    <mergeCell ref="D34:F34"/>
    <mergeCell ref="A35:D35"/>
    <mergeCell ref="A28:B28"/>
    <mergeCell ref="D28:F28"/>
    <mergeCell ref="A29:D29"/>
    <mergeCell ref="A30:B30"/>
    <mergeCell ref="D30:F30"/>
    <mergeCell ref="A31:D31"/>
    <mergeCell ref="A23:D23"/>
    <mergeCell ref="A24:D24"/>
    <mergeCell ref="A25:B25"/>
    <mergeCell ref="D25:F25"/>
    <mergeCell ref="A26:D26"/>
    <mergeCell ref="B27:F27"/>
    <mergeCell ref="A18:B18"/>
    <mergeCell ref="D18:F18"/>
    <mergeCell ref="A19:D19"/>
    <mergeCell ref="A20:D20"/>
    <mergeCell ref="B21:F21"/>
    <mergeCell ref="A22:B22"/>
    <mergeCell ref="D22:F22"/>
    <mergeCell ref="A16:B16"/>
    <mergeCell ref="D16:F16"/>
    <mergeCell ref="A17:D17"/>
    <mergeCell ref="B8:F8"/>
    <mergeCell ref="A9:B9"/>
    <mergeCell ref="D9:F9"/>
    <mergeCell ref="A10:D10"/>
    <mergeCell ref="A11:D11"/>
    <mergeCell ref="A12:D12"/>
    <mergeCell ref="Q1:W4"/>
    <mergeCell ref="A5:B6"/>
    <mergeCell ref="C5:D6"/>
    <mergeCell ref="E5:F6"/>
    <mergeCell ref="G5:G6"/>
    <mergeCell ref="A7:F7"/>
    <mergeCell ref="A13:D13"/>
    <mergeCell ref="A14:D14"/>
    <mergeCell ref="A15:D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L137"/>
  <sheetViews>
    <sheetView showGridLines="0" zoomScale="90" zoomScaleNormal="90" workbookViewId="0">
      <selection activeCell="R1" sqref="R1"/>
    </sheetView>
  </sheetViews>
  <sheetFormatPr defaultRowHeight="15.75" x14ac:dyDescent="0.25"/>
  <cols>
    <col min="1" max="1" width="7.42578125" style="62" customWidth="1"/>
    <col min="2" max="2" width="15" style="62" customWidth="1"/>
    <col min="3" max="3" width="54.85546875" style="62" customWidth="1"/>
    <col min="4" max="4" width="12.7109375" style="62" customWidth="1"/>
    <col min="5" max="5" width="13.140625" style="62" customWidth="1"/>
    <col min="6" max="6" width="16.28515625" style="62" customWidth="1"/>
    <col min="7" max="7" width="15.5703125" style="62" customWidth="1"/>
    <col min="8" max="8" width="14.42578125" style="62" customWidth="1"/>
    <col min="9" max="9" width="14.5703125" style="62" customWidth="1"/>
    <col min="10" max="11" width="13.85546875" style="62" customWidth="1"/>
    <col min="12" max="12" width="13.5703125" style="62" customWidth="1"/>
    <col min="13" max="13" width="14.42578125" style="62" customWidth="1"/>
    <col min="14" max="14" width="12.85546875" style="62" customWidth="1"/>
    <col min="15" max="15" width="14.42578125" style="62" customWidth="1"/>
    <col min="16" max="16" width="13.85546875" style="62" customWidth="1"/>
    <col min="17" max="115" width="9.140625" style="62" customWidth="1"/>
    <col min="116" max="250" width="8.85546875" style="62"/>
    <col min="251" max="251" width="7.42578125" style="62" customWidth="1"/>
    <col min="252" max="252" width="15" style="62" customWidth="1"/>
    <col min="253" max="253" width="36.140625" style="62" customWidth="1"/>
    <col min="254" max="254" width="18.28515625" style="62" customWidth="1"/>
    <col min="255" max="255" width="17.28515625" style="62" customWidth="1"/>
    <col min="256" max="256" width="19.5703125" style="62" customWidth="1"/>
    <col min="257" max="257" width="20.140625" style="62" customWidth="1"/>
    <col min="258" max="259" width="13.7109375" style="62" customWidth="1"/>
    <col min="260" max="261" width="13.5703125" style="62" customWidth="1"/>
    <col min="262" max="265" width="13.7109375" style="62" customWidth="1"/>
    <col min="266" max="266" width="13.85546875" style="62" customWidth="1"/>
    <col min="267" max="267" width="12.28515625" style="62" customWidth="1"/>
    <col min="268" max="506" width="8.85546875" style="62"/>
    <col min="507" max="507" width="7.42578125" style="62" customWidth="1"/>
    <col min="508" max="508" width="15" style="62" customWidth="1"/>
    <col min="509" max="509" width="36.140625" style="62" customWidth="1"/>
    <col min="510" max="510" width="18.28515625" style="62" customWidth="1"/>
    <col min="511" max="511" width="17.28515625" style="62" customWidth="1"/>
    <col min="512" max="512" width="19.5703125" style="62" customWidth="1"/>
    <col min="513" max="513" width="20.140625" style="62" customWidth="1"/>
    <col min="514" max="515" width="13.7109375" style="62" customWidth="1"/>
    <col min="516" max="517" width="13.5703125" style="62" customWidth="1"/>
    <col min="518" max="521" width="13.7109375" style="62" customWidth="1"/>
    <col min="522" max="522" width="13.85546875" style="62" customWidth="1"/>
    <col min="523" max="523" width="12.28515625" style="62" customWidth="1"/>
    <col min="524" max="762" width="8.85546875" style="62"/>
    <col min="763" max="763" width="7.42578125" style="62" customWidth="1"/>
    <col min="764" max="764" width="15" style="62" customWidth="1"/>
    <col min="765" max="765" width="36.140625" style="62" customWidth="1"/>
    <col min="766" max="766" width="18.28515625" style="62" customWidth="1"/>
    <col min="767" max="767" width="17.28515625" style="62" customWidth="1"/>
    <col min="768" max="768" width="19.5703125" style="62" customWidth="1"/>
    <col min="769" max="769" width="20.140625" style="62" customWidth="1"/>
    <col min="770" max="771" width="13.7109375" style="62" customWidth="1"/>
    <col min="772" max="773" width="13.5703125" style="62" customWidth="1"/>
    <col min="774" max="777" width="13.7109375" style="62" customWidth="1"/>
    <col min="778" max="778" width="13.85546875" style="62" customWidth="1"/>
    <col min="779" max="779" width="12.28515625" style="62" customWidth="1"/>
    <col min="780" max="1018" width="8.85546875" style="62"/>
    <col min="1019" max="1019" width="7.42578125" style="62" customWidth="1"/>
    <col min="1020" max="1020" width="15" style="62" customWidth="1"/>
    <col min="1021" max="1021" width="36.140625" style="62" customWidth="1"/>
    <col min="1022" max="1022" width="18.28515625" style="62" customWidth="1"/>
    <col min="1023" max="1023" width="17.28515625" style="62" customWidth="1"/>
    <col min="1024" max="1024" width="19.5703125" style="62" customWidth="1"/>
    <col min="1025" max="1025" width="20.140625" style="62" customWidth="1"/>
    <col min="1026" max="1027" width="13.7109375" style="62" customWidth="1"/>
    <col min="1028" max="1029" width="13.5703125" style="62" customWidth="1"/>
    <col min="1030" max="1033" width="13.7109375" style="62" customWidth="1"/>
    <col min="1034" max="1034" width="13.85546875" style="62" customWidth="1"/>
    <col min="1035" max="1035" width="12.28515625" style="62" customWidth="1"/>
    <col min="1036" max="1274" width="8.85546875" style="62"/>
    <col min="1275" max="1275" width="7.42578125" style="62" customWidth="1"/>
    <col min="1276" max="1276" width="15" style="62" customWidth="1"/>
    <col min="1277" max="1277" width="36.140625" style="62" customWidth="1"/>
    <col min="1278" max="1278" width="18.28515625" style="62" customWidth="1"/>
    <col min="1279" max="1279" width="17.28515625" style="62" customWidth="1"/>
    <col min="1280" max="1280" width="19.5703125" style="62" customWidth="1"/>
    <col min="1281" max="1281" width="20.140625" style="62" customWidth="1"/>
    <col min="1282" max="1283" width="13.7109375" style="62" customWidth="1"/>
    <col min="1284" max="1285" width="13.5703125" style="62" customWidth="1"/>
    <col min="1286" max="1289" width="13.7109375" style="62" customWidth="1"/>
    <col min="1290" max="1290" width="13.85546875" style="62" customWidth="1"/>
    <col min="1291" max="1291" width="12.28515625" style="62" customWidth="1"/>
    <col min="1292" max="1530" width="8.85546875" style="62"/>
    <col min="1531" max="1531" width="7.42578125" style="62" customWidth="1"/>
    <col min="1532" max="1532" width="15" style="62" customWidth="1"/>
    <col min="1533" max="1533" width="36.140625" style="62" customWidth="1"/>
    <col min="1534" max="1534" width="18.28515625" style="62" customWidth="1"/>
    <col min="1535" max="1535" width="17.28515625" style="62" customWidth="1"/>
    <col min="1536" max="1536" width="19.5703125" style="62" customWidth="1"/>
    <col min="1537" max="1537" width="20.140625" style="62" customWidth="1"/>
    <col min="1538" max="1539" width="13.7109375" style="62" customWidth="1"/>
    <col min="1540" max="1541" width="13.5703125" style="62" customWidth="1"/>
    <col min="1542" max="1545" width="13.7109375" style="62" customWidth="1"/>
    <col min="1546" max="1546" width="13.85546875" style="62" customWidth="1"/>
    <col min="1547" max="1547" width="12.28515625" style="62" customWidth="1"/>
    <col min="1548" max="1786" width="8.85546875" style="62"/>
    <col min="1787" max="1787" width="7.42578125" style="62" customWidth="1"/>
    <col min="1788" max="1788" width="15" style="62" customWidth="1"/>
    <col min="1789" max="1789" width="36.140625" style="62" customWidth="1"/>
    <col min="1790" max="1790" width="18.28515625" style="62" customWidth="1"/>
    <col min="1791" max="1791" width="17.28515625" style="62" customWidth="1"/>
    <col min="1792" max="1792" width="19.5703125" style="62" customWidth="1"/>
    <col min="1793" max="1793" width="20.140625" style="62" customWidth="1"/>
    <col min="1794" max="1795" width="13.7109375" style="62" customWidth="1"/>
    <col min="1796" max="1797" width="13.5703125" style="62" customWidth="1"/>
    <col min="1798" max="1801" width="13.7109375" style="62" customWidth="1"/>
    <col min="1802" max="1802" width="13.85546875" style="62" customWidth="1"/>
    <col min="1803" max="1803" width="12.28515625" style="62" customWidth="1"/>
    <col min="1804" max="2042" width="8.85546875" style="62"/>
    <col min="2043" max="2043" width="7.42578125" style="62" customWidth="1"/>
    <col min="2044" max="2044" width="15" style="62" customWidth="1"/>
    <col min="2045" max="2045" width="36.140625" style="62" customWidth="1"/>
    <col min="2046" max="2046" width="18.28515625" style="62" customWidth="1"/>
    <col min="2047" max="2047" width="17.28515625" style="62" customWidth="1"/>
    <col min="2048" max="2048" width="19.5703125" style="62" customWidth="1"/>
    <col min="2049" max="2049" width="20.140625" style="62" customWidth="1"/>
    <col min="2050" max="2051" width="13.7109375" style="62" customWidth="1"/>
    <col min="2052" max="2053" width="13.5703125" style="62" customWidth="1"/>
    <col min="2054" max="2057" width="13.7109375" style="62" customWidth="1"/>
    <col min="2058" max="2058" width="13.85546875" style="62" customWidth="1"/>
    <col min="2059" max="2059" width="12.28515625" style="62" customWidth="1"/>
    <col min="2060" max="2298" width="8.85546875" style="62"/>
    <col min="2299" max="2299" width="7.42578125" style="62" customWidth="1"/>
    <col min="2300" max="2300" width="15" style="62" customWidth="1"/>
    <col min="2301" max="2301" width="36.140625" style="62" customWidth="1"/>
    <col min="2302" max="2302" width="18.28515625" style="62" customWidth="1"/>
    <col min="2303" max="2303" width="17.28515625" style="62" customWidth="1"/>
    <col min="2304" max="2304" width="19.5703125" style="62" customWidth="1"/>
    <col min="2305" max="2305" width="20.140625" style="62" customWidth="1"/>
    <col min="2306" max="2307" width="13.7109375" style="62" customWidth="1"/>
    <col min="2308" max="2309" width="13.5703125" style="62" customWidth="1"/>
    <col min="2310" max="2313" width="13.7109375" style="62" customWidth="1"/>
    <col min="2314" max="2314" width="13.85546875" style="62" customWidth="1"/>
    <col min="2315" max="2315" width="12.28515625" style="62" customWidth="1"/>
    <col min="2316" max="2554" width="8.85546875" style="62"/>
    <col min="2555" max="2555" width="7.42578125" style="62" customWidth="1"/>
    <col min="2556" max="2556" width="15" style="62" customWidth="1"/>
    <col min="2557" max="2557" width="36.140625" style="62" customWidth="1"/>
    <col min="2558" max="2558" width="18.28515625" style="62" customWidth="1"/>
    <col min="2559" max="2559" width="17.28515625" style="62" customWidth="1"/>
    <col min="2560" max="2560" width="19.5703125" style="62" customWidth="1"/>
    <col min="2561" max="2561" width="20.140625" style="62" customWidth="1"/>
    <col min="2562" max="2563" width="13.7109375" style="62" customWidth="1"/>
    <col min="2564" max="2565" width="13.5703125" style="62" customWidth="1"/>
    <col min="2566" max="2569" width="13.7109375" style="62" customWidth="1"/>
    <col min="2570" max="2570" width="13.85546875" style="62" customWidth="1"/>
    <col min="2571" max="2571" width="12.28515625" style="62" customWidth="1"/>
    <col min="2572" max="2810" width="8.85546875" style="62"/>
    <col min="2811" max="2811" width="7.42578125" style="62" customWidth="1"/>
    <col min="2812" max="2812" width="15" style="62" customWidth="1"/>
    <col min="2813" max="2813" width="36.140625" style="62" customWidth="1"/>
    <col min="2814" max="2814" width="18.28515625" style="62" customWidth="1"/>
    <col min="2815" max="2815" width="17.28515625" style="62" customWidth="1"/>
    <col min="2816" max="2816" width="19.5703125" style="62" customWidth="1"/>
    <col min="2817" max="2817" width="20.140625" style="62" customWidth="1"/>
    <col min="2818" max="2819" width="13.7109375" style="62" customWidth="1"/>
    <col min="2820" max="2821" width="13.5703125" style="62" customWidth="1"/>
    <col min="2822" max="2825" width="13.7109375" style="62" customWidth="1"/>
    <col min="2826" max="2826" width="13.85546875" style="62" customWidth="1"/>
    <col min="2827" max="2827" width="12.28515625" style="62" customWidth="1"/>
    <col min="2828" max="3066" width="8.85546875" style="62"/>
    <col min="3067" max="3067" width="7.42578125" style="62" customWidth="1"/>
    <col min="3068" max="3068" width="15" style="62" customWidth="1"/>
    <col min="3069" max="3069" width="36.140625" style="62" customWidth="1"/>
    <col min="3070" max="3070" width="18.28515625" style="62" customWidth="1"/>
    <col min="3071" max="3071" width="17.28515625" style="62" customWidth="1"/>
    <col min="3072" max="3072" width="19.5703125" style="62" customWidth="1"/>
    <col min="3073" max="3073" width="20.140625" style="62" customWidth="1"/>
    <col min="3074" max="3075" width="13.7109375" style="62" customWidth="1"/>
    <col min="3076" max="3077" width="13.5703125" style="62" customWidth="1"/>
    <col min="3078" max="3081" width="13.7109375" style="62" customWidth="1"/>
    <col min="3082" max="3082" width="13.85546875" style="62" customWidth="1"/>
    <col min="3083" max="3083" width="12.28515625" style="62" customWidth="1"/>
    <col min="3084" max="3322" width="8.85546875" style="62"/>
    <col min="3323" max="3323" width="7.42578125" style="62" customWidth="1"/>
    <col min="3324" max="3324" width="15" style="62" customWidth="1"/>
    <col min="3325" max="3325" width="36.140625" style="62" customWidth="1"/>
    <col min="3326" max="3326" width="18.28515625" style="62" customWidth="1"/>
    <col min="3327" max="3327" width="17.28515625" style="62" customWidth="1"/>
    <col min="3328" max="3328" width="19.5703125" style="62" customWidth="1"/>
    <col min="3329" max="3329" width="20.140625" style="62" customWidth="1"/>
    <col min="3330" max="3331" width="13.7109375" style="62" customWidth="1"/>
    <col min="3332" max="3333" width="13.5703125" style="62" customWidth="1"/>
    <col min="3334" max="3337" width="13.7109375" style="62" customWidth="1"/>
    <col min="3338" max="3338" width="13.85546875" style="62" customWidth="1"/>
    <col min="3339" max="3339" width="12.28515625" style="62" customWidth="1"/>
    <col min="3340" max="3578" width="8.85546875" style="62"/>
    <col min="3579" max="3579" width="7.42578125" style="62" customWidth="1"/>
    <col min="3580" max="3580" width="15" style="62" customWidth="1"/>
    <col min="3581" max="3581" width="36.140625" style="62" customWidth="1"/>
    <col min="3582" max="3582" width="18.28515625" style="62" customWidth="1"/>
    <col min="3583" max="3583" width="17.28515625" style="62" customWidth="1"/>
    <col min="3584" max="3584" width="19.5703125" style="62" customWidth="1"/>
    <col min="3585" max="3585" width="20.140625" style="62" customWidth="1"/>
    <col min="3586" max="3587" width="13.7109375" style="62" customWidth="1"/>
    <col min="3588" max="3589" width="13.5703125" style="62" customWidth="1"/>
    <col min="3590" max="3593" width="13.7109375" style="62" customWidth="1"/>
    <col min="3594" max="3594" width="13.85546875" style="62" customWidth="1"/>
    <col min="3595" max="3595" width="12.28515625" style="62" customWidth="1"/>
    <col min="3596" max="3834" width="8.85546875" style="62"/>
    <col min="3835" max="3835" width="7.42578125" style="62" customWidth="1"/>
    <col min="3836" max="3836" width="15" style="62" customWidth="1"/>
    <col min="3837" max="3837" width="36.140625" style="62" customWidth="1"/>
    <col min="3838" max="3838" width="18.28515625" style="62" customWidth="1"/>
    <col min="3839" max="3839" width="17.28515625" style="62" customWidth="1"/>
    <col min="3840" max="3840" width="19.5703125" style="62" customWidth="1"/>
    <col min="3841" max="3841" width="20.140625" style="62" customWidth="1"/>
    <col min="3842" max="3843" width="13.7109375" style="62" customWidth="1"/>
    <col min="3844" max="3845" width="13.5703125" style="62" customWidth="1"/>
    <col min="3846" max="3849" width="13.7109375" style="62" customWidth="1"/>
    <col min="3850" max="3850" width="13.85546875" style="62" customWidth="1"/>
    <col min="3851" max="3851" width="12.28515625" style="62" customWidth="1"/>
    <col min="3852" max="4090" width="8.85546875" style="62"/>
    <col min="4091" max="4091" width="7.42578125" style="62" customWidth="1"/>
    <col min="4092" max="4092" width="15" style="62" customWidth="1"/>
    <col min="4093" max="4093" width="36.140625" style="62" customWidth="1"/>
    <col min="4094" max="4094" width="18.28515625" style="62" customWidth="1"/>
    <col min="4095" max="4095" width="17.28515625" style="62" customWidth="1"/>
    <col min="4096" max="4096" width="19.5703125" style="62" customWidth="1"/>
    <col min="4097" max="4097" width="20.140625" style="62" customWidth="1"/>
    <col min="4098" max="4099" width="13.7109375" style="62" customWidth="1"/>
    <col min="4100" max="4101" width="13.5703125" style="62" customWidth="1"/>
    <col min="4102" max="4105" width="13.7109375" style="62" customWidth="1"/>
    <col min="4106" max="4106" width="13.85546875" style="62" customWidth="1"/>
    <col min="4107" max="4107" width="12.28515625" style="62" customWidth="1"/>
    <col min="4108" max="4346" width="8.85546875" style="62"/>
    <col min="4347" max="4347" width="7.42578125" style="62" customWidth="1"/>
    <col min="4348" max="4348" width="15" style="62" customWidth="1"/>
    <col min="4349" max="4349" width="36.140625" style="62" customWidth="1"/>
    <col min="4350" max="4350" width="18.28515625" style="62" customWidth="1"/>
    <col min="4351" max="4351" width="17.28515625" style="62" customWidth="1"/>
    <col min="4352" max="4352" width="19.5703125" style="62" customWidth="1"/>
    <col min="4353" max="4353" width="20.140625" style="62" customWidth="1"/>
    <col min="4354" max="4355" width="13.7109375" style="62" customWidth="1"/>
    <col min="4356" max="4357" width="13.5703125" style="62" customWidth="1"/>
    <col min="4358" max="4361" width="13.7109375" style="62" customWidth="1"/>
    <col min="4362" max="4362" width="13.85546875" style="62" customWidth="1"/>
    <col min="4363" max="4363" width="12.28515625" style="62" customWidth="1"/>
    <col min="4364" max="4602" width="8.85546875" style="62"/>
    <col min="4603" max="4603" width="7.42578125" style="62" customWidth="1"/>
    <col min="4604" max="4604" width="15" style="62" customWidth="1"/>
    <col min="4605" max="4605" width="36.140625" style="62" customWidth="1"/>
    <col min="4606" max="4606" width="18.28515625" style="62" customWidth="1"/>
    <col min="4607" max="4607" width="17.28515625" style="62" customWidth="1"/>
    <col min="4608" max="4608" width="19.5703125" style="62" customWidth="1"/>
    <col min="4609" max="4609" width="20.140625" style="62" customWidth="1"/>
    <col min="4610" max="4611" width="13.7109375" style="62" customWidth="1"/>
    <col min="4612" max="4613" width="13.5703125" style="62" customWidth="1"/>
    <col min="4614" max="4617" width="13.7109375" style="62" customWidth="1"/>
    <col min="4618" max="4618" width="13.85546875" style="62" customWidth="1"/>
    <col min="4619" max="4619" width="12.28515625" style="62" customWidth="1"/>
    <col min="4620" max="4858" width="8.85546875" style="62"/>
    <col min="4859" max="4859" width="7.42578125" style="62" customWidth="1"/>
    <col min="4860" max="4860" width="15" style="62" customWidth="1"/>
    <col min="4861" max="4861" width="36.140625" style="62" customWidth="1"/>
    <col min="4862" max="4862" width="18.28515625" style="62" customWidth="1"/>
    <col min="4863" max="4863" width="17.28515625" style="62" customWidth="1"/>
    <col min="4864" max="4864" width="19.5703125" style="62" customWidth="1"/>
    <col min="4865" max="4865" width="20.140625" style="62" customWidth="1"/>
    <col min="4866" max="4867" width="13.7109375" style="62" customWidth="1"/>
    <col min="4868" max="4869" width="13.5703125" style="62" customWidth="1"/>
    <col min="4870" max="4873" width="13.7109375" style="62" customWidth="1"/>
    <col min="4874" max="4874" width="13.85546875" style="62" customWidth="1"/>
    <col min="4875" max="4875" width="12.28515625" style="62" customWidth="1"/>
    <col min="4876" max="5114" width="8.85546875" style="62"/>
    <col min="5115" max="5115" width="7.42578125" style="62" customWidth="1"/>
    <col min="5116" max="5116" width="15" style="62" customWidth="1"/>
    <col min="5117" max="5117" width="36.140625" style="62" customWidth="1"/>
    <col min="5118" max="5118" width="18.28515625" style="62" customWidth="1"/>
    <col min="5119" max="5119" width="17.28515625" style="62" customWidth="1"/>
    <col min="5120" max="5120" width="19.5703125" style="62" customWidth="1"/>
    <col min="5121" max="5121" width="20.140625" style="62" customWidth="1"/>
    <col min="5122" max="5123" width="13.7109375" style="62" customWidth="1"/>
    <col min="5124" max="5125" width="13.5703125" style="62" customWidth="1"/>
    <col min="5126" max="5129" width="13.7109375" style="62" customWidth="1"/>
    <col min="5130" max="5130" width="13.85546875" style="62" customWidth="1"/>
    <col min="5131" max="5131" width="12.28515625" style="62" customWidth="1"/>
    <col min="5132" max="5370" width="8.85546875" style="62"/>
    <col min="5371" max="5371" width="7.42578125" style="62" customWidth="1"/>
    <col min="5372" max="5372" width="15" style="62" customWidth="1"/>
    <col min="5373" max="5373" width="36.140625" style="62" customWidth="1"/>
    <col min="5374" max="5374" width="18.28515625" style="62" customWidth="1"/>
    <col min="5375" max="5375" width="17.28515625" style="62" customWidth="1"/>
    <col min="5376" max="5376" width="19.5703125" style="62" customWidth="1"/>
    <col min="5377" max="5377" width="20.140625" style="62" customWidth="1"/>
    <col min="5378" max="5379" width="13.7109375" style="62" customWidth="1"/>
    <col min="5380" max="5381" width="13.5703125" style="62" customWidth="1"/>
    <col min="5382" max="5385" width="13.7109375" style="62" customWidth="1"/>
    <col min="5386" max="5386" width="13.85546875" style="62" customWidth="1"/>
    <col min="5387" max="5387" width="12.28515625" style="62" customWidth="1"/>
    <col min="5388" max="5626" width="8.85546875" style="62"/>
    <col min="5627" max="5627" width="7.42578125" style="62" customWidth="1"/>
    <col min="5628" max="5628" width="15" style="62" customWidth="1"/>
    <col min="5629" max="5629" width="36.140625" style="62" customWidth="1"/>
    <col min="5630" max="5630" width="18.28515625" style="62" customWidth="1"/>
    <col min="5631" max="5631" width="17.28515625" style="62" customWidth="1"/>
    <col min="5632" max="5632" width="19.5703125" style="62" customWidth="1"/>
    <col min="5633" max="5633" width="20.140625" style="62" customWidth="1"/>
    <col min="5634" max="5635" width="13.7109375" style="62" customWidth="1"/>
    <col min="5636" max="5637" width="13.5703125" style="62" customWidth="1"/>
    <col min="5638" max="5641" width="13.7109375" style="62" customWidth="1"/>
    <col min="5642" max="5642" width="13.85546875" style="62" customWidth="1"/>
    <col min="5643" max="5643" width="12.28515625" style="62" customWidth="1"/>
    <col min="5644" max="5882" width="8.85546875" style="62"/>
    <col min="5883" max="5883" width="7.42578125" style="62" customWidth="1"/>
    <col min="5884" max="5884" width="15" style="62" customWidth="1"/>
    <col min="5885" max="5885" width="36.140625" style="62" customWidth="1"/>
    <col min="5886" max="5886" width="18.28515625" style="62" customWidth="1"/>
    <col min="5887" max="5887" width="17.28515625" style="62" customWidth="1"/>
    <col min="5888" max="5888" width="19.5703125" style="62" customWidth="1"/>
    <col min="5889" max="5889" width="20.140625" style="62" customWidth="1"/>
    <col min="5890" max="5891" width="13.7109375" style="62" customWidth="1"/>
    <col min="5892" max="5893" width="13.5703125" style="62" customWidth="1"/>
    <col min="5894" max="5897" width="13.7109375" style="62" customWidth="1"/>
    <col min="5898" max="5898" width="13.85546875" style="62" customWidth="1"/>
    <col min="5899" max="5899" width="12.28515625" style="62" customWidth="1"/>
    <col min="5900" max="6138" width="8.85546875" style="62"/>
    <col min="6139" max="6139" width="7.42578125" style="62" customWidth="1"/>
    <col min="6140" max="6140" width="15" style="62" customWidth="1"/>
    <col min="6141" max="6141" width="36.140625" style="62" customWidth="1"/>
    <col min="6142" max="6142" width="18.28515625" style="62" customWidth="1"/>
    <col min="6143" max="6143" width="17.28515625" style="62" customWidth="1"/>
    <col min="6144" max="6144" width="19.5703125" style="62" customWidth="1"/>
    <col min="6145" max="6145" width="20.140625" style="62" customWidth="1"/>
    <col min="6146" max="6147" width="13.7109375" style="62" customWidth="1"/>
    <col min="6148" max="6149" width="13.5703125" style="62" customWidth="1"/>
    <col min="6150" max="6153" width="13.7109375" style="62" customWidth="1"/>
    <col min="6154" max="6154" width="13.85546875" style="62" customWidth="1"/>
    <col min="6155" max="6155" width="12.28515625" style="62" customWidth="1"/>
    <col min="6156" max="6394" width="8.85546875" style="62"/>
    <col min="6395" max="6395" width="7.42578125" style="62" customWidth="1"/>
    <col min="6396" max="6396" width="15" style="62" customWidth="1"/>
    <col min="6397" max="6397" width="36.140625" style="62" customWidth="1"/>
    <col min="6398" max="6398" width="18.28515625" style="62" customWidth="1"/>
    <col min="6399" max="6399" width="17.28515625" style="62" customWidth="1"/>
    <col min="6400" max="6400" width="19.5703125" style="62" customWidth="1"/>
    <col min="6401" max="6401" width="20.140625" style="62" customWidth="1"/>
    <col min="6402" max="6403" width="13.7109375" style="62" customWidth="1"/>
    <col min="6404" max="6405" width="13.5703125" style="62" customWidth="1"/>
    <col min="6406" max="6409" width="13.7109375" style="62" customWidth="1"/>
    <col min="6410" max="6410" width="13.85546875" style="62" customWidth="1"/>
    <col min="6411" max="6411" width="12.28515625" style="62" customWidth="1"/>
    <col min="6412" max="6650" width="8.85546875" style="62"/>
    <col min="6651" max="6651" width="7.42578125" style="62" customWidth="1"/>
    <col min="6652" max="6652" width="15" style="62" customWidth="1"/>
    <col min="6653" max="6653" width="36.140625" style="62" customWidth="1"/>
    <col min="6654" max="6654" width="18.28515625" style="62" customWidth="1"/>
    <col min="6655" max="6655" width="17.28515625" style="62" customWidth="1"/>
    <col min="6656" max="6656" width="19.5703125" style="62" customWidth="1"/>
    <col min="6657" max="6657" width="20.140625" style="62" customWidth="1"/>
    <col min="6658" max="6659" width="13.7109375" style="62" customWidth="1"/>
    <col min="6660" max="6661" width="13.5703125" style="62" customWidth="1"/>
    <col min="6662" max="6665" width="13.7109375" style="62" customWidth="1"/>
    <col min="6666" max="6666" width="13.85546875" style="62" customWidth="1"/>
    <col min="6667" max="6667" width="12.28515625" style="62" customWidth="1"/>
    <col min="6668" max="6906" width="8.85546875" style="62"/>
    <col min="6907" max="6907" width="7.42578125" style="62" customWidth="1"/>
    <col min="6908" max="6908" width="15" style="62" customWidth="1"/>
    <col min="6909" max="6909" width="36.140625" style="62" customWidth="1"/>
    <col min="6910" max="6910" width="18.28515625" style="62" customWidth="1"/>
    <col min="6911" max="6911" width="17.28515625" style="62" customWidth="1"/>
    <col min="6912" max="6912" width="19.5703125" style="62" customWidth="1"/>
    <col min="6913" max="6913" width="20.140625" style="62" customWidth="1"/>
    <col min="6914" max="6915" width="13.7109375" style="62" customWidth="1"/>
    <col min="6916" max="6917" width="13.5703125" style="62" customWidth="1"/>
    <col min="6918" max="6921" width="13.7109375" style="62" customWidth="1"/>
    <col min="6922" max="6922" width="13.85546875" style="62" customWidth="1"/>
    <col min="6923" max="6923" width="12.28515625" style="62" customWidth="1"/>
    <col min="6924" max="7162" width="8.85546875" style="62"/>
    <col min="7163" max="7163" width="7.42578125" style="62" customWidth="1"/>
    <col min="7164" max="7164" width="15" style="62" customWidth="1"/>
    <col min="7165" max="7165" width="36.140625" style="62" customWidth="1"/>
    <col min="7166" max="7166" width="18.28515625" style="62" customWidth="1"/>
    <col min="7167" max="7167" width="17.28515625" style="62" customWidth="1"/>
    <col min="7168" max="7168" width="19.5703125" style="62" customWidth="1"/>
    <col min="7169" max="7169" width="20.140625" style="62" customWidth="1"/>
    <col min="7170" max="7171" width="13.7109375" style="62" customWidth="1"/>
    <col min="7172" max="7173" width="13.5703125" style="62" customWidth="1"/>
    <col min="7174" max="7177" width="13.7109375" style="62" customWidth="1"/>
    <col min="7178" max="7178" width="13.85546875" style="62" customWidth="1"/>
    <col min="7179" max="7179" width="12.28515625" style="62" customWidth="1"/>
    <col min="7180" max="7418" width="8.85546875" style="62"/>
    <col min="7419" max="7419" width="7.42578125" style="62" customWidth="1"/>
    <col min="7420" max="7420" width="15" style="62" customWidth="1"/>
    <col min="7421" max="7421" width="36.140625" style="62" customWidth="1"/>
    <col min="7422" max="7422" width="18.28515625" style="62" customWidth="1"/>
    <col min="7423" max="7423" width="17.28515625" style="62" customWidth="1"/>
    <col min="7424" max="7424" width="19.5703125" style="62" customWidth="1"/>
    <col min="7425" max="7425" width="20.140625" style="62" customWidth="1"/>
    <col min="7426" max="7427" width="13.7109375" style="62" customWidth="1"/>
    <col min="7428" max="7429" width="13.5703125" style="62" customWidth="1"/>
    <col min="7430" max="7433" width="13.7109375" style="62" customWidth="1"/>
    <col min="7434" max="7434" width="13.85546875" style="62" customWidth="1"/>
    <col min="7435" max="7435" width="12.28515625" style="62" customWidth="1"/>
    <col min="7436" max="7674" width="8.85546875" style="62"/>
    <col min="7675" max="7675" width="7.42578125" style="62" customWidth="1"/>
    <col min="7676" max="7676" width="15" style="62" customWidth="1"/>
    <col min="7677" max="7677" width="36.140625" style="62" customWidth="1"/>
    <col min="7678" max="7678" width="18.28515625" style="62" customWidth="1"/>
    <col min="7679" max="7679" width="17.28515625" style="62" customWidth="1"/>
    <col min="7680" max="7680" width="19.5703125" style="62" customWidth="1"/>
    <col min="7681" max="7681" width="20.140625" style="62" customWidth="1"/>
    <col min="7682" max="7683" width="13.7109375" style="62" customWidth="1"/>
    <col min="7684" max="7685" width="13.5703125" style="62" customWidth="1"/>
    <col min="7686" max="7689" width="13.7109375" style="62" customWidth="1"/>
    <col min="7690" max="7690" width="13.85546875" style="62" customWidth="1"/>
    <col min="7691" max="7691" width="12.28515625" style="62" customWidth="1"/>
    <col min="7692" max="7930" width="8.85546875" style="62"/>
    <col min="7931" max="7931" width="7.42578125" style="62" customWidth="1"/>
    <col min="7932" max="7932" width="15" style="62" customWidth="1"/>
    <col min="7933" max="7933" width="36.140625" style="62" customWidth="1"/>
    <col min="7934" max="7934" width="18.28515625" style="62" customWidth="1"/>
    <col min="7935" max="7935" width="17.28515625" style="62" customWidth="1"/>
    <col min="7936" max="7936" width="19.5703125" style="62" customWidth="1"/>
    <col min="7937" max="7937" width="20.140625" style="62" customWidth="1"/>
    <col min="7938" max="7939" width="13.7109375" style="62" customWidth="1"/>
    <col min="7940" max="7941" width="13.5703125" style="62" customWidth="1"/>
    <col min="7942" max="7945" width="13.7109375" style="62" customWidth="1"/>
    <col min="7946" max="7946" width="13.85546875" style="62" customWidth="1"/>
    <col min="7947" max="7947" width="12.28515625" style="62" customWidth="1"/>
    <col min="7948" max="8186" width="8.85546875" style="62"/>
    <col min="8187" max="8187" width="7.42578125" style="62" customWidth="1"/>
    <col min="8188" max="8188" width="15" style="62" customWidth="1"/>
    <col min="8189" max="8189" width="36.140625" style="62" customWidth="1"/>
    <col min="8190" max="8190" width="18.28515625" style="62" customWidth="1"/>
    <col min="8191" max="8191" width="17.28515625" style="62" customWidth="1"/>
    <col min="8192" max="8192" width="19.5703125" style="62" customWidth="1"/>
    <col min="8193" max="8193" width="20.140625" style="62" customWidth="1"/>
    <col min="8194" max="8195" width="13.7109375" style="62" customWidth="1"/>
    <col min="8196" max="8197" width="13.5703125" style="62" customWidth="1"/>
    <col min="8198" max="8201" width="13.7109375" style="62" customWidth="1"/>
    <col min="8202" max="8202" width="13.85546875" style="62" customWidth="1"/>
    <col min="8203" max="8203" width="12.28515625" style="62" customWidth="1"/>
    <col min="8204" max="8442" width="8.85546875" style="62"/>
    <col min="8443" max="8443" width="7.42578125" style="62" customWidth="1"/>
    <col min="8444" max="8444" width="15" style="62" customWidth="1"/>
    <col min="8445" max="8445" width="36.140625" style="62" customWidth="1"/>
    <col min="8446" max="8446" width="18.28515625" style="62" customWidth="1"/>
    <col min="8447" max="8447" width="17.28515625" style="62" customWidth="1"/>
    <col min="8448" max="8448" width="19.5703125" style="62" customWidth="1"/>
    <col min="8449" max="8449" width="20.140625" style="62" customWidth="1"/>
    <col min="8450" max="8451" width="13.7109375" style="62" customWidth="1"/>
    <col min="8452" max="8453" width="13.5703125" style="62" customWidth="1"/>
    <col min="8454" max="8457" width="13.7109375" style="62" customWidth="1"/>
    <col min="8458" max="8458" width="13.85546875" style="62" customWidth="1"/>
    <col min="8459" max="8459" width="12.28515625" style="62" customWidth="1"/>
    <col min="8460" max="8698" width="8.85546875" style="62"/>
    <col min="8699" max="8699" width="7.42578125" style="62" customWidth="1"/>
    <col min="8700" max="8700" width="15" style="62" customWidth="1"/>
    <col min="8701" max="8701" width="36.140625" style="62" customWidth="1"/>
    <col min="8702" max="8702" width="18.28515625" style="62" customWidth="1"/>
    <col min="8703" max="8703" width="17.28515625" style="62" customWidth="1"/>
    <col min="8704" max="8704" width="19.5703125" style="62" customWidth="1"/>
    <col min="8705" max="8705" width="20.140625" style="62" customWidth="1"/>
    <col min="8706" max="8707" width="13.7109375" style="62" customWidth="1"/>
    <col min="8708" max="8709" width="13.5703125" style="62" customWidth="1"/>
    <col min="8710" max="8713" width="13.7109375" style="62" customWidth="1"/>
    <col min="8714" max="8714" width="13.85546875" style="62" customWidth="1"/>
    <col min="8715" max="8715" width="12.28515625" style="62" customWidth="1"/>
    <col min="8716" max="8954" width="8.85546875" style="62"/>
    <col min="8955" max="8955" width="7.42578125" style="62" customWidth="1"/>
    <col min="8956" max="8956" width="15" style="62" customWidth="1"/>
    <col min="8957" max="8957" width="36.140625" style="62" customWidth="1"/>
    <col min="8958" max="8958" width="18.28515625" style="62" customWidth="1"/>
    <col min="8959" max="8959" width="17.28515625" style="62" customWidth="1"/>
    <col min="8960" max="8960" width="19.5703125" style="62" customWidth="1"/>
    <col min="8961" max="8961" width="20.140625" style="62" customWidth="1"/>
    <col min="8962" max="8963" width="13.7109375" style="62" customWidth="1"/>
    <col min="8964" max="8965" width="13.5703125" style="62" customWidth="1"/>
    <col min="8966" max="8969" width="13.7109375" style="62" customWidth="1"/>
    <col min="8970" max="8970" width="13.85546875" style="62" customWidth="1"/>
    <col min="8971" max="8971" width="12.28515625" style="62" customWidth="1"/>
    <col min="8972" max="9210" width="8.85546875" style="62"/>
    <col min="9211" max="9211" width="7.42578125" style="62" customWidth="1"/>
    <col min="9212" max="9212" width="15" style="62" customWidth="1"/>
    <col min="9213" max="9213" width="36.140625" style="62" customWidth="1"/>
    <col min="9214" max="9214" width="18.28515625" style="62" customWidth="1"/>
    <col min="9215" max="9215" width="17.28515625" style="62" customWidth="1"/>
    <col min="9216" max="9216" width="19.5703125" style="62" customWidth="1"/>
    <col min="9217" max="9217" width="20.140625" style="62" customWidth="1"/>
    <col min="9218" max="9219" width="13.7109375" style="62" customWidth="1"/>
    <col min="9220" max="9221" width="13.5703125" style="62" customWidth="1"/>
    <col min="9222" max="9225" width="13.7109375" style="62" customWidth="1"/>
    <col min="9226" max="9226" width="13.85546875" style="62" customWidth="1"/>
    <col min="9227" max="9227" width="12.28515625" style="62" customWidth="1"/>
    <col min="9228" max="9466" width="8.85546875" style="62"/>
    <col min="9467" max="9467" width="7.42578125" style="62" customWidth="1"/>
    <col min="9468" max="9468" width="15" style="62" customWidth="1"/>
    <col min="9469" max="9469" width="36.140625" style="62" customWidth="1"/>
    <col min="9470" max="9470" width="18.28515625" style="62" customWidth="1"/>
    <col min="9471" max="9471" width="17.28515625" style="62" customWidth="1"/>
    <col min="9472" max="9472" width="19.5703125" style="62" customWidth="1"/>
    <col min="9473" max="9473" width="20.140625" style="62" customWidth="1"/>
    <col min="9474" max="9475" width="13.7109375" style="62" customWidth="1"/>
    <col min="9476" max="9477" width="13.5703125" style="62" customWidth="1"/>
    <col min="9478" max="9481" width="13.7109375" style="62" customWidth="1"/>
    <col min="9482" max="9482" width="13.85546875" style="62" customWidth="1"/>
    <col min="9483" max="9483" width="12.28515625" style="62" customWidth="1"/>
    <col min="9484" max="9722" width="8.85546875" style="62"/>
    <col min="9723" max="9723" width="7.42578125" style="62" customWidth="1"/>
    <col min="9724" max="9724" width="15" style="62" customWidth="1"/>
    <col min="9725" max="9725" width="36.140625" style="62" customWidth="1"/>
    <col min="9726" max="9726" width="18.28515625" style="62" customWidth="1"/>
    <col min="9727" max="9727" width="17.28515625" style="62" customWidth="1"/>
    <col min="9728" max="9728" width="19.5703125" style="62" customWidth="1"/>
    <col min="9729" max="9729" width="20.140625" style="62" customWidth="1"/>
    <col min="9730" max="9731" width="13.7109375" style="62" customWidth="1"/>
    <col min="9732" max="9733" width="13.5703125" style="62" customWidth="1"/>
    <col min="9734" max="9737" width="13.7109375" style="62" customWidth="1"/>
    <col min="9738" max="9738" width="13.85546875" style="62" customWidth="1"/>
    <col min="9739" max="9739" width="12.28515625" style="62" customWidth="1"/>
    <col min="9740" max="9978" width="8.85546875" style="62"/>
    <col min="9979" max="9979" width="7.42578125" style="62" customWidth="1"/>
    <col min="9980" max="9980" width="15" style="62" customWidth="1"/>
    <col min="9981" max="9981" width="36.140625" style="62" customWidth="1"/>
    <col min="9982" max="9982" width="18.28515625" style="62" customWidth="1"/>
    <col min="9983" max="9983" width="17.28515625" style="62" customWidth="1"/>
    <col min="9984" max="9984" width="19.5703125" style="62" customWidth="1"/>
    <col min="9985" max="9985" width="20.140625" style="62" customWidth="1"/>
    <col min="9986" max="9987" width="13.7109375" style="62" customWidth="1"/>
    <col min="9988" max="9989" width="13.5703125" style="62" customWidth="1"/>
    <col min="9990" max="9993" width="13.7109375" style="62" customWidth="1"/>
    <col min="9994" max="9994" width="13.85546875" style="62" customWidth="1"/>
    <col min="9995" max="9995" width="12.28515625" style="62" customWidth="1"/>
    <col min="9996" max="10234" width="8.85546875" style="62"/>
    <col min="10235" max="10235" width="7.42578125" style="62" customWidth="1"/>
    <col min="10236" max="10236" width="15" style="62" customWidth="1"/>
    <col min="10237" max="10237" width="36.140625" style="62" customWidth="1"/>
    <col min="10238" max="10238" width="18.28515625" style="62" customWidth="1"/>
    <col min="10239" max="10239" width="17.28515625" style="62" customWidth="1"/>
    <col min="10240" max="10240" width="19.5703125" style="62" customWidth="1"/>
    <col min="10241" max="10241" width="20.140625" style="62" customWidth="1"/>
    <col min="10242" max="10243" width="13.7109375" style="62" customWidth="1"/>
    <col min="10244" max="10245" width="13.5703125" style="62" customWidth="1"/>
    <col min="10246" max="10249" width="13.7109375" style="62" customWidth="1"/>
    <col min="10250" max="10250" width="13.85546875" style="62" customWidth="1"/>
    <col min="10251" max="10251" width="12.28515625" style="62" customWidth="1"/>
    <col min="10252" max="10490" width="8.85546875" style="62"/>
    <col min="10491" max="10491" width="7.42578125" style="62" customWidth="1"/>
    <col min="10492" max="10492" width="15" style="62" customWidth="1"/>
    <col min="10493" max="10493" width="36.140625" style="62" customWidth="1"/>
    <col min="10494" max="10494" width="18.28515625" style="62" customWidth="1"/>
    <col min="10495" max="10495" width="17.28515625" style="62" customWidth="1"/>
    <col min="10496" max="10496" width="19.5703125" style="62" customWidth="1"/>
    <col min="10497" max="10497" width="20.140625" style="62" customWidth="1"/>
    <col min="10498" max="10499" width="13.7109375" style="62" customWidth="1"/>
    <col min="10500" max="10501" width="13.5703125" style="62" customWidth="1"/>
    <col min="10502" max="10505" width="13.7109375" style="62" customWidth="1"/>
    <col min="10506" max="10506" width="13.85546875" style="62" customWidth="1"/>
    <col min="10507" max="10507" width="12.28515625" style="62" customWidth="1"/>
    <col min="10508" max="10746" width="8.85546875" style="62"/>
    <col min="10747" max="10747" width="7.42578125" style="62" customWidth="1"/>
    <col min="10748" max="10748" width="15" style="62" customWidth="1"/>
    <col min="10749" max="10749" width="36.140625" style="62" customWidth="1"/>
    <col min="10750" max="10750" width="18.28515625" style="62" customWidth="1"/>
    <col min="10751" max="10751" width="17.28515625" style="62" customWidth="1"/>
    <col min="10752" max="10752" width="19.5703125" style="62" customWidth="1"/>
    <col min="10753" max="10753" width="20.140625" style="62" customWidth="1"/>
    <col min="10754" max="10755" width="13.7109375" style="62" customWidth="1"/>
    <col min="10756" max="10757" width="13.5703125" style="62" customWidth="1"/>
    <col min="10758" max="10761" width="13.7109375" style="62" customWidth="1"/>
    <col min="10762" max="10762" width="13.85546875" style="62" customWidth="1"/>
    <col min="10763" max="10763" width="12.28515625" style="62" customWidth="1"/>
    <col min="10764" max="11002" width="8.85546875" style="62"/>
    <col min="11003" max="11003" width="7.42578125" style="62" customWidth="1"/>
    <col min="11004" max="11004" width="15" style="62" customWidth="1"/>
    <col min="11005" max="11005" width="36.140625" style="62" customWidth="1"/>
    <col min="11006" max="11006" width="18.28515625" style="62" customWidth="1"/>
    <col min="11007" max="11007" width="17.28515625" style="62" customWidth="1"/>
    <col min="11008" max="11008" width="19.5703125" style="62" customWidth="1"/>
    <col min="11009" max="11009" width="20.140625" style="62" customWidth="1"/>
    <col min="11010" max="11011" width="13.7109375" style="62" customWidth="1"/>
    <col min="11012" max="11013" width="13.5703125" style="62" customWidth="1"/>
    <col min="11014" max="11017" width="13.7109375" style="62" customWidth="1"/>
    <col min="11018" max="11018" width="13.85546875" style="62" customWidth="1"/>
    <col min="11019" max="11019" width="12.28515625" style="62" customWidth="1"/>
    <col min="11020" max="11258" width="8.85546875" style="62"/>
    <col min="11259" max="11259" width="7.42578125" style="62" customWidth="1"/>
    <col min="11260" max="11260" width="15" style="62" customWidth="1"/>
    <col min="11261" max="11261" width="36.140625" style="62" customWidth="1"/>
    <col min="11262" max="11262" width="18.28515625" style="62" customWidth="1"/>
    <col min="11263" max="11263" width="17.28515625" style="62" customWidth="1"/>
    <col min="11264" max="11264" width="19.5703125" style="62" customWidth="1"/>
    <col min="11265" max="11265" width="20.140625" style="62" customWidth="1"/>
    <col min="11266" max="11267" width="13.7109375" style="62" customWidth="1"/>
    <col min="11268" max="11269" width="13.5703125" style="62" customWidth="1"/>
    <col min="11270" max="11273" width="13.7109375" style="62" customWidth="1"/>
    <col min="11274" max="11274" width="13.85546875" style="62" customWidth="1"/>
    <col min="11275" max="11275" width="12.28515625" style="62" customWidth="1"/>
    <col min="11276" max="11514" width="8.85546875" style="62"/>
    <col min="11515" max="11515" width="7.42578125" style="62" customWidth="1"/>
    <col min="11516" max="11516" width="15" style="62" customWidth="1"/>
    <col min="11517" max="11517" width="36.140625" style="62" customWidth="1"/>
    <col min="11518" max="11518" width="18.28515625" style="62" customWidth="1"/>
    <col min="11519" max="11519" width="17.28515625" style="62" customWidth="1"/>
    <col min="11520" max="11520" width="19.5703125" style="62" customWidth="1"/>
    <col min="11521" max="11521" width="20.140625" style="62" customWidth="1"/>
    <col min="11522" max="11523" width="13.7109375" style="62" customWidth="1"/>
    <col min="11524" max="11525" width="13.5703125" style="62" customWidth="1"/>
    <col min="11526" max="11529" width="13.7109375" style="62" customWidth="1"/>
    <col min="11530" max="11530" width="13.85546875" style="62" customWidth="1"/>
    <col min="11531" max="11531" width="12.28515625" style="62" customWidth="1"/>
    <col min="11532" max="11770" width="8.85546875" style="62"/>
    <col min="11771" max="11771" width="7.42578125" style="62" customWidth="1"/>
    <col min="11772" max="11772" width="15" style="62" customWidth="1"/>
    <col min="11773" max="11773" width="36.140625" style="62" customWidth="1"/>
    <col min="11774" max="11774" width="18.28515625" style="62" customWidth="1"/>
    <col min="11775" max="11775" width="17.28515625" style="62" customWidth="1"/>
    <col min="11776" max="11776" width="19.5703125" style="62" customWidth="1"/>
    <col min="11777" max="11777" width="20.140625" style="62" customWidth="1"/>
    <col min="11778" max="11779" width="13.7109375" style="62" customWidth="1"/>
    <col min="11780" max="11781" width="13.5703125" style="62" customWidth="1"/>
    <col min="11782" max="11785" width="13.7109375" style="62" customWidth="1"/>
    <col min="11786" max="11786" width="13.85546875" style="62" customWidth="1"/>
    <col min="11787" max="11787" width="12.28515625" style="62" customWidth="1"/>
    <col min="11788" max="12026" width="8.85546875" style="62"/>
    <col min="12027" max="12027" width="7.42578125" style="62" customWidth="1"/>
    <col min="12028" max="12028" width="15" style="62" customWidth="1"/>
    <col min="12029" max="12029" width="36.140625" style="62" customWidth="1"/>
    <col min="12030" max="12030" width="18.28515625" style="62" customWidth="1"/>
    <col min="12031" max="12031" width="17.28515625" style="62" customWidth="1"/>
    <col min="12032" max="12032" width="19.5703125" style="62" customWidth="1"/>
    <col min="12033" max="12033" width="20.140625" style="62" customWidth="1"/>
    <col min="12034" max="12035" width="13.7109375" style="62" customWidth="1"/>
    <col min="12036" max="12037" width="13.5703125" style="62" customWidth="1"/>
    <col min="12038" max="12041" width="13.7109375" style="62" customWidth="1"/>
    <col min="12042" max="12042" width="13.85546875" style="62" customWidth="1"/>
    <col min="12043" max="12043" width="12.28515625" style="62" customWidth="1"/>
    <col min="12044" max="12282" width="8.85546875" style="62"/>
    <col min="12283" max="12283" width="7.42578125" style="62" customWidth="1"/>
    <col min="12284" max="12284" width="15" style="62" customWidth="1"/>
    <col min="12285" max="12285" width="36.140625" style="62" customWidth="1"/>
    <col min="12286" max="12286" width="18.28515625" style="62" customWidth="1"/>
    <col min="12287" max="12287" width="17.28515625" style="62" customWidth="1"/>
    <col min="12288" max="12288" width="19.5703125" style="62" customWidth="1"/>
    <col min="12289" max="12289" width="20.140625" style="62" customWidth="1"/>
    <col min="12290" max="12291" width="13.7109375" style="62" customWidth="1"/>
    <col min="12292" max="12293" width="13.5703125" style="62" customWidth="1"/>
    <col min="12294" max="12297" width="13.7109375" style="62" customWidth="1"/>
    <col min="12298" max="12298" width="13.85546875" style="62" customWidth="1"/>
    <col min="12299" max="12299" width="12.28515625" style="62" customWidth="1"/>
    <col min="12300" max="12538" width="8.85546875" style="62"/>
    <col min="12539" max="12539" width="7.42578125" style="62" customWidth="1"/>
    <col min="12540" max="12540" width="15" style="62" customWidth="1"/>
    <col min="12541" max="12541" width="36.140625" style="62" customWidth="1"/>
    <col min="12542" max="12542" width="18.28515625" style="62" customWidth="1"/>
    <col min="12543" max="12543" width="17.28515625" style="62" customWidth="1"/>
    <col min="12544" max="12544" width="19.5703125" style="62" customWidth="1"/>
    <col min="12545" max="12545" width="20.140625" style="62" customWidth="1"/>
    <col min="12546" max="12547" width="13.7109375" style="62" customWidth="1"/>
    <col min="12548" max="12549" width="13.5703125" style="62" customWidth="1"/>
    <col min="12550" max="12553" width="13.7109375" style="62" customWidth="1"/>
    <col min="12554" max="12554" width="13.85546875" style="62" customWidth="1"/>
    <col min="12555" max="12555" width="12.28515625" style="62" customWidth="1"/>
    <col min="12556" max="12794" width="8.85546875" style="62"/>
    <col min="12795" max="12795" width="7.42578125" style="62" customWidth="1"/>
    <col min="12796" max="12796" width="15" style="62" customWidth="1"/>
    <col min="12797" max="12797" width="36.140625" style="62" customWidth="1"/>
    <col min="12798" max="12798" width="18.28515625" style="62" customWidth="1"/>
    <col min="12799" max="12799" width="17.28515625" style="62" customWidth="1"/>
    <col min="12800" max="12800" width="19.5703125" style="62" customWidth="1"/>
    <col min="12801" max="12801" width="20.140625" style="62" customWidth="1"/>
    <col min="12802" max="12803" width="13.7109375" style="62" customWidth="1"/>
    <col min="12804" max="12805" width="13.5703125" style="62" customWidth="1"/>
    <col min="12806" max="12809" width="13.7109375" style="62" customWidth="1"/>
    <col min="12810" max="12810" width="13.85546875" style="62" customWidth="1"/>
    <col min="12811" max="12811" width="12.28515625" style="62" customWidth="1"/>
    <col min="12812" max="13050" width="8.85546875" style="62"/>
    <col min="13051" max="13051" width="7.42578125" style="62" customWidth="1"/>
    <col min="13052" max="13052" width="15" style="62" customWidth="1"/>
    <col min="13053" max="13053" width="36.140625" style="62" customWidth="1"/>
    <col min="13054" max="13054" width="18.28515625" style="62" customWidth="1"/>
    <col min="13055" max="13055" width="17.28515625" style="62" customWidth="1"/>
    <col min="13056" max="13056" width="19.5703125" style="62" customWidth="1"/>
    <col min="13057" max="13057" width="20.140625" style="62" customWidth="1"/>
    <col min="13058" max="13059" width="13.7109375" style="62" customWidth="1"/>
    <col min="13060" max="13061" width="13.5703125" style="62" customWidth="1"/>
    <col min="13062" max="13065" width="13.7109375" style="62" customWidth="1"/>
    <col min="13066" max="13066" width="13.85546875" style="62" customWidth="1"/>
    <col min="13067" max="13067" width="12.28515625" style="62" customWidth="1"/>
    <col min="13068" max="13306" width="8.85546875" style="62"/>
    <col min="13307" max="13307" width="7.42578125" style="62" customWidth="1"/>
    <col min="13308" max="13308" width="15" style="62" customWidth="1"/>
    <col min="13309" max="13309" width="36.140625" style="62" customWidth="1"/>
    <col min="13310" max="13310" width="18.28515625" style="62" customWidth="1"/>
    <col min="13311" max="13311" width="17.28515625" style="62" customWidth="1"/>
    <col min="13312" max="13312" width="19.5703125" style="62" customWidth="1"/>
    <col min="13313" max="13313" width="20.140625" style="62" customWidth="1"/>
    <col min="13314" max="13315" width="13.7109375" style="62" customWidth="1"/>
    <col min="13316" max="13317" width="13.5703125" style="62" customWidth="1"/>
    <col min="13318" max="13321" width="13.7109375" style="62" customWidth="1"/>
    <col min="13322" max="13322" width="13.85546875" style="62" customWidth="1"/>
    <col min="13323" max="13323" width="12.28515625" style="62" customWidth="1"/>
    <col min="13324" max="13562" width="8.85546875" style="62"/>
    <col min="13563" max="13563" width="7.42578125" style="62" customWidth="1"/>
    <col min="13564" max="13564" width="15" style="62" customWidth="1"/>
    <col min="13565" max="13565" width="36.140625" style="62" customWidth="1"/>
    <col min="13566" max="13566" width="18.28515625" style="62" customWidth="1"/>
    <col min="13567" max="13567" width="17.28515625" style="62" customWidth="1"/>
    <col min="13568" max="13568" width="19.5703125" style="62" customWidth="1"/>
    <col min="13569" max="13569" width="20.140625" style="62" customWidth="1"/>
    <col min="13570" max="13571" width="13.7109375" style="62" customWidth="1"/>
    <col min="13572" max="13573" width="13.5703125" style="62" customWidth="1"/>
    <col min="13574" max="13577" width="13.7109375" style="62" customWidth="1"/>
    <col min="13578" max="13578" width="13.85546875" style="62" customWidth="1"/>
    <col min="13579" max="13579" width="12.28515625" style="62" customWidth="1"/>
    <col min="13580" max="13818" width="8.85546875" style="62"/>
    <col min="13819" max="13819" width="7.42578125" style="62" customWidth="1"/>
    <col min="13820" max="13820" width="15" style="62" customWidth="1"/>
    <col min="13821" max="13821" width="36.140625" style="62" customWidth="1"/>
    <col min="13822" max="13822" width="18.28515625" style="62" customWidth="1"/>
    <col min="13823" max="13823" width="17.28515625" style="62" customWidth="1"/>
    <col min="13824" max="13824" width="19.5703125" style="62" customWidth="1"/>
    <col min="13825" max="13825" width="20.140625" style="62" customWidth="1"/>
    <col min="13826" max="13827" width="13.7109375" style="62" customWidth="1"/>
    <col min="13828" max="13829" width="13.5703125" style="62" customWidth="1"/>
    <col min="13830" max="13833" width="13.7109375" style="62" customWidth="1"/>
    <col min="13834" max="13834" width="13.85546875" style="62" customWidth="1"/>
    <col min="13835" max="13835" width="12.28515625" style="62" customWidth="1"/>
    <col min="13836" max="14074" width="8.85546875" style="62"/>
    <col min="14075" max="14075" width="7.42578125" style="62" customWidth="1"/>
    <col min="14076" max="14076" width="15" style="62" customWidth="1"/>
    <col min="14077" max="14077" width="36.140625" style="62" customWidth="1"/>
    <col min="14078" max="14078" width="18.28515625" style="62" customWidth="1"/>
    <col min="14079" max="14079" width="17.28515625" style="62" customWidth="1"/>
    <col min="14080" max="14080" width="19.5703125" style="62" customWidth="1"/>
    <col min="14081" max="14081" width="20.140625" style="62" customWidth="1"/>
    <col min="14082" max="14083" width="13.7109375" style="62" customWidth="1"/>
    <col min="14084" max="14085" width="13.5703125" style="62" customWidth="1"/>
    <col min="14086" max="14089" width="13.7109375" style="62" customWidth="1"/>
    <col min="14090" max="14090" width="13.85546875" style="62" customWidth="1"/>
    <col min="14091" max="14091" width="12.28515625" style="62" customWidth="1"/>
    <col min="14092" max="14330" width="8.85546875" style="62"/>
    <col min="14331" max="14331" width="7.42578125" style="62" customWidth="1"/>
    <col min="14332" max="14332" width="15" style="62" customWidth="1"/>
    <col min="14333" max="14333" width="36.140625" style="62" customWidth="1"/>
    <col min="14334" max="14334" width="18.28515625" style="62" customWidth="1"/>
    <col min="14335" max="14335" width="17.28515625" style="62" customWidth="1"/>
    <col min="14336" max="14336" width="19.5703125" style="62" customWidth="1"/>
    <col min="14337" max="14337" width="20.140625" style="62" customWidth="1"/>
    <col min="14338" max="14339" width="13.7109375" style="62" customWidth="1"/>
    <col min="14340" max="14341" width="13.5703125" style="62" customWidth="1"/>
    <col min="14342" max="14345" width="13.7109375" style="62" customWidth="1"/>
    <col min="14346" max="14346" width="13.85546875" style="62" customWidth="1"/>
    <col min="14347" max="14347" width="12.28515625" style="62" customWidth="1"/>
    <col min="14348" max="14586" width="8.85546875" style="62"/>
    <col min="14587" max="14587" width="7.42578125" style="62" customWidth="1"/>
    <col min="14588" max="14588" width="15" style="62" customWidth="1"/>
    <col min="14589" max="14589" width="36.140625" style="62" customWidth="1"/>
    <col min="14590" max="14590" width="18.28515625" style="62" customWidth="1"/>
    <col min="14591" max="14591" width="17.28515625" style="62" customWidth="1"/>
    <col min="14592" max="14592" width="19.5703125" style="62" customWidth="1"/>
    <col min="14593" max="14593" width="20.140625" style="62" customWidth="1"/>
    <col min="14594" max="14595" width="13.7109375" style="62" customWidth="1"/>
    <col min="14596" max="14597" width="13.5703125" style="62" customWidth="1"/>
    <col min="14598" max="14601" width="13.7109375" style="62" customWidth="1"/>
    <col min="14602" max="14602" width="13.85546875" style="62" customWidth="1"/>
    <col min="14603" max="14603" width="12.28515625" style="62" customWidth="1"/>
    <col min="14604" max="14842" width="8.85546875" style="62"/>
    <col min="14843" max="14843" width="7.42578125" style="62" customWidth="1"/>
    <col min="14844" max="14844" width="15" style="62" customWidth="1"/>
    <col min="14845" max="14845" width="36.140625" style="62" customWidth="1"/>
    <col min="14846" max="14846" width="18.28515625" style="62" customWidth="1"/>
    <col min="14847" max="14847" width="17.28515625" style="62" customWidth="1"/>
    <col min="14848" max="14848" width="19.5703125" style="62" customWidth="1"/>
    <col min="14849" max="14849" width="20.140625" style="62" customWidth="1"/>
    <col min="14850" max="14851" width="13.7109375" style="62" customWidth="1"/>
    <col min="14852" max="14853" width="13.5703125" style="62" customWidth="1"/>
    <col min="14854" max="14857" width="13.7109375" style="62" customWidth="1"/>
    <col min="14858" max="14858" width="13.85546875" style="62" customWidth="1"/>
    <col min="14859" max="14859" width="12.28515625" style="62" customWidth="1"/>
    <col min="14860" max="15098" width="8.85546875" style="62"/>
    <col min="15099" max="15099" width="7.42578125" style="62" customWidth="1"/>
    <col min="15100" max="15100" width="15" style="62" customWidth="1"/>
    <col min="15101" max="15101" width="36.140625" style="62" customWidth="1"/>
    <col min="15102" max="15102" width="18.28515625" style="62" customWidth="1"/>
    <col min="15103" max="15103" width="17.28515625" style="62" customWidth="1"/>
    <col min="15104" max="15104" width="19.5703125" style="62" customWidth="1"/>
    <col min="15105" max="15105" width="20.140625" style="62" customWidth="1"/>
    <col min="15106" max="15107" width="13.7109375" style="62" customWidth="1"/>
    <col min="15108" max="15109" width="13.5703125" style="62" customWidth="1"/>
    <col min="15110" max="15113" width="13.7109375" style="62" customWidth="1"/>
    <col min="15114" max="15114" width="13.85546875" style="62" customWidth="1"/>
    <col min="15115" max="15115" width="12.28515625" style="62" customWidth="1"/>
    <col min="15116" max="15354" width="8.85546875" style="62"/>
    <col min="15355" max="15355" width="7.42578125" style="62" customWidth="1"/>
    <col min="15356" max="15356" width="15" style="62" customWidth="1"/>
    <col min="15357" max="15357" width="36.140625" style="62" customWidth="1"/>
    <col min="15358" max="15358" width="18.28515625" style="62" customWidth="1"/>
    <col min="15359" max="15359" width="17.28515625" style="62" customWidth="1"/>
    <col min="15360" max="15360" width="19.5703125" style="62" customWidth="1"/>
    <col min="15361" max="15361" width="20.140625" style="62" customWidth="1"/>
    <col min="15362" max="15363" width="13.7109375" style="62" customWidth="1"/>
    <col min="15364" max="15365" width="13.5703125" style="62" customWidth="1"/>
    <col min="15366" max="15369" width="13.7109375" style="62" customWidth="1"/>
    <col min="15370" max="15370" width="13.85546875" style="62" customWidth="1"/>
    <col min="15371" max="15371" width="12.28515625" style="62" customWidth="1"/>
    <col min="15372" max="15610" width="8.85546875" style="62"/>
    <col min="15611" max="15611" width="7.42578125" style="62" customWidth="1"/>
    <col min="15612" max="15612" width="15" style="62" customWidth="1"/>
    <col min="15613" max="15613" width="36.140625" style="62" customWidth="1"/>
    <col min="15614" max="15614" width="18.28515625" style="62" customWidth="1"/>
    <col min="15615" max="15615" width="17.28515625" style="62" customWidth="1"/>
    <col min="15616" max="15616" width="19.5703125" style="62" customWidth="1"/>
    <col min="15617" max="15617" width="20.140625" style="62" customWidth="1"/>
    <col min="15618" max="15619" width="13.7109375" style="62" customWidth="1"/>
    <col min="15620" max="15621" width="13.5703125" style="62" customWidth="1"/>
    <col min="15622" max="15625" width="13.7109375" style="62" customWidth="1"/>
    <col min="15626" max="15626" width="13.85546875" style="62" customWidth="1"/>
    <col min="15627" max="15627" width="12.28515625" style="62" customWidth="1"/>
    <col min="15628" max="15866" width="8.85546875" style="62"/>
    <col min="15867" max="15867" width="7.42578125" style="62" customWidth="1"/>
    <col min="15868" max="15868" width="15" style="62" customWidth="1"/>
    <col min="15869" max="15869" width="36.140625" style="62" customWidth="1"/>
    <col min="15870" max="15870" width="18.28515625" style="62" customWidth="1"/>
    <col min="15871" max="15871" width="17.28515625" style="62" customWidth="1"/>
    <col min="15872" max="15872" width="19.5703125" style="62" customWidth="1"/>
    <col min="15873" max="15873" width="20.140625" style="62" customWidth="1"/>
    <col min="15874" max="15875" width="13.7109375" style="62" customWidth="1"/>
    <col min="15876" max="15877" width="13.5703125" style="62" customWidth="1"/>
    <col min="15878" max="15881" width="13.7109375" style="62" customWidth="1"/>
    <col min="15882" max="15882" width="13.85546875" style="62" customWidth="1"/>
    <col min="15883" max="15883" width="12.28515625" style="62" customWidth="1"/>
    <col min="15884" max="16122" width="8.85546875" style="62"/>
    <col min="16123" max="16123" width="7.42578125" style="62" customWidth="1"/>
    <col min="16124" max="16124" width="15" style="62" customWidth="1"/>
    <col min="16125" max="16125" width="36.140625" style="62" customWidth="1"/>
    <col min="16126" max="16126" width="18.28515625" style="62" customWidth="1"/>
    <col min="16127" max="16127" width="17.28515625" style="62" customWidth="1"/>
    <col min="16128" max="16128" width="19.5703125" style="62" customWidth="1"/>
    <col min="16129" max="16129" width="20.140625" style="62" customWidth="1"/>
    <col min="16130" max="16131" width="13.7109375" style="62" customWidth="1"/>
    <col min="16132" max="16133" width="13.5703125" style="62" customWidth="1"/>
    <col min="16134" max="16137" width="13.7109375" style="62" customWidth="1"/>
    <col min="16138" max="16138" width="13.85546875" style="62" customWidth="1"/>
    <col min="16139" max="16139" width="12.28515625" style="62" customWidth="1"/>
    <col min="16140" max="16384" width="8.85546875" style="62"/>
  </cols>
  <sheetData>
    <row r="1" spans="1:93" ht="33" customHeight="1" x14ac:dyDescent="0.25">
      <c r="A1" s="61"/>
      <c r="B1" s="61"/>
      <c r="C1" s="61"/>
      <c r="D1" s="61"/>
      <c r="E1" s="61"/>
      <c r="F1" s="61"/>
      <c r="G1" s="61"/>
      <c r="H1" s="129"/>
      <c r="I1" s="230" t="s">
        <v>966</v>
      </c>
      <c r="J1" s="230"/>
      <c r="K1" s="230"/>
      <c r="L1" s="230"/>
      <c r="M1" s="230"/>
      <c r="N1" s="230"/>
      <c r="O1" s="230"/>
      <c r="P1" s="230"/>
    </row>
    <row r="2" spans="1:93" ht="29.25" customHeight="1" x14ac:dyDescent="0.25">
      <c r="A2" s="61"/>
      <c r="B2" s="61"/>
      <c r="C2" s="61"/>
      <c r="D2" s="61"/>
      <c r="E2" s="61"/>
      <c r="F2" s="61"/>
      <c r="G2" s="61"/>
      <c r="H2" s="129"/>
      <c r="I2" s="230"/>
      <c r="J2" s="230"/>
      <c r="K2" s="230"/>
      <c r="L2" s="230"/>
      <c r="M2" s="230"/>
      <c r="N2" s="230"/>
      <c r="O2" s="230"/>
      <c r="P2" s="230"/>
    </row>
    <row r="3" spans="1:93" ht="15" customHeight="1" x14ac:dyDescent="0.25">
      <c r="A3" s="61"/>
      <c r="B3" s="61"/>
      <c r="C3" s="61"/>
      <c r="D3" s="61"/>
      <c r="E3" s="61"/>
      <c r="F3" s="61"/>
      <c r="G3" s="61"/>
      <c r="H3" s="63"/>
      <c r="I3" s="63"/>
      <c r="J3" s="63"/>
      <c r="K3" s="129"/>
      <c r="L3" s="129"/>
      <c r="M3" s="129"/>
      <c r="N3" s="129"/>
      <c r="O3" s="129"/>
      <c r="P3" s="129"/>
    </row>
    <row r="4" spans="1:93" ht="18.75" x14ac:dyDescent="0.25">
      <c r="A4" s="231" t="s">
        <v>943</v>
      </c>
      <c r="B4" s="231"/>
      <c r="C4" s="231"/>
      <c r="D4" s="231"/>
      <c r="E4" s="231"/>
      <c r="F4" s="231"/>
      <c r="G4" s="231"/>
      <c r="H4" s="231"/>
      <c r="I4" s="231"/>
      <c r="J4" s="231"/>
      <c r="K4" s="231"/>
      <c r="L4" s="231"/>
      <c r="M4" s="231"/>
      <c r="N4" s="231"/>
      <c r="O4" s="231"/>
      <c r="P4" s="231"/>
    </row>
    <row r="5" spans="1:93" s="64" customFormat="1" ht="33" customHeight="1" x14ac:dyDescent="0.25">
      <c r="A5" s="232"/>
      <c r="B5" s="232"/>
      <c r="C5" s="232"/>
      <c r="D5" s="232"/>
      <c r="E5" s="232"/>
      <c r="F5" s="232"/>
      <c r="G5" s="232"/>
      <c r="H5" s="232"/>
      <c r="I5" s="232"/>
      <c r="J5" s="232"/>
      <c r="K5" s="232"/>
      <c r="L5" s="232"/>
      <c r="M5" s="232"/>
      <c r="N5" s="232"/>
      <c r="O5" s="232"/>
      <c r="P5" s="23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  <c r="BB5" s="62"/>
      <c r="BC5" s="62"/>
      <c r="BD5" s="62"/>
      <c r="BE5" s="62"/>
      <c r="BF5" s="62"/>
      <c r="BG5" s="62"/>
      <c r="BH5" s="62"/>
      <c r="BI5" s="62"/>
      <c r="BJ5" s="62"/>
      <c r="BK5" s="62"/>
      <c r="BL5" s="62"/>
      <c r="BM5" s="62"/>
      <c r="BN5" s="62"/>
      <c r="BO5" s="62"/>
      <c r="BP5" s="62"/>
      <c r="BQ5" s="62"/>
      <c r="BR5" s="62"/>
      <c r="BS5" s="62"/>
      <c r="BT5" s="62"/>
      <c r="BU5" s="62"/>
      <c r="BV5" s="62"/>
      <c r="BW5" s="62"/>
      <c r="BX5" s="62"/>
      <c r="BY5" s="62"/>
      <c r="BZ5" s="62"/>
      <c r="CA5" s="62"/>
      <c r="CB5" s="62"/>
      <c r="CC5" s="62"/>
      <c r="CD5" s="62"/>
      <c r="CE5" s="62"/>
      <c r="CF5" s="62"/>
      <c r="CG5" s="62"/>
      <c r="CH5" s="62"/>
      <c r="CI5" s="62"/>
      <c r="CJ5" s="62"/>
      <c r="CK5" s="62"/>
      <c r="CL5" s="62"/>
      <c r="CM5" s="62"/>
      <c r="CN5" s="62"/>
      <c r="CO5" s="62"/>
    </row>
    <row r="6" spans="1:93" ht="15.75" customHeight="1" x14ac:dyDescent="0.25">
      <c r="A6" s="222" t="s">
        <v>922</v>
      </c>
      <c r="B6" s="222" t="s">
        <v>570</v>
      </c>
      <c r="C6" s="222"/>
      <c r="D6" s="222" t="s">
        <v>571</v>
      </c>
      <c r="E6" s="222" t="s">
        <v>572</v>
      </c>
      <c r="F6" s="222" t="s">
        <v>573</v>
      </c>
      <c r="G6" s="222" t="s">
        <v>574</v>
      </c>
      <c r="H6" s="219" t="s">
        <v>575</v>
      </c>
      <c r="I6" s="220"/>
      <c r="J6" s="220"/>
      <c r="K6" s="220"/>
      <c r="L6" s="220"/>
      <c r="M6" s="220"/>
      <c r="N6" s="220"/>
      <c r="O6" s="221"/>
      <c r="P6" s="222" t="s">
        <v>576</v>
      </c>
    </row>
    <row r="7" spans="1:93" ht="31.5" x14ac:dyDescent="0.25">
      <c r="A7" s="223"/>
      <c r="B7" s="223"/>
      <c r="C7" s="223"/>
      <c r="D7" s="223"/>
      <c r="E7" s="223"/>
      <c r="F7" s="223"/>
      <c r="G7" s="223"/>
      <c r="H7" s="65">
        <v>2024</v>
      </c>
      <c r="I7" s="65">
        <v>2025</v>
      </c>
      <c r="J7" s="65">
        <v>2026</v>
      </c>
      <c r="K7" s="65">
        <v>2027</v>
      </c>
      <c r="L7" s="65">
        <v>2028</v>
      </c>
      <c r="M7" s="65">
        <v>2029</v>
      </c>
      <c r="N7" s="66">
        <v>2030</v>
      </c>
      <c r="O7" s="66" t="s">
        <v>577</v>
      </c>
      <c r="P7" s="223"/>
    </row>
    <row r="8" spans="1:93" x14ac:dyDescent="0.25">
      <c r="A8" s="224" t="s">
        <v>578</v>
      </c>
      <c r="B8" s="225"/>
      <c r="C8" s="225"/>
      <c r="D8" s="225"/>
      <c r="E8" s="225"/>
      <c r="F8" s="225"/>
      <c r="G8" s="225"/>
      <c r="H8" s="225"/>
      <c r="I8" s="225"/>
      <c r="J8" s="225"/>
      <c r="K8" s="225"/>
      <c r="L8" s="225"/>
      <c r="M8" s="225"/>
      <c r="N8" s="225"/>
      <c r="O8" s="225"/>
      <c r="P8" s="226"/>
    </row>
    <row r="9" spans="1:93" s="71" customFormat="1" ht="31.5" x14ac:dyDescent="0.25">
      <c r="A9" s="67" t="s">
        <v>579</v>
      </c>
      <c r="B9" s="68" t="s">
        <v>580</v>
      </c>
      <c r="C9" s="68" t="s">
        <v>967</v>
      </c>
      <c r="D9" s="67" t="s">
        <v>621</v>
      </c>
      <c r="E9" s="67" t="s">
        <v>622</v>
      </c>
      <c r="F9" s="69">
        <v>574582</v>
      </c>
      <c r="G9" s="70">
        <v>262105.67</v>
      </c>
      <c r="H9" s="69">
        <f>44352.42+2903.19</f>
        <v>47255.61</v>
      </c>
      <c r="I9" s="69">
        <v>50042.17</v>
      </c>
      <c r="J9" s="69">
        <v>48368.94</v>
      </c>
      <c r="K9" s="69">
        <v>46680.65</v>
      </c>
      <c r="L9" s="69">
        <v>45000.49</v>
      </c>
      <c r="M9" s="69">
        <v>43301.79</v>
      </c>
      <c r="N9" s="69">
        <v>21103.18</v>
      </c>
      <c r="O9" s="69">
        <v>0</v>
      </c>
      <c r="P9" s="70">
        <f t="shared" ref="P9:P17" si="0">SUM(H9:O9)</f>
        <v>301752.82999999996</v>
      </c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  <c r="BA9" s="62"/>
      <c r="BB9" s="62"/>
      <c r="BC9" s="62"/>
      <c r="BD9" s="62"/>
      <c r="BE9" s="62"/>
      <c r="BF9" s="62"/>
      <c r="BG9" s="62"/>
      <c r="BH9" s="62"/>
      <c r="BI9" s="62"/>
      <c r="BJ9" s="62"/>
      <c r="BK9" s="62"/>
      <c r="BL9" s="62"/>
      <c r="BM9" s="62"/>
      <c r="BN9" s="62"/>
      <c r="BO9" s="62"/>
      <c r="BP9" s="62"/>
      <c r="BQ9" s="62"/>
      <c r="BR9" s="62"/>
      <c r="BS9" s="62"/>
      <c r="BT9" s="62"/>
      <c r="BU9" s="62"/>
      <c r="BV9" s="62"/>
      <c r="BW9" s="62"/>
      <c r="BX9" s="62"/>
    </row>
    <row r="10" spans="1:93" s="71" customFormat="1" ht="47.25" x14ac:dyDescent="0.25">
      <c r="A10" s="67" t="s">
        <v>581</v>
      </c>
      <c r="B10" s="68" t="s">
        <v>580</v>
      </c>
      <c r="C10" s="68" t="s">
        <v>968</v>
      </c>
      <c r="D10" s="67" t="s">
        <v>639</v>
      </c>
      <c r="E10" s="67" t="s">
        <v>622</v>
      </c>
      <c r="F10" s="69">
        <v>94383</v>
      </c>
      <c r="G10" s="70">
        <v>44712</v>
      </c>
      <c r="H10" s="69">
        <f>8032.86+520.14</f>
        <v>8553</v>
      </c>
      <c r="I10" s="69">
        <v>8147.58</v>
      </c>
      <c r="J10" s="69">
        <v>7875.79</v>
      </c>
      <c r="K10" s="69">
        <v>7603.28</v>
      </c>
      <c r="L10" s="69">
        <v>7332.2400000000007</v>
      </c>
      <c r="M10" s="69">
        <v>7057.88</v>
      </c>
      <c r="N10" s="69">
        <v>5118.3500000000004</v>
      </c>
      <c r="O10" s="69">
        <v>0</v>
      </c>
      <c r="P10" s="70">
        <f t="shared" si="0"/>
        <v>51688.119999999995</v>
      </c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2"/>
      <c r="AO10" s="62"/>
      <c r="AP10" s="62"/>
      <c r="AQ10" s="62"/>
      <c r="AR10" s="62"/>
      <c r="AS10" s="62"/>
      <c r="AT10" s="62"/>
      <c r="AU10" s="62"/>
      <c r="AV10" s="62"/>
      <c r="AW10" s="62"/>
      <c r="AX10" s="62"/>
      <c r="AY10" s="62"/>
      <c r="AZ10" s="62"/>
      <c r="BA10" s="62"/>
      <c r="BB10" s="62"/>
      <c r="BC10" s="62"/>
      <c r="BD10" s="62"/>
      <c r="BE10" s="62"/>
      <c r="BF10" s="62"/>
      <c r="BG10" s="62"/>
      <c r="BH10" s="62"/>
      <c r="BI10" s="62"/>
      <c r="BJ10" s="62"/>
      <c r="BK10" s="62"/>
      <c r="BL10" s="62"/>
      <c r="BM10" s="62"/>
      <c r="BN10" s="62"/>
      <c r="BO10" s="62"/>
      <c r="BP10" s="62"/>
      <c r="BQ10" s="62"/>
      <c r="BR10" s="62"/>
      <c r="BS10" s="62"/>
      <c r="BT10" s="62"/>
      <c r="BU10" s="62"/>
      <c r="BV10" s="62"/>
      <c r="BW10" s="62"/>
      <c r="BX10" s="62"/>
    </row>
    <row r="11" spans="1:93" s="71" customFormat="1" ht="63" x14ac:dyDescent="0.25">
      <c r="A11" s="67" t="s">
        <v>582</v>
      </c>
      <c r="B11" s="68" t="s">
        <v>580</v>
      </c>
      <c r="C11" s="68" t="s">
        <v>969</v>
      </c>
      <c r="D11" s="67" t="s">
        <v>639</v>
      </c>
      <c r="E11" s="67" t="s">
        <v>622</v>
      </c>
      <c r="F11" s="69">
        <v>83464</v>
      </c>
      <c r="G11" s="70">
        <v>39555</v>
      </c>
      <c r="H11" s="69">
        <f>7106.35+460.15</f>
        <v>7566.5</v>
      </c>
      <c r="I11" s="69">
        <v>7207.8600000000006</v>
      </c>
      <c r="J11" s="69">
        <v>6967.43</v>
      </c>
      <c r="K11" s="69">
        <v>6726.3399999999992</v>
      </c>
      <c r="L11" s="69">
        <v>6486.58</v>
      </c>
      <c r="M11" s="69">
        <v>6243.81</v>
      </c>
      <c r="N11" s="69">
        <v>4527.99</v>
      </c>
      <c r="O11" s="69">
        <v>0</v>
      </c>
      <c r="P11" s="70">
        <f t="shared" si="0"/>
        <v>45726.509999999995</v>
      </c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62"/>
      <c r="AR11" s="62"/>
      <c r="AS11" s="62"/>
      <c r="AT11" s="62"/>
      <c r="AU11" s="62"/>
      <c r="AV11" s="62"/>
      <c r="AW11" s="62"/>
      <c r="AX11" s="62"/>
      <c r="AY11" s="62"/>
      <c r="AZ11" s="62"/>
      <c r="BA11" s="62"/>
      <c r="BB11" s="62"/>
      <c r="BC11" s="62"/>
      <c r="BD11" s="62"/>
      <c r="BE11" s="62"/>
      <c r="BF11" s="62"/>
      <c r="BG11" s="62"/>
      <c r="BH11" s="62"/>
      <c r="BI11" s="62"/>
      <c r="BJ11" s="62"/>
      <c r="BK11" s="62"/>
      <c r="BL11" s="62"/>
      <c r="BM11" s="62"/>
      <c r="BN11" s="62"/>
      <c r="BO11" s="62"/>
      <c r="BP11" s="62"/>
      <c r="BQ11" s="62"/>
      <c r="BR11" s="62"/>
      <c r="BS11" s="62"/>
      <c r="BT11" s="62"/>
      <c r="BU11" s="62"/>
      <c r="BV11" s="62"/>
      <c r="BW11" s="62"/>
      <c r="BX11" s="62"/>
    </row>
    <row r="12" spans="1:93" s="71" customFormat="1" ht="31.5" x14ac:dyDescent="0.25">
      <c r="A12" s="67" t="s">
        <v>585</v>
      </c>
      <c r="B12" s="68" t="s">
        <v>580</v>
      </c>
      <c r="C12" s="68" t="s">
        <v>970</v>
      </c>
      <c r="D12" s="67" t="s">
        <v>652</v>
      </c>
      <c r="E12" s="67" t="s">
        <v>653</v>
      </c>
      <c r="F12" s="69">
        <v>175924</v>
      </c>
      <c r="G12" s="70">
        <v>83349</v>
      </c>
      <c r="H12" s="69">
        <f>14979.9+960.59</f>
        <v>15940.49</v>
      </c>
      <c r="I12" s="69">
        <v>15188.15</v>
      </c>
      <c r="J12" s="69">
        <v>14681.52</v>
      </c>
      <c r="K12" s="69">
        <v>14173.52</v>
      </c>
      <c r="L12" s="69">
        <v>13668.28</v>
      </c>
      <c r="M12" s="69">
        <v>13156.78</v>
      </c>
      <c r="N12" s="69">
        <v>9551.3399999999983</v>
      </c>
      <c r="O12" s="69">
        <v>0</v>
      </c>
      <c r="P12" s="70">
        <f t="shared" si="0"/>
        <v>96360.08</v>
      </c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2"/>
      <c r="AR12" s="62"/>
      <c r="AS12" s="62"/>
      <c r="AT12" s="62"/>
      <c r="AU12" s="62"/>
      <c r="AV12" s="62"/>
      <c r="AW12" s="62"/>
      <c r="AX12" s="62"/>
      <c r="AY12" s="62"/>
      <c r="AZ12" s="62"/>
      <c r="BA12" s="62"/>
      <c r="BB12" s="62"/>
      <c r="BC12" s="62"/>
      <c r="BD12" s="62"/>
      <c r="BE12" s="62"/>
      <c r="BF12" s="62"/>
      <c r="BG12" s="62"/>
      <c r="BH12" s="62"/>
      <c r="BI12" s="62"/>
      <c r="BJ12" s="62"/>
      <c r="BK12" s="62"/>
      <c r="BL12" s="62"/>
      <c r="BM12" s="62"/>
      <c r="BN12" s="62"/>
      <c r="BO12" s="62"/>
      <c r="BP12" s="62"/>
      <c r="BQ12" s="62"/>
      <c r="BR12" s="62"/>
      <c r="BS12" s="62"/>
      <c r="BT12" s="62"/>
      <c r="BU12" s="62"/>
      <c r="BV12" s="62"/>
      <c r="BW12" s="62"/>
      <c r="BX12" s="62"/>
    </row>
    <row r="13" spans="1:93" s="71" customFormat="1" x14ac:dyDescent="0.25">
      <c r="A13" s="67" t="s">
        <v>588</v>
      </c>
      <c r="B13" s="68" t="s">
        <v>580</v>
      </c>
      <c r="C13" s="68" t="s">
        <v>971</v>
      </c>
      <c r="D13" s="67" t="s">
        <v>652</v>
      </c>
      <c r="E13" s="67" t="s">
        <v>653</v>
      </c>
      <c r="F13" s="69">
        <v>33890</v>
      </c>
      <c r="G13" s="70">
        <v>16064.64</v>
      </c>
      <c r="H13" s="69">
        <f>2887.27+185.15</f>
        <v>3072.42</v>
      </c>
      <c r="I13" s="69">
        <v>2927.39</v>
      </c>
      <c r="J13" s="69">
        <v>2829.75</v>
      </c>
      <c r="K13" s="69">
        <v>2731.8500000000004</v>
      </c>
      <c r="L13" s="69">
        <v>2634.48</v>
      </c>
      <c r="M13" s="69">
        <v>2535.88</v>
      </c>
      <c r="N13" s="69">
        <v>1840.5899999999997</v>
      </c>
      <c r="O13" s="69">
        <v>0</v>
      </c>
      <c r="P13" s="70">
        <f t="shared" si="0"/>
        <v>18572.36</v>
      </c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62"/>
      <c r="AQ13" s="62"/>
      <c r="AR13" s="62"/>
      <c r="AS13" s="62"/>
      <c r="AT13" s="62"/>
      <c r="AU13" s="62"/>
      <c r="AV13" s="62"/>
      <c r="AW13" s="62"/>
      <c r="AX13" s="62"/>
      <c r="AY13" s="62"/>
      <c r="AZ13" s="62"/>
      <c r="BA13" s="62"/>
      <c r="BB13" s="62"/>
      <c r="BC13" s="62"/>
      <c r="BD13" s="62"/>
      <c r="BE13" s="62"/>
      <c r="BF13" s="62"/>
      <c r="BG13" s="62"/>
      <c r="BH13" s="62"/>
      <c r="BI13" s="62"/>
      <c r="BJ13" s="62"/>
      <c r="BK13" s="62"/>
      <c r="BL13" s="62"/>
      <c r="BM13" s="62"/>
      <c r="BN13" s="62"/>
      <c r="BO13" s="62"/>
      <c r="BP13" s="62"/>
      <c r="BQ13" s="62"/>
      <c r="BR13" s="62"/>
      <c r="BS13" s="62"/>
      <c r="BT13" s="62"/>
      <c r="BU13" s="62"/>
      <c r="BV13" s="62"/>
      <c r="BW13" s="62"/>
      <c r="BX13" s="62"/>
    </row>
    <row r="14" spans="1:93" s="71" customFormat="1" ht="47.25" x14ac:dyDescent="0.25">
      <c r="A14" s="67" t="s">
        <v>590</v>
      </c>
      <c r="B14" s="68" t="s">
        <v>580</v>
      </c>
      <c r="C14" s="68" t="s">
        <v>972</v>
      </c>
      <c r="D14" s="67" t="s">
        <v>652</v>
      </c>
      <c r="E14" s="67" t="s">
        <v>653</v>
      </c>
      <c r="F14" s="69">
        <v>79130</v>
      </c>
      <c r="G14" s="70">
        <v>37503</v>
      </c>
      <c r="H14" s="69">
        <f>6740.21+432.22</f>
        <v>7172.43</v>
      </c>
      <c r="I14" s="69">
        <v>6833.9299999999994</v>
      </c>
      <c r="J14" s="69">
        <v>6605.97</v>
      </c>
      <c r="K14" s="69">
        <v>6377.3899999999994</v>
      </c>
      <c r="L14" s="69">
        <v>6150.0599999999995</v>
      </c>
      <c r="M14" s="69">
        <v>5919.91</v>
      </c>
      <c r="N14" s="69">
        <v>4297.6399999999994</v>
      </c>
      <c r="O14" s="69">
        <v>0</v>
      </c>
      <c r="P14" s="70">
        <f t="shared" si="0"/>
        <v>43357.33</v>
      </c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62"/>
      <c r="AO14" s="62"/>
      <c r="AP14" s="62"/>
      <c r="AQ14" s="62"/>
      <c r="AR14" s="62"/>
      <c r="AS14" s="62"/>
      <c r="AT14" s="62"/>
      <c r="AU14" s="62"/>
      <c r="AV14" s="62"/>
      <c r="AW14" s="62"/>
      <c r="AX14" s="62"/>
      <c r="AY14" s="62"/>
      <c r="AZ14" s="62"/>
      <c r="BA14" s="62"/>
      <c r="BB14" s="62"/>
      <c r="BC14" s="62"/>
      <c r="BD14" s="62"/>
      <c r="BE14" s="62"/>
      <c r="BF14" s="62"/>
      <c r="BG14" s="62"/>
      <c r="BH14" s="62"/>
      <c r="BI14" s="62"/>
      <c r="BJ14" s="62"/>
      <c r="BK14" s="62"/>
      <c r="BL14" s="62"/>
      <c r="BM14" s="62"/>
      <c r="BN14" s="62"/>
      <c r="BO14" s="62"/>
      <c r="BP14" s="62"/>
      <c r="BQ14" s="62"/>
      <c r="BR14" s="62"/>
      <c r="BS14" s="62"/>
      <c r="BT14" s="62"/>
      <c r="BU14" s="62"/>
      <c r="BV14" s="62"/>
      <c r="BW14" s="62"/>
      <c r="BX14" s="62"/>
    </row>
    <row r="15" spans="1:93" s="71" customFormat="1" ht="47.25" x14ac:dyDescent="0.25">
      <c r="A15" s="67" t="s">
        <v>591</v>
      </c>
      <c r="B15" s="68" t="s">
        <v>580</v>
      </c>
      <c r="C15" s="68" t="s">
        <v>973</v>
      </c>
      <c r="D15" s="67" t="s">
        <v>667</v>
      </c>
      <c r="E15" s="67" t="s">
        <v>668</v>
      </c>
      <c r="F15" s="69">
        <v>37367</v>
      </c>
      <c r="G15" s="70">
        <v>17711</v>
      </c>
      <c r="H15" s="69">
        <f>3183.84+203.61</f>
        <v>3387.4500000000003</v>
      </c>
      <c r="I15" s="69">
        <v>3227.54</v>
      </c>
      <c r="J15" s="69">
        <v>3119.8700000000003</v>
      </c>
      <c r="K15" s="69">
        <v>3011.93</v>
      </c>
      <c r="L15" s="69">
        <v>2904.55</v>
      </c>
      <c r="M15" s="69">
        <v>2795.8599999999997</v>
      </c>
      <c r="N15" s="69">
        <v>2031.94</v>
      </c>
      <c r="O15" s="69">
        <v>0</v>
      </c>
      <c r="P15" s="70">
        <f t="shared" si="0"/>
        <v>20479.14</v>
      </c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  <c r="BA15" s="62"/>
      <c r="BB15" s="62"/>
      <c r="BC15" s="62"/>
      <c r="BD15" s="62"/>
      <c r="BE15" s="62"/>
      <c r="BF15" s="62"/>
      <c r="BG15" s="62"/>
      <c r="BH15" s="62"/>
      <c r="BI15" s="62"/>
      <c r="BJ15" s="62"/>
      <c r="BK15" s="62"/>
      <c r="BL15" s="62"/>
      <c r="BM15" s="62"/>
      <c r="BN15" s="62"/>
      <c r="BO15" s="62"/>
      <c r="BP15" s="62"/>
      <c r="BQ15" s="62"/>
      <c r="BR15" s="62"/>
      <c r="BS15" s="62"/>
      <c r="BT15" s="62"/>
      <c r="BU15" s="62"/>
      <c r="BV15" s="62"/>
      <c r="BW15" s="62"/>
      <c r="BX15" s="62"/>
    </row>
    <row r="16" spans="1:93" s="71" customFormat="1" ht="31.5" x14ac:dyDescent="0.25">
      <c r="A16" s="67" t="s">
        <v>592</v>
      </c>
      <c r="B16" s="68" t="s">
        <v>580</v>
      </c>
      <c r="C16" s="68" t="s">
        <v>974</v>
      </c>
      <c r="D16" s="67" t="s">
        <v>676</v>
      </c>
      <c r="E16" s="67" t="s">
        <v>677</v>
      </c>
      <c r="F16" s="69">
        <v>23324</v>
      </c>
      <c r="G16" s="70">
        <v>11284</v>
      </c>
      <c r="H16" s="69">
        <f>1961.32+98.85</f>
        <v>2060.17</v>
      </c>
      <c r="I16" s="69">
        <v>2003.2</v>
      </c>
      <c r="J16" s="69">
        <v>1933.21</v>
      </c>
      <c r="K16" s="69">
        <v>1866.8600000000001</v>
      </c>
      <c r="L16" s="69">
        <v>1800.97</v>
      </c>
      <c r="M16" s="69">
        <v>1734.16</v>
      </c>
      <c r="N16" s="69">
        <v>1667.86</v>
      </c>
      <c r="O16" s="69">
        <v>3.6300000000000003</v>
      </c>
      <c r="P16" s="70">
        <f t="shared" si="0"/>
        <v>13070.06</v>
      </c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N16" s="62"/>
      <c r="AO16" s="62"/>
      <c r="AP16" s="62"/>
      <c r="AQ16" s="62"/>
      <c r="AR16" s="62"/>
      <c r="AS16" s="62"/>
      <c r="AT16" s="62"/>
      <c r="AU16" s="62"/>
      <c r="AV16" s="62"/>
      <c r="AW16" s="62"/>
      <c r="AX16" s="62"/>
      <c r="AY16" s="62"/>
      <c r="AZ16" s="62"/>
      <c r="BA16" s="62"/>
      <c r="BB16" s="62"/>
      <c r="BC16" s="62"/>
      <c r="BD16" s="62"/>
      <c r="BE16" s="62"/>
      <c r="BF16" s="62"/>
      <c r="BG16" s="62"/>
      <c r="BH16" s="62"/>
      <c r="BI16" s="62"/>
      <c r="BJ16" s="62"/>
      <c r="BK16" s="62"/>
      <c r="BL16" s="62"/>
      <c r="BM16" s="62"/>
      <c r="BN16" s="62"/>
      <c r="BO16" s="62"/>
      <c r="BP16" s="62"/>
      <c r="BQ16" s="62"/>
      <c r="BR16" s="62"/>
      <c r="BS16" s="62"/>
      <c r="BT16" s="62"/>
      <c r="BU16" s="62"/>
      <c r="BV16" s="62"/>
      <c r="BW16" s="62"/>
      <c r="BX16" s="62"/>
    </row>
    <row r="17" spans="1:76" s="71" customFormat="1" ht="31.5" x14ac:dyDescent="0.25">
      <c r="A17" s="67" t="s">
        <v>593</v>
      </c>
      <c r="B17" s="68" t="s">
        <v>580</v>
      </c>
      <c r="C17" s="68" t="s">
        <v>975</v>
      </c>
      <c r="D17" s="67" t="s">
        <v>676</v>
      </c>
      <c r="E17" s="67" t="s">
        <v>677</v>
      </c>
      <c r="F17" s="69">
        <v>36207</v>
      </c>
      <c r="G17" s="70">
        <v>17500</v>
      </c>
      <c r="H17" s="69">
        <f>3041.74+153.32</f>
        <v>3195.06</v>
      </c>
      <c r="I17" s="74">
        <v>3106.7000000000003</v>
      </c>
      <c r="J17" s="69">
        <v>2998.13</v>
      </c>
      <c r="K17" s="69">
        <v>2895.3</v>
      </c>
      <c r="L17" s="69">
        <v>2793.0699999999997</v>
      </c>
      <c r="M17" s="69">
        <v>2689.44</v>
      </c>
      <c r="N17" s="69">
        <v>2586.66</v>
      </c>
      <c r="O17" s="69">
        <v>5.63</v>
      </c>
      <c r="P17" s="70">
        <f t="shared" si="0"/>
        <v>20269.989999999998</v>
      </c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2"/>
      <c r="AK17" s="62"/>
      <c r="AL17" s="62"/>
      <c r="AM17" s="62"/>
      <c r="AN17" s="62"/>
      <c r="AO17" s="62"/>
      <c r="AP17" s="62"/>
      <c r="AQ17" s="62"/>
      <c r="AR17" s="62"/>
      <c r="AS17" s="62"/>
      <c r="AT17" s="62"/>
      <c r="AU17" s="62"/>
      <c r="AV17" s="62"/>
      <c r="AW17" s="62"/>
      <c r="AX17" s="62"/>
      <c r="AY17" s="62"/>
      <c r="AZ17" s="62"/>
      <c r="BA17" s="62"/>
      <c r="BB17" s="62"/>
      <c r="BC17" s="62"/>
      <c r="BD17" s="62"/>
      <c r="BE17" s="62"/>
      <c r="BF17" s="62"/>
      <c r="BG17" s="62"/>
      <c r="BH17" s="62"/>
      <c r="BI17" s="62"/>
      <c r="BJ17" s="62"/>
      <c r="BK17" s="62"/>
      <c r="BL17" s="62"/>
      <c r="BM17" s="62"/>
      <c r="BN17" s="62"/>
      <c r="BO17" s="62"/>
      <c r="BP17" s="62"/>
      <c r="BQ17" s="62"/>
      <c r="BR17" s="62"/>
      <c r="BS17" s="62"/>
      <c r="BT17" s="62"/>
      <c r="BU17" s="62"/>
      <c r="BV17" s="62"/>
      <c r="BW17" s="62"/>
      <c r="BX17" s="62"/>
    </row>
    <row r="18" spans="1:76" s="71" customFormat="1" ht="47.25" x14ac:dyDescent="0.25">
      <c r="A18" s="67" t="s">
        <v>594</v>
      </c>
      <c r="B18" s="68" t="s">
        <v>580</v>
      </c>
      <c r="C18" s="68" t="s">
        <v>976</v>
      </c>
      <c r="D18" s="67" t="s">
        <v>676</v>
      </c>
      <c r="E18" s="67" t="s">
        <v>677</v>
      </c>
      <c r="F18" s="69">
        <v>105617</v>
      </c>
      <c r="G18" s="70">
        <v>52835.61</v>
      </c>
      <c r="H18" s="132">
        <f>9183.62+462.89</f>
        <v>9646.51</v>
      </c>
      <c r="I18" s="78">
        <v>9379.66</v>
      </c>
      <c r="J18" s="133">
        <v>9051.99</v>
      </c>
      <c r="K18" s="69">
        <v>8741.4399999999987</v>
      </c>
      <c r="L18" s="69">
        <v>8432.83</v>
      </c>
      <c r="M18" s="69">
        <v>8119.96</v>
      </c>
      <c r="N18" s="69">
        <v>7809.22</v>
      </c>
      <c r="O18" s="69">
        <v>17</v>
      </c>
      <c r="P18" s="70">
        <f t="shared" ref="P18:P19" si="1">SUM(H18:O18)</f>
        <v>61198.609999999993</v>
      </c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  <c r="BA18" s="62"/>
      <c r="BB18" s="62"/>
      <c r="BC18" s="62"/>
      <c r="BD18" s="62"/>
      <c r="BE18" s="62"/>
      <c r="BF18" s="62"/>
      <c r="BG18" s="62"/>
      <c r="BH18" s="62"/>
      <c r="BI18" s="62"/>
      <c r="BJ18" s="62"/>
      <c r="BK18" s="62"/>
      <c r="BL18" s="62"/>
      <c r="BM18" s="62"/>
      <c r="BN18" s="62"/>
      <c r="BO18" s="62"/>
      <c r="BP18" s="62"/>
      <c r="BQ18" s="62"/>
      <c r="BR18" s="62"/>
      <c r="BS18" s="62"/>
      <c r="BT18" s="62"/>
      <c r="BU18" s="62"/>
      <c r="BV18" s="62"/>
      <c r="BW18" s="62"/>
      <c r="BX18" s="62"/>
    </row>
    <row r="19" spans="1:76" s="71" customFormat="1" ht="31.5" x14ac:dyDescent="0.25">
      <c r="A19" s="67" t="s">
        <v>595</v>
      </c>
      <c r="B19" s="68" t="s">
        <v>580</v>
      </c>
      <c r="C19" s="68" t="s">
        <v>977</v>
      </c>
      <c r="D19" s="67" t="s">
        <v>681</v>
      </c>
      <c r="E19" s="67" t="s">
        <v>677</v>
      </c>
      <c r="F19" s="69">
        <v>299023</v>
      </c>
      <c r="G19" s="70">
        <v>149464</v>
      </c>
      <c r="H19" s="69">
        <f>25978.92+1303.99</f>
        <v>27282.91</v>
      </c>
      <c r="I19" s="134">
        <v>26534.170000000002</v>
      </c>
      <c r="J19" s="69">
        <v>25606.55</v>
      </c>
      <c r="K19" s="69">
        <v>24728.11</v>
      </c>
      <c r="L19" s="69">
        <v>23855.06</v>
      </c>
      <c r="M19" s="69">
        <v>22970.010000000002</v>
      </c>
      <c r="N19" s="69">
        <v>22092.18</v>
      </c>
      <c r="O19" s="69">
        <v>48.11</v>
      </c>
      <c r="P19" s="70">
        <f t="shared" si="1"/>
        <v>173117.09999999998</v>
      </c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N19" s="62"/>
      <c r="AO19" s="62"/>
      <c r="AP19" s="62"/>
      <c r="AQ19" s="62"/>
      <c r="AR19" s="62"/>
      <c r="AS19" s="62"/>
      <c r="AT19" s="62"/>
      <c r="AU19" s="62"/>
      <c r="AV19" s="62"/>
      <c r="AW19" s="62"/>
      <c r="AX19" s="62"/>
      <c r="AY19" s="62"/>
      <c r="AZ19" s="62"/>
      <c r="BA19" s="62"/>
      <c r="BB19" s="62"/>
      <c r="BC19" s="62"/>
      <c r="BD19" s="62"/>
      <c r="BE19" s="62"/>
      <c r="BF19" s="62"/>
      <c r="BG19" s="62"/>
      <c r="BH19" s="62"/>
      <c r="BI19" s="62"/>
      <c r="BJ19" s="62"/>
      <c r="BK19" s="62"/>
      <c r="BL19" s="62"/>
      <c r="BM19" s="62"/>
      <c r="BN19" s="62"/>
      <c r="BO19" s="62"/>
      <c r="BP19" s="62"/>
      <c r="BQ19" s="62"/>
      <c r="BR19" s="62"/>
      <c r="BS19" s="62"/>
      <c r="BT19" s="62"/>
      <c r="BU19" s="62"/>
      <c r="BV19" s="62"/>
      <c r="BW19" s="62"/>
      <c r="BX19" s="62"/>
    </row>
    <row r="20" spans="1:76" s="71" customFormat="1" ht="31.5" x14ac:dyDescent="0.25">
      <c r="A20" s="67" t="s">
        <v>596</v>
      </c>
      <c r="B20" s="68" t="s">
        <v>580</v>
      </c>
      <c r="C20" s="68" t="s">
        <v>978</v>
      </c>
      <c r="D20" s="67" t="s">
        <v>624</v>
      </c>
      <c r="E20" s="67" t="s">
        <v>625</v>
      </c>
      <c r="F20" s="69">
        <v>6355406</v>
      </c>
      <c r="G20" s="70">
        <v>4520880</v>
      </c>
      <c r="H20" s="69">
        <f>333440.69+45093.69</f>
        <v>378534.38</v>
      </c>
      <c r="I20" s="69">
        <v>442072.94</v>
      </c>
      <c r="J20" s="69">
        <v>431257.59999999998</v>
      </c>
      <c r="K20" s="69">
        <v>420309.89</v>
      </c>
      <c r="L20" s="69">
        <v>409736.84</v>
      </c>
      <c r="M20" s="69">
        <v>398399.5</v>
      </c>
      <c r="N20" s="69">
        <v>387459.25</v>
      </c>
      <c r="O20" s="69">
        <v>3341635.01</v>
      </c>
      <c r="P20" s="70">
        <f t="shared" ref="P20:P66" si="2">SUM(H20:O20)</f>
        <v>6209405.4100000001</v>
      </c>
      <c r="Q20" s="62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N20" s="62"/>
      <c r="AO20" s="62"/>
      <c r="AP20" s="62"/>
      <c r="AQ20" s="62"/>
      <c r="AR20" s="62"/>
      <c r="AS20" s="62"/>
      <c r="AT20" s="62"/>
      <c r="AU20" s="62"/>
      <c r="AV20" s="62"/>
      <c r="AW20" s="62"/>
      <c r="AX20" s="62"/>
      <c r="AY20" s="62"/>
      <c r="AZ20" s="62"/>
      <c r="BA20" s="62"/>
      <c r="BB20" s="62"/>
      <c r="BC20" s="62"/>
      <c r="BD20" s="62"/>
      <c r="BE20" s="62"/>
      <c r="BF20" s="62"/>
      <c r="BG20" s="62"/>
      <c r="BH20" s="62"/>
      <c r="BI20" s="62"/>
      <c r="BJ20" s="62"/>
      <c r="BK20" s="62"/>
      <c r="BL20" s="62"/>
      <c r="BM20" s="62"/>
      <c r="BN20" s="62"/>
      <c r="BO20" s="62"/>
      <c r="BP20" s="62"/>
      <c r="BQ20" s="62"/>
      <c r="BR20" s="62"/>
      <c r="BS20" s="62"/>
      <c r="BT20" s="62"/>
      <c r="BU20" s="62"/>
      <c r="BV20" s="62"/>
      <c r="BW20" s="62"/>
      <c r="BX20" s="62"/>
    </row>
    <row r="21" spans="1:76" s="71" customFormat="1" ht="31.5" x14ac:dyDescent="0.25">
      <c r="A21" s="67" t="s">
        <v>597</v>
      </c>
      <c r="B21" s="68" t="s">
        <v>580</v>
      </c>
      <c r="C21" s="68" t="s">
        <v>979</v>
      </c>
      <c r="D21" s="67" t="s">
        <v>609</v>
      </c>
      <c r="E21" s="67" t="s">
        <v>610</v>
      </c>
      <c r="F21" s="69">
        <v>37794</v>
      </c>
      <c r="G21" s="70">
        <v>20583.63</v>
      </c>
      <c r="H21" s="69">
        <f>3309.12+238.48</f>
        <v>3547.6</v>
      </c>
      <c r="I21" s="69">
        <v>3376.0899999999997</v>
      </c>
      <c r="J21" s="69">
        <v>3267.1</v>
      </c>
      <c r="K21" s="69">
        <v>3157.83</v>
      </c>
      <c r="L21" s="69">
        <v>3049.46</v>
      </c>
      <c r="M21" s="69">
        <v>2939.1600000000003</v>
      </c>
      <c r="N21" s="69">
        <v>2829.94</v>
      </c>
      <c r="O21" s="69">
        <v>2051.83</v>
      </c>
      <c r="P21" s="70">
        <f t="shared" si="2"/>
        <v>24219.009999999995</v>
      </c>
      <c r="Q21" s="62"/>
      <c r="R21" s="62"/>
      <c r="S21" s="62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2"/>
      <c r="AJ21" s="62"/>
      <c r="AK21" s="62"/>
      <c r="AL21" s="62"/>
      <c r="AM21" s="62"/>
      <c r="AN21" s="62"/>
      <c r="AO21" s="62"/>
      <c r="AP21" s="62"/>
      <c r="AQ21" s="62"/>
      <c r="AR21" s="62"/>
      <c r="AS21" s="62"/>
      <c r="AT21" s="62"/>
      <c r="AU21" s="62"/>
      <c r="AV21" s="62"/>
      <c r="AW21" s="62"/>
      <c r="AX21" s="62"/>
      <c r="AY21" s="62"/>
      <c r="AZ21" s="62"/>
      <c r="BA21" s="62"/>
      <c r="BB21" s="62"/>
      <c r="BC21" s="62"/>
      <c r="BD21" s="62"/>
      <c r="BE21" s="62"/>
      <c r="BF21" s="62"/>
      <c r="BG21" s="62"/>
      <c r="BH21" s="62"/>
      <c r="BI21" s="62"/>
      <c r="BJ21" s="62"/>
      <c r="BK21" s="62"/>
      <c r="BL21" s="62"/>
      <c r="BM21" s="62"/>
      <c r="BN21" s="62"/>
      <c r="BO21" s="62"/>
      <c r="BP21" s="62"/>
      <c r="BQ21" s="62"/>
      <c r="BR21" s="62"/>
      <c r="BS21" s="62"/>
      <c r="BT21" s="62"/>
      <c r="BU21" s="62"/>
      <c r="BV21" s="62"/>
      <c r="BW21" s="62"/>
      <c r="BX21" s="62"/>
    </row>
    <row r="22" spans="1:76" s="71" customFormat="1" ht="31.5" x14ac:dyDescent="0.25">
      <c r="A22" s="67" t="s">
        <v>598</v>
      </c>
      <c r="B22" s="68" t="s">
        <v>580</v>
      </c>
      <c r="C22" s="68" t="s">
        <v>980</v>
      </c>
      <c r="D22" s="67" t="s">
        <v>609</v>
      </c>
      <c r="E22" s="67" t="s">
        <v>612</v>
      </c>
      <c r="F22" s="69">
        <v>426584</v>
      </c>
      <c r="G22" s="70">
        <v>312257.96000000002</v>
      </c>
      <c r="H22" s="69">
        <f>21328.57+3562.25</f>
        <v>24890.82</v>
      </c>
      <c r="I22" s="69">
        <v>30228.989999999998</v>
      </c>
      <c r="J22" s="69">
        <v>29506.63</v>
      </c>
      <c r="K22" s="69">
        <v>28766.93</v>
      </c>
      <c r="L22" s="69">
        <v>28053.52</v>
      </c>
      <c r="M22" s="69">
        <v>27286.48</v>
      </c>
      <c r="N22" s="69">
        <v>26547.260000000002</v>
      </c>
      <c r="O22" s="69">
        <v>238689.36999999994</v>
      </c>
      <c r="P22" s="70">
        <f t="shared" si="2"/>
        <v>433969.99999999994</v>
      </c>
      <c r="Q22" s="62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2"/>
      <c r="AJ22" s="62"/>
      <c r="AK22" s="62"/>
      <c r="AL22" s="62"/>
      <c r="AM22" s="62"/>
      <c r="AN22" s="62"/>
      <c r="AO22" s="62"/>
      <c r="AP22" s="62"/>
      <c r="AQ22" s="62"/>
      <c r="AR22" s="62"/>
      <c r="AS22" s="62"/>
      <c r="AT22" s="62"/>
      <c r="AU22" s="62"/>
      <c r="AV22" s="62"/>
      <c r="AW22" s="62"/>
      <c r="AX22" s="62"/>
      <c r="AY22" s="62"/>
      <c r="AZ22" s="62"/>
      <c r="BA22" s="62"/>
      <c r="BB22" s="62"/>
      <c r="BC22" s="62"/>
      <c r="BD22" s="62"/>
      <c r="BE22" s="62"/>
      <c r="BF22" s="62"/>
      <c r="BG22" s="62"/>
      <c r="BH22" s="62"/>
      <c r="BI22" s="62"/>
      <c r="BJ22" s="62"/>
      <c r="BK22" s="62"/>
      <c r="BL22" s="62"/>
      <c r="BM22" s="62"/>
      <c r="BN22" s="62"/>
      <c r="BO22" s="62"/>
      <c r="BP22" s="62"/>
      <c r="BQ22" s="62"/>
      <c r="BR22" s="62"/>
      <c r="BS22" s="62"/>
      <c r="BT22" s="62"/>
      <c r="BU22" s="62"/>
      <c r="BV22" s="62"/>
      <c r="BW22" s="62"/>
      <c r="BX22" s="62"/>
    </row>
    <row r="23" spans="1:76" s="71" customFormat="1" ht="31.5" x14ac:dyDescent="0.25">
      <c r="A23" s="67" t="s">
        <v>599</v>
      </c>
      <c r="B23" s="68" t="s">
        <v>580</v>
      </c>
      <c r="C23" s="68" t="s">
        <v>981</v>
      </c>
      <c r="D23" s="67" t="s">
        <v>662</v>
      </c>
      <c r="E23" s="67" t="s">
        <v>663</v>
      </c>
      <c r="F23" s="69">
        <v>48847</v>
      </c>
      <c r="G23" s="70">
        <v>27360</v>
      </c>
      <c r="H23" s="69">
        <f>4308.4+263.18</f>
        <v>4571.58</v>
      </c>
      <c r="I23" s="69">
        <v>4395.5599999999995</v>
      </c>
      <c r="J23" s="69">
        <v>4242.1000000000004</v>
      </c>
      <c r="K23" s="69">
        <v>4101.3899999999994</v>
      </c>
      <c r="L23" s="69">
        <v>3961.93</v>
      </c>
      <c r="M23" s="69">
        <v>3819.7799999999997</v>
      </c>
      <c r="N23" s="69">
        <v>3679.19</v>
      </c>
      <c r="O23" s="69">
        <v>3543.58</v>
      </c>
      <c r="P23" s="70">
        <f t="shared" si="2"/>
        <v>32315.109999999993</v>
      </c>
      <c r="Q23" s="62"/>
      <c r="R23" s="62"/>
      <c r="S23" s="62"/>
      <c r="T23" s="62"/>
      <c r="U23" s="62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2"/>
      <c r="AJ23" s="62"/>
      <c r="AK23" s="62"/>
      <c r="AL23" s="62"/>
      <c r="AM23" s="62"/>
      <c r="AN23" s="62"/>
      <c r="AO23" s="62"/>
      <c r="AP23" s="62"/>
      <c r="AQ23" s="62"/>
      <c r="AR23" s="62"/>
      <c r="AS23" s="62"/>
      <c r="AT23" s="62"/>
      <c r="AU23" s="62"/>
      <c r="AV23" s="62"/>
      <c r="AW23" s="62"/>
      <c r="AX23" s="62"/>
      <c r="AY23" s="62"/>
      <c r="AZ23" s="62"/>
      <c r="BA23" s="62"/>
      <c r="BB23" s="62"/>
      <c r="BC23" s="62"/>
      <c r="BD23" s="62"/>
      <c r="BE23" s="62"/>
      <c r="BF23" s="62"/>
      <c r="BG23" s="62"/>
      <c r="BH23" s="62"/>
      <c r="BI23" s="62"/>
      <c r="BJ23" s="62"/>
      <c r="BK23" s="62"/>
      <c r="BL23" s="62"/>
      <c r="BM23" s="62"/>
      <c r="BN23" s="62"/>
      <c r="BO23" s="62"/>
      <c r="BP23" s="62"/>
      <c r="BQ23" s="62"/>
      <c r="BR23" s="62"/>
      <c r="BS23" s="62"/>
      <c r="BT23" s="62"/>
      <c r="BU23" s="62"/>
      <c r="BV23" s="62"/>
      <c r="BW23" s="62"/>
      <c r="BX23" s="62"/>
    </row>
    <row r="24" spans="1:76" s="71" customFormat="1" ht="31.5" x14ac:dyDescent="0.25">
      <c r="A24" s="67" t="s">
        <v>600</v>
      </c>
      <c r="B24" s="68" t="s">
        <v>580</v>
      </c>
      <c r="C24" s="68" t="s">
        <v>982</v>
      </c>
      <c r="D24" s="67" t="s">
        <v>662</v>
      </c>
      <c r="E24" s="67" t="s">
        <v>663</v>
      </c>
      <c r="F24" s="69">
        <v>85240</v>
      </c>
      <c r="G24" s="70">
        <v>47872</v>
      </c>
      <c r="H24" s="69">
        <f>7538.4+460.48</f>
        <v>7998.8799999999992</v>
      </c>
      <c r="I24" s="69">
        <v>7690.9000000000005</v>
      </c>
      <c r="J24" s="69">
        <v>7422.38</v>
      </c>
      <c r="K24" s="69">
        <v>7176.19</v>
      </c>
      <c r="L24" s="69">
        <v>6932.19</v>
      </c>
      <c r="M24" s="69">
        <v>6683.4600000000009</v>
      </c>
      <c r="N24" s="69">
        <v>6437.48</v>
      </c>
      <c r="O24" s="69">
        <v>6200.1900000000005</v>
      </c>
      <c r="P24" s="70">
        <f t="shared" si="2"/>
        <v>56541.67</v>
      </c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62"/>
      <c r="AJ24" s="62"/>
      <c r="AK24" s="62"/>
      <c r="AL24" s="62"/>
      <c r="AM24" s="62"/>
      <c r="AN24" s="62"/>
      <c r="AO24" s="62"/>
      <c r="AP24" s="62"/>
      <c r="AQ24" s="62"/>
      <c r="AR24" s="62"/>
      <c r="AS24" s="62"/>
      <c r="AT24" s="62"/>
      <c r="AU24" s="62"/>
      <c r="AV24" s="62"/>
      <c r="AW24" s="62"/>
      <c r="AX24" s="62"/>
      <c r="AY24" s="62"/>
      <c r="AZ24" s="62"/>
      <c r="BA24" s="62"/>
      <c r="BB24" s="62"/>
      <c r="BC24" s="62"/>
      <c r="BD24" s="62"/>
      <c r="BE24" s="62"/>
      <c r="BF24" s="62"/>
      <c r="BG24" s="62"/>
      <c r="BH24" s="62"/>
      <c r="BI24" s="62"/>
      <c r="BJ24" s="62"/>
      <c r="BK24" s="62"/>
      <c r="BL24" s="62"/>
      <c r="BM24" s="62"/>
      <c r="BN24" s="62"/>
      <c r="BO24" s="62"/>
      <c r="BP24" s="62"/>
      <c r="BQ24" s="62"/>
      <c r="BR24" s="62"/>
      <c r="BS24" s="62"/>
      <c r="BT24" s="62"/>
      <c r="BU24" s="62"/>
      <c r="BV24" s="62"/>
      <c r="BW24" s="62"/>
      <c r="BX24" s="62"/>
    </row>
    <row r="25" spans="1:76" s="71" customFormat="1" ht="31.5" x14ac:dyDescent="0.25">
      <c r="A25" s="67" t="s">
        <v>603</v>
      </c>
      <c r="B25" s="68" t="s">
        <v>580</v>
      </c>
      <c r="C25" s="68" t="s">
        <v>983</v>
      </c>
      <c r="D25" s="67" t="s">
        <v>662</v>
      </c>
      <c r="E25" s="67" t="s">
        <v>663</v>
      </c>
      <c r="F25" s="69">
        <v>122911</v>
      </c>
      <c r="G25" s="70">
        <v>69024</v>
      </c>
      <c r="H25" s="69">
        <f>10869.22+663.95</f>
        <v>11533.17</v>
      </c>
      <c r="I25" s="69">
        <v>11089.07</v>
      </c>
      <c r="J25" s="69">
        <v>10701.93</v>
      </c>
      <c r="K25" s="69">
        <v>10346.98</v>
      </c>
      <c r="L25" s="69">
        <v>9995.16</v>
      </c>
      <c r="M25" s="69">
        <v>9636.5299999999988</v>
      </c>
      <c r="N25" s="69">
        <v>9281.83</v>
      </c>
      <c r="O25" s="69">
        <v>8939.7300000000014</v>
      </c>
      <c r="P25" s="70">
        <f t="shared" si="2"/>
        <v>81524.399999999994</v>
      </c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N25" s="62"/>
      <c r="AO25" s="62"/>
      <c r="AP25" s="62"/>
      <c r="AQ25" s="62"/>
      <c r="AR25" s="62"/>
      <c r="AS25" s="62"/>
      <c r="AT25" s="62"/>
      <c r="AU25" s="62"/>
      <c r="AV25" s="62"/>
      <c r="AW25" s="62"/>
      <c r="AX25" s="62"/>
      <c r="AY25" s="62"/>
      <c r="AZ25" s="62"/>
      <c r="BA25" s="62"/>
      <c r="BB25" s="62"/>
      <c r="BC25" s="62"/>
      <c r="BD25" s="62"/>
      <c r="BE25" s="62"/>
      <c r="BF25" s="62"/>
      <c r="BG25" s="62"/>
      <c r="BH25" s="62"/>
      <c r="BI25" s="62"/>
      <c r="BJ25" s="62"/>
      <c r="BK25" s="62"/>
      <c r="BL25" s="62"/>
      <c r="BM25" s="62"/>
      <c r="BN25" s="62"/>
      <c r="BO25" s="62"/>
      <c r="BP25" s="62"/>
      <c r="BQ25" s="62"/>
      <c r="BR25" s="62"/>
      <c r="BS25" s="62"/>
      <c r="BT25" s="62"/>
      <c r="BU25" s="62"/>
      <c r="BV25" s="62"/>
      <c r="BW25" s="62"/>
      <c r="BX25" s="62"/>
    </row>
    <row r="26" spans="1:76" s="71" customFormat="1" ht="31.5" x14ac:dyDescent="0.25">
      <c r="A26" s="67" t="s">
        <v>605</v>
      </c>
      <c r="B26" s="68" t="s">
        <v>580</v>
      </c>
      <c r="C26" s="68" t="s">
        <v>984</v>
      </c>
      <c r="D26" s="67" t="s">
        <v>670</v>
      </c>
      <c r="E26" s="67" t="s">
        <v>663</v>
      </c>
      <c r="F26" s="69">
        <v>329605</v>
      </c>
      <c r="G26" s="70">
        <v>181280</v>
      </c>
      <c r="H26" s="69">
        <f>28512.91+1691.36</f>
        <v>30204.27</v>
      </c>
      <c r="I26" s="69">
        <v>29130.18</v>
      </c>
      <c r="J26" s="69">
        <v>28106.829999999998</v>
      </c>
      <c r="K26" s="69">
        <v>27174.54</v>
      </c>
      <c r="L26" s="69">
        <v>26250.579999999998</v>
      </c>
      <c r="M26" s="69">
        <v>25308.75</v>
      </c>
      <c r="N26" s="69">
        <v>24377.149999999998</v>
      </c>
      <c r="O26" s="69">
        <v>23478.68</v>
      </c>
      <c r="P26" s="70">
        <f t="shared" si="2"/>
        <v>214030.97999999998</v>
      </c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N26" s="62"/>
      <c r="AO26" s="62"/>
      <c r="AP26" s="62"/>
      <c r="AQ26" s="62"/>
      <c r="AR26" s="62"/>
      <c r="AS26" s="62"/>
      <c r="AT26" s="62"/>
      <c r="AU26" s="62"/>
      <c r="AV26" s="62"/>
      <c r="AW26" s="62"/>
      <c r="AX26" s="62"/>
      <c r="AY26" s="62"/>
      <c r="AZ26" s="62"/>
      <c r="BA26" s="62"/>
      <c r="BB26" s="62"/>
      <c r="BC26" s="62"/>
      <c r="BD26" s="62"/>
      <c r="BE26" s="62"/>
      <c r="BF26" s="62"/>
      <c r="BG26" s="62"/>
      <c r="BH26" s="62"/>
      <c r="BI26" s="62"/>
      <c r="BJ26" s="62"/>
      <c r="BK26" s="62"/>
      <c r="BL26" s="62"/>
      <c r="BM26" s="62"/>
      <c r="BN26" s="62"/>
      <c r="BO26" s="62"/>
      <c r="BP26" s="62"/>
      <c r="BQ26" s="62"/>
      <c r="BR26" s="62"/>
      <c r="BS26" s="62"/>
      <c r="BT26" s="62"/>
      <c r="BU26" s="62"/>
      <c r="BV26" s="62"/>
      <c r="BW26" s="62"/>
      <c r="BX26" s="62"/>
    </row>
    <row r="27" spans="1:76" s="71" customFormat="1" ht="31.5" x14ac:dyDescent="0.25">
      <c r="A27" s="67" t="s">
        <v>608</v>
      </c>
      <c r="B27" s="68" t="s">
        <v>580</v>
      </c>
      <c r="C27" s="68" t="s">
        <v>985</v>
      </c>
      <c r="D27" s="67" t="s">
        <v>672</v>
      </c>
      <c r="E27" s="67" t="s">
        <v>673</v>
      </c>
      <c r="F27" s="69">
        <v>132520</v>
      </c>
      <c r="G27" s="70">
        <v>74400</v>
      </c>
      <c r="H27" s="69">
        <f>11565.01+676.55</f>
        <v>12241.56</v>
      </c>
      <c r="I27" s="69">
        <v>11931.82</v>
      </c>
      <c r="J27" s="69">
        <v>11535.470000000001</v>
      </c>
      <c r="K27" s="69">
        <v>11152.82</v>
      </c>
      <c r="L27" s="69">
        <v>10773.64</v>
      </c>
      <c r="M27" s="69">
        <v>10387.100000000002</v>
      </c>
      <c r="N27" s="69">
        <v>10004.75</v>
      </c>
      <c r="O27" s="69">
        <v>9644.409999999998</v>
      </c>
      <c r="P27" s="70">
        <f t="shared" si="2"/>
        <v>87671.57</v>
      </c>
      <c r="Q27" s="62"/>
      <c r="R27" s="62"/>
      <c r="S27" s="62"/>
      <c r="T27" s="62"/>
      <c r="U27" s="62"/>
      <c r="V27" s="62"/>
      <c r="W27" s="62"/>
      <c r="X27" s="62"/>
      <c r="Y27" s="62"/>
      <c r="Z27" s="62"/>
      <c r="AA27" s="62"/>
      <c r="AB27" s="62"/>
      <c r="AC27" s="62"/>
      <c r="AD27" s="62"/>
      <c r="AE27" s="62"/>
      <c r="AF27" s="62"/>
      <c r="AG27" s="62"/>
      <c r="AH27" s="62"/>
      <c r="AI27" s="62"/>
      <c r="AJ27" s="62"/>
      <c r="AK27" s="62"/>
      <c r="AL27" s="62"/>
      <c r="AM27" s="62"/>
      <c r="AN27" s="62"/>
      <c r="AO27" s="62"/>
      <c r="AP27" s="62"/>
      <c r="AQ27" s="62"/>
      <c r="AR27" s="62"/>
      <c r="AS27" s="62"/>
      <c r="AT27" s="62"/>
      <c r="AU27" s="62"/>
      <c r="AV27" s="62"/>
      <c r="AW27" s="62"/>
      <c r="AX27" s="62"/>
      <c r="AY27" s="62"/>
      <c r="AZ27" s="62"/>
      <c r="BA27" s="62"/>
      <c r="BB27" s="62"/>
      <c r="BC27" s="62"/>
      <c r="BD27" s="62"/>
      <c r="BE27" s="62"/>
      <c r="BF27" s="62"/>
      <c r="BG27" s="62"/>
      <c r="BH27" s="62"/>
      <c r="BI27" s="62"/>
      <c r="BJ27" s="62"/>
      <c r="BK27" s="62"/>
      <c r="BL27" s="62"/>
      <c r="BM27" s="62"/>
      <c r="BN27" s="62"/>
      <c r="BO27" s="62"/>
      <c r="BP27" s="62"/>
      <c r="BQ27" s="62"/>
      <c r="BR27" s="62"/>
      <c r="BS27" s="62"/>
      <c r="BT27" s="62"/>
      <c r="BU27" s="62"/>
      <c r="BV27" s="62"/>
      <c r="BW27" s="62"/>
      <c r="BX27" s="62"/>
    </row>
    <row r="28" spans="1:76" s="71" customFormat="1" ht="31.5" x14ac:dyDescent="0.25">
      <c r="A28" s="67" t="s">
        <v>611</v>
      </c>
      <c r="B28" s="68" t="s">
        <v>580</v>
      </c>
      <c r="C28" s="68" t="s">
        <v>986</v>
      </c>
      <c r="D28" s="67" t="s">
        <v>672</v>
      </c>
      <c r="E28" s="67" t="s">
        <v>673</v>
      </c>
      <c r="F28" s="69">
        <v>271200</v>
      </c>
      <c r="G28" s="70">
        <v>150432</v>
      </c>
      <c r="H28" s="69">
        <f>23383.69+1367.92</f>
        <v>24751.61</v>
      </c>
      <c r="I28" s="69">
        <v>24125.37</v>
      </c>
      <c r="J28" s="69">
        <v>23323.94</v>
      </c>
      <c r="K28" s="69">
        <v>22550.319999999996</v>
      </c>
      <c r="L28" s="69">
        <v>21783.59</v>
      </c>
      <c r="M28" s="69">
        <v>21002.019999999997</v>
      </c>
      <c r="N28" s="69">
        <v>20228.939999999999</v>
      </c>
      <c r="O28" s="69">
        <v>19500.329999999994</v>
      </c>
      <c r="P28" s="70">
        <f t="shared" si="2"/>
        <v>177266.11999999997</v>
      </c>
      <c r="Q28" s="62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2"/>
      <c r="AK28" s="62"/>
      <c r="AL28" s="62"/>
      <c r="AM28" s="62"/>
      <c r="AN28" s="62"/>
      <c r="AO28" s="62"/>
      <c r="AP28" s="62"/>
      <c r="AQ28" s="62"/>
      <c r="AR28" s="62"/>
      <c r="AS28" s="62"/>
      <c r="AT28" s="62"/>
      <c r="AU28" s="62"/>
      <c r="AV28" s="62"/>
      <c r="AW28" s="62"/>
      <c r="AX28" s="62"/>
      <c r="AY28" s="62"/>
      <c r="AZ28" s="62"/>
      <c r="BA28" s="62"/>
      <c r="BB28" s="62"/>
      <c r="BC28" s="62"/>
      <c r="BD28" s="62"/>
      <c r="BE28" s="62"/>
      <c r="BF28" s="62"/>
      <c r="BG28" s="62"/>
      <c r="BH28" s="62"/>
      <c r="BI28" s="62"/>
      <c r="BJ28" s="62"/>
      <c r="BK28" s="62"/>
      <c r="BL28" s="62"/>
      <c r="BM28" s="62"/>
      <c r="BN28" s="62"/>
      <c r="BO28" s="62"/>
      <c r="BP28" s="62"/>
      <c r="BQ28" s="62"/>
      <c r="BR28" s="62"/>
      <c r="BS28" s="62"/>
      <c r="BT28" s="62"/>
      <c r="BU28" s="62"/>
      <c r="BV28" s="62"/>
      <c r="BW28" s="62"/>
      <c r="BX28" s="62"/>
    </row>
    <row r="29" spans="1:76" s="71" customFormat="1" ht="47.25" x14ac:dyDescent="0.25">
      <c r="A29" s="67" t="s">
        <v>613</v>
      </c>
      <c r="B29" s="77" t="s">
        <v>580</v>
      </c>
      <c r="C29" s="77" t="s">
        <v>1051</v>
      </c>
      <c r="D29" s="76" t="s">
        <v>721</v>
      </c>
      <c r="E29" s="76" t="s">
        <v>722</v>
      </c>
      <c r="F29" s="78">
        <v>5653509</v>
      </c>
      <c r="G29" s="79">
        <v>3309585</v>
      </c>
      <c r="H29" s="78">
        <f>296355.53+33399.17</f>
        <v>329754.7</v>
      </c>
      <c r="I29" s="78">
        <v>380314.38</v>
      </c>
      <c r="J29" s="78">
        <v>370017.94</v>
      </c>
      <c r="K29" s="78">
        <v>359564.08999999997</v>
      </c>
      <c r="L29" s="78">
        <v>349353.51999999996</v>
      </c>
      <c r="M29" s="78">
        <v>338642.08999999997</v>
      </c>
      <c r="N29" s="78">
        <v>328195.37</v>
      </c>
      <c r="O29" s="78">
        <v>1815360.8799999997</v>
      </c>
      <c r="P29" s="79">
        <f t="shared" si="2"/>
        <v>4271202.97</v>
      </c>
      <c r="Q29" s="62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2"/>
      <c r="AI29" s="62"/>
      <c r="AJ29" s="62"/>
      <c r="AK29" s="62"/>
      <c r="AL29" s="62"/>
      <c r="AM29" s="62"/>
      <c r="AN29" s="62"/>
      <c r="AO29" s="62"/>
      <c r="AP29" s="62"/>
      <c r="AQ29" s="62"/>
      <c r="AR29" s="62"/>
      <c r="AS29" s="62"/>
      <c r="AT29" s="62"/>
      <c r="AU29" s="62"/>
      <c r="AV29" s="62"/>
      <c r="AW29" s="62"/>
      <c r="AX29" s="62"/>
      <c r="AY29" s="62"/>
      <c r="AZ29" s="62"/>
      <c r="BA29" s="62"/>
      <c r="BB29" s="62"/>
      <c r="BC29" s="62"/>
      <c r="BD29" s="62"/>
      <c r="BE29" s="62"/>
      <c r="BF29" s="62"/>
      <c r="BG29" s="62"/>
      <c r="BH29" s="62"/>
      <c r="BI29" s="62"/>
      <c r="BJ29" s="62"/>
      <c r="BK29" s="62"/>
      <c r="BL29" s="62"/>
      <c r="BM29" s="62"/>
      <c r="BN29" s="62"/>
      <c r="BO29" s="62"/>
      <c r="BP29" s="62"/>
      <c r="BQ29" s="62"/>
      <c r="BR29" s="62"/>
      <c r="BS29" s="62"/>
      <c r="BT29" s="62"/>
      <c r="BU29" s="62"/>
      <c r="BV29" s="62"/>
      <c r="BW29" s="62"/>
      <c r="BX29" s="62"/>
    </row>
    <row r="30" spans="1:76" s="71" customFormat="1" ht="31.5" x14ac:dyDescent="0.25">
      <c r="A30" s="67" t="s">
        <v>617</v>
      </c>
      <c r="B30" s="77" t="s">
        <v>580</v>
      </c>
      <c r="C30" s="77" t="s">
        <v>987</v>
      </c>
      <c r="D30" s="76" t="s">
        <v>721</v>
      </c>
      <c r="E30" s="76" t="s">
        <v>887</v>
      </c>
      <c r="F30" s="78">
        <v>234257</v>
      </c>
      <c r="G30" s="79">
        <v>135630</v>
      </c>
      <c r="H30" s="78">
        <f>20441.96+1391.66</f>
        <v>21833.62</v>
      </c>
      <c r="I30" s="78">
        <v>21235.19</v>
      </c>
      <c r="J30" s="78">
        <v>20560.7</v>
      </c>
      <c r="K30" s="78">
        <v>19884.32</v>
      </c>
      <c r="L30" s="78">
        <v>19214.440000000002</v>
      </c>
      <c r="M30" s="78">
        <v>18530.650000000001</v>
      </c>
      <c r="N30" s="78">
        <v>17854.760000000002</v>
      </c>
      <c r="O30" s="78">
        <v>21407.829999999998</v>
      </c>
      <c r="P30" s="79">
        <f t="shared" si="2"/>
        <v>160521.50999999998</v>
      </c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62"/>
      <c r="AG30" s="62"/>
      <c r="AH30" s="62"/>
      <c r="AI30" s="62"/>
      <c r="AJ30" s="62"/>
      <c r="AK30" s="62"/>
      <c r="AL30" s="62"/>
      <c r="AM30" s="62"/>
      <c r="AN30" s="62"/>
      <c r="AO30" s="62"/>
      <c r="AP30" s="62"/>
      <c r="AQ30" s="62"/>
      <c r="AR30" s="62"/>
      <c r="AS30" s="62"/>
      <c r="AT30" s="62"/>
      <c r="AU30" s="62"/>
      <c r="AV30" s="62"/>
      <c r="AW30" s="62"/>
      <c r="AX30" s="62"/>
      <c r="AY30" s="62"/>
      <c r="AZ30" s="62"/>
      <c r="BA30" s="62"/>
      <c r="BB30" s="62"/>
      <c r="BC30" s="62"/>
      <c r="BD30" s="62"/>
      <c r="BE30" s="62"/>
      <c r="BF30" s="62"/>
      <c r="BG30" s="62"/>
      <c r="BH30" s="62"/>
      <c r="BI30" s="62"/>
      <c r="BJ30" s="62"/>
      <c r="BK30" s="62"/>
      <c r="BL30" s="62"/>
      <c r="BM30" s="62"/>
      <c r="BN30" s="62"/>
      <c r="BO30" s="62"/>
      <c r="BP30" s="62"/>
      <c r="BQ30" s="62"/>
      <c r="BR30" s="62"/>
      <c r="BS30" s="62"/>
      <c r="BT30" s="62"/>
      <c r="BU30" s="62"/>
      <c r="BV30" s="62"/>
      <c r="BW30" s="62"/>
      <c r="BX30" s="62"/>
    </row>
    <row r="31" spans="1:76" s="71" customFormat="1" ht="47.25" x14ac:dyDescent="0.25">
      <c r="A31" s="67" t="s">
        <v>618</v>
      </c>
      <c r="B31" s="68" t="s">
        <v>580</v>
      </c>
      <c r="C31" s="68" t="s">
        <v>614</v>
      </c>
      <c r="D31" s="67" t="s">
        <v>615</v>
      </c>
      <c r="E31" s="67" t="s">
        <v>616</v>
      </c>
      <c r="F31" s="69">
        <v>105805</v>
      </c>
      <c r="G31" s="70">
        <v>63138</v>
      </c>
      <c r="H31" s="69">
        <f>9312.51+671.35</f>
        <v>9983.86</v>
      </c>
      <c r="I31" s="69">
        <v>9670.92</v>
      </c>
      <c r="J31" s="69">
        <v>9366.17</v>
      </c>
      <c r="K31" s="69">
        <v>9060.57</v>
      </c>
      <c r="L31" s="69">
        <v>8758.119999999999</v>
      </c>
      <c r="M31" s="69">
        <v>8448.9599999999991</v>
      </c>
      <c r="N31" s="69">
        <v>8143.57</v>
      </c>
      <c r="O31" s="69">
        <v>11654.48</v>
      </c>
      <c r="P31" s="70">
        <f t="shared" si="2"/>
        <v>75086.649999999994</v>
      </c>
      <c r="Q31" s="62"/>
      <c r="R31" s="62"/>
      <c r="S31" s="62"/>
      <c r="T31" s="62"/>
      <c r="U31" s="62"/>
      <c r="V31" s="62"/>
      <c r="W31" s="62"/>
      <c r="X31" s="62"/>
      <c r="Y31" s="62"/>
      <c r="Z31" s="62"/>
      <c r="AA31" s="62"/>
      <c r="AB31" s="62"/>
      <c r="AC31" s="62"/>
      <c r="AD31" s="62"/>
      <c r="AE31" s="62"/>
      <c r="AF31" s="62"/>
      <c r="AG31" s="62"/>
      <c r="AH31" s="62"/>
      <c r="AI31" s="62"/>
      <c r="AJ31" s="62"/>
      <c r="AK31" s="62"/>
      <c r="AL31" s="62"/>
      <c r="AM31" s="62"/>
      <c r="AN31" s="62"/>
      <c r="AO31" s="62"/>
      <c r="AP31" s="62"/>
      <c r="AQ31" s="62"/>
      <c r="AR31" s="62"/>
      <c r="AS31" s="62"/>
      <c r="AT31" s="62"/>
      <c r="AU31" s="62"/>
      <c r="AV31" s="62"/>
      <c r="AW31" s="62"/>
      <c r="AX31" s="62"/>
      <c r="AY31" s="62"/>
      <c r="AZ31" s="62"/>
      <c r="BA31" s="62"/>
      <c r="BB31" s="62"/>
      <c r="BC31" s="62"/>
      <c r="BD31" s="62"/>
      <c r="BE31" s="62"/>
      <c r="BF31" s="62"/>
      <c r="BG31" s="62"/>
      <c r="BH31" s="62"/>
      <c r="BI31" s="62"/>
      <c r="BJ31" s="62"/>
      <c r="BK31" s="62"/>
      <c r="BL31" s="62"/>
      <c r="BM31" s="62"/>
      <c r="BN31" s="62"/>
      <c r="BO31" s="62"/>
      <c r="BP31" s="62"/>
      <c r="BQ31" s="62"/>
      <c r="BR31" s="62"/>
      <c r="BS31" s="62"/>
      <c r="BT31" s="62"/>
      <c r="BU31" s="62"/>
      <c r="BV31" s="62"/>
      <c r="BW31" s="62"/>
      <c r="BX31" s="62"/>
    </row>
    <row r="32" spans="1:76" s="71" customFormat="1" ht="47.25" x14ac:dyDescent="0.25">
      <c r="A32" s="67" t="s">
        <v>955</v>
      </c>
      <c r="B32" s="68" t="s">
        <v>580</v>
      </c>
      <c r="C32" s="68" t="s">
        <v>1052</v>
      </c>
      <c r="D32" s="67" t="s">
        <v>615</v>
      </c>
      <c r="E32" s="67" t="s">
        <v>616</v>
      </c>
      <c r="F32" s="69">
        <v>93510</v>
      </c>
      <c r="G32" s="70">
        <v>55794</v>
      </c>
      <c r="H32" s="69">
        <f>8229.3+593.26</f>
        <v>8822.56</v>
      </c>
      <c r="I32" s="69">
        <v>8546.0499999999993</v>
      </c>
      <c r="J32" s="69">
        <v>8276.73</v>
      </c>
      <c r="K32" s="69">
        <v>8006.67</v>
      </c>
      <c r="L32" s="69">
        <v>7739.39</v>
      </c>
      <c r="M32" s="69">
        <v>7466.2</v>
      </c>
      <c r="N32" s="69">
        <v>7196.34</v>
      </c>
      <c r="O32" s="69">
        <v>10298.85</v>
      </c>
      <c r="P32" s="70">
        <f t="shared" si="2"/>
        <v>66352.790000000008</v>
      </c>
      <c r="Q32" s="62"/>
      <c r="R32" s="62"/>
      <c r="S32" s="62"/>
      <c r="T32" s="62"/>
      <c r="U32" s="62"/>
      <c r="V32" s="62"/>
      <c r="W32" s="62"/>
      <c r="X32" s="62"/>
      <c r="Y32" s="62"/>
      <c r="Z32" s="62"/>
      <c r="AA32" s="62"/>
      <c r="AB32" s="62"/>
      <c r="AC32" s="62"/>
      <c r="AD32" s="62"/>
      <c r="AE32" s="62"/>
      <c r="AF32" s="62"/>
      <c r="AG32" s="62"/>
      <c r="AH32" s="62"/>
      <c r="AI32" s="62"/>
      <c r="AJ32" s="62"/>
      <c r="AK32" s="62"/>
      <c r="AL32" s="62"/>
      <c r="AM32" s="62"/>
      <c r="AN32" s="62"/>
      <c r="AO32" s="62"/>
      <c r="AP32" s="62"/>
      <c r="AQ32" s="62"/>
      <c r="AR32" s="62"/>
      <c r="AS32" s="62"/>
      <c r="AT32" s="62"/>
      <c r="AU32" s="62"/>
      <c r="AV32" s="62"/>
      <c r="AW32" s="62"/>
      <c r="AX32" s="62"/>
      <c r="AY32" s="62"/>
      <c r="AZ32" s="62"/>
      <c r="BA32" s="62"/>
      <c r="BB32" s="62"/>
      <c r="BC32" s="62"/>
      <c r="BD32" s="62"/>
      <c r="BE32" s="62"/>
      <c r="BF32" s="62"/>
      <c r="BG32" s="62"/>
      <c r="BH32" s="62"/>
      <c r="BI32" s="62"/>
      <c r="BJ32" s="62"/>
      <c r="BK32" s="62"/>
      <c r="BL32" s="62"/>
      <c r="BM32" s="62"/>
      <c r="BN32" s="62"/>
      <c r="BO32" s="62"/>
      <c r="BP32" s="62"/>
      <c r="BQ32" s="62"/>
      <c r="BR32" s="62"/>
      <c r="BS32" s="62"/>
      <c r="BT32" s="62"/>
      <c r="BU32" s="62"/>
      <c r="BV32" s="62"/>
      <c r="BW32" s="62"/>
      <c r="BX32" s="62"/>
    </row>
    <row r="33" spans="1:76" s="71" customFormat="1" ht="47.25" x14ac:dyDescent="0.25">
      <c r="A33" s="67" t="s">
        <v>623</v>
      </c>
      <c r="B33" s="68" t="s">
        <v>580</v>
      </c>
      <c r="C33" s="68" t="s">
        <v>988</v>
      </c>
      <c r="D33" s="67" t="s">
        <v>657</v>
      </c>
      <c r="E33" s="67" t="s">
        <v>658</v>
      </c>
      <c r="F33" s="69">
        <v>105150</v>
      </c>
      <c r="G33" s="70">
        <v>62560</v>
      </c>
      <c r="H33" s="69">
        <f>9326.8+716.35</f>
        <v>10043.15</v>
      </c>
      <c r="I33" s="69">
        <v>9582.42</v>
      </c>
      <c r="J33" s="69">
        <v>9280.41</v>
      </c>
      <c r="K33" s="69">
        <v>8977.64</v>
      </c>
      <c r="L33" s="69">
        <v>8677.9500000000007</v>
      </c>
      <c r="M33" s="69">
        <v>8371.61</v>
      </c>
      <c r="N33" s="69">
        <v>8068.99</v>
      </c>
      <c r="O33" s="69">
        <v>11554.43</v>
      </c>
      <c r="P33" s="70">
        <f t="shared" si="2"/>
        <v>74556.599999999991</v>
      </c>
      <c r="Q33" s="62"/>
      <c r="R33" s="62"/>
      <c r="S33" s="62"/>
      <c r="T33" s="62"/>
      <c r="U33" s="62"/>
      <c r="V33" s="62"/>
      <c r="W33" s="62"/>
      <c r="X33" s="62"/>
      <c r="Y33" s="62"/>
      <c r="Z33" s="62"/>
      <c r="AA33" s="62"/>
      <c r="AB33" s="62"/>
      <c r="AC33" s="62"/>
      <c r="AD33" s="62"/>
      <c r="AE33" s="62"/>
      <c r="AF33" s="62"/>
      <c r="AG33" s="62"/>
      <c r="AH33" s="62"/>
      <c r="AI33" s="62"/>
      <c r="AJ33" s="62"/>
      <c r="AK33" s="62"/>
      <c r="AL33" s="62"/>
      <c r="AM33" s="62"/>
      <c r="AN33" s="62"/>
      <c r="AO33" s="62"/>
      <c r="AP33" s="62"/>
      <c r="AQ33" s="62"/>
      <c r="AR33" s="62"/>
      <c r="AS33" s="62"/>
      <c r="AT33" s="62"/>
      <c r="AU33" s="62"/>
      <c r="AV33" s="62"/>
      <c r="AW33" s="62"/>
      <c r="AX33" s="62"/>
      <c r="AY33" s="62"/>
      <c r="AZ33" s="62"/>
      <c r="BA33" s="62"/>
      <c r="BB33" s="62"/>
      <c r="BC33" s="62"/>
      <c r="BD33" s="62"/>
      <c r="BE33" s="62"/>
      <c r="BF33" s="62"/>
      <c r="BG33" s="62"/>
      <c r="BH33" s="62"/>
      <c r="BI33" s="62"/>
      <c r="BJ33" s="62"/>
      <c r="BK33" s="62"/>
      <c r="BL33" s="62"/>
      <c r="BM33" s="62"/>
      <c r="BN33" s="62"/>
      <c r="BO33" s="62"/>
      <c r="BP33" s="62"/>
      <c r="BQ33" s="62"/>
      <c r="BR33" s="62"/>
      <c r="BS33" s="62"/>
      <c r="BT33" s="62"/>
      <c r="BU33" s="62"/>
      <c r="BV33" s="62"/>
      <c r="BW33" s="62"/>
      <c r="BX33" s="62"/>
    </row>
    <row r="34" spans="1:76" s="71" customFormat="1" ht="47.25" x14ac:dyDescent="0.25">
      <c r="A34" s="67" t="s">
        <v>626</v>
      </c>
      <c r="B34" s="68" t="s">
        <v>580</v>
      </c>
      <c r="C34" s="68" t="s">
        <v>989</v>
      </c>
      <c r="D34" s="67" t="s">
        <v>657</v>
      </c>
      <c r="E34" s="67" t="s">
        <v>658</v>
      </c>
      <c r="F34" s="69">
        <v>142586</v>
      </c>
      <c r="G34" s="70">
        <v>84864</v>
      </c>
      <c r="H34" s="69">
        <f>12652+971.76</f>
        <v>13623.76</v>
      </c>
      <c r="I34" s="69">
        <v>12998.730000000001</v>
      </c>
      <c r="J34" s="69">
        <v>12589.09</v>
      </c>
      <c r="K34" s="69">
        <v>12178.339999999998</v>
      </c>
      <c r="L34" s="69">
        <v>11771.810000000001</v>
      </c>
      <c r="M34" s="69">
        <v>11356.279999999999</v>
      </c>
      <c r="N34" s="69">
        <v>10945.8</v>
      </c>
      <c r="O34" s="69">
        <v>15673.810000000001</v>
      </c>
      <c r="P34" s="70">
        <f t="shared" si="2"/>
        <v>101137.62</v>
      </c>
      <c r="Q34" s="62"/>
      <c r="R34" s="62"/>
      <c r="S34" s="62"/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  <c r="BA34" s="62"/>
      <c r="BB34" s="62"/>
      <c r="BC34" s="62"/>
      <c r="BD34" s="62"/>
      <c r="BE34" s="62"/>
      <c r="BF34" s="62"/>
      <c r="BG34" s="62"/>
      <c r="BH34" s="62"/>
      <c r="BI34" s="62"/>
      <c r="BJ34" s="62"/>
      <c r="BK34" s="62"/>
      <c r="BL34" s="62"/>
      <c r="BM34" s="62"/>
      <c r="BN34" s="62"/>
      <c r="BO34" s="62"/>
      <c r="BP34" s="62"/>
      <c r="BQ34" s="62"/>
      <c r="BR34" s="62"/>
      <c r="BS34" s="62"/>
      <c r="BT34" s="62"/>
      <c r="BU34" s="62"/>
      <c r="BV34" s="62"/>
      <c r="BW34" s="62"/>
      <c r="BX34" s="62"/>
    </row>
    <row r="35" spans="1:76" s="71" customFormat="1" ht="31.5" x14ac:dyDescent="0.25">
      <c r="A35" s="67" t="s">
        <v>627</v>
      </c>
      <c r="B35" s="68" t="s">
        <v>580</v>
      </c>
      <c r="C35" s="68" t="s">
        <v>683</v>
      </c>
      <c r="D35" s="67" t="s">
        <v>684</v>
      </c>
      <c r="E35" s="67" t="s">
        <v>685</v>
      </c>
      <c r="F35" s="69">
        <v>78090</v>
      </c>
      <c r="G35" s="70">
        <v>47145</v>
      </c>
      <c r="H35" s="69">
        <f>6873.77+533.79</f>
        <v>7407.56</v>
      </c>
      <c r="I35" s="69">
        <v>7070.34</v>
      </c>
      <c r="J35" s="69">
        <v>6849.2599999999993</v>
      </c>
      <c r="K35" s="69">
        <v>6627.5800000000008</v>
      </c>
      <c r="L35" s="69">
        <v>6408.3399999999992</v>
      </c>
      <c r="M35" s="69">
        <v>6183.93</v>
      </c>
      <c r="N35" s="69">
        <v>5962.42</v>
      </c>
      <c r="O35" s="69">
        <v>9910.130000000001</v>
      </c>
      <c r="P35" s="70">
        <f t="shared" si="2"/>
        <v>56419.56</v>
      </c>
      <c r="Q35" s="62"/>
      <c r="R35" s="62"/>
      <c r="S35" s="62"/>
      <c r="T35" s="62"/>
      <c r="U35" s="62"/>
      <c r="V35" s="62"/>
      <c r="W35" s="62"/>
      <c r="X35" s="62"/>
      <c r="Y35" s="62"/>
      <c r="Z35" s="62"/>
      <c r="AA35" s="62"/>
      <c r="AB35" s="62"/>
      <c r="AC35" s="62"/>
      <c r="AD35" s="62"/>
      <c r="AE35" s="62"/>
      <c r="AF35" s="62"/>
      <c r="AG35" s="62"/>
      <c r="AH35" s="62"/>
      <c r="AI35" s="62"/>
      <c r="AJ35" s="62"/>
      <c r="AK35" s="62"/>
      <c r="AL35" s="62"/>
      <c r="AM35" s="62"/>
      <c r="AN35" s="62"/>
      <c r="AO35" s="62"/>
      <c r="AP35" s="62"/>
      <c r="AQ35" s="62"/>
      <c r="AR35" s="62"/>
      <c r="AS35" s="62"/>
      <c r="AT35" s="62"/>
      <c r="AU35" s="62"/>
      <c r="AV35" s="62"/>
      <c r="AW35" s="62"/>
      <c r="AX35" s="62"/>
      <c r="AY35" s="62"/>
      <c r="AZ35" s="62"/>
      <c r="BA35" s="62"/>
      <c r="BB35" s="62"/>
      <c r="BC35" s="62"/>
      <c r="BD35" s="62"/>
      <c r="BE35" s="62"/>
      <c r="BF35" s="62"/>
      <c r="BG35" s="62"/>
      <c r="BH35" s="62"/>
      <c r="BI35" s="62"/>
      <c r="BJ35" s="62"/>
      <c r="BK35" s="62"/>
      <c r="BL35" s="62"/>
      <c r="BM35" s="62"/>
      <c r="BN35" s="62"/>
      <c r="BO35" s="62"/>
      <c r="BP35" s="62"/>
      <c r="BQ35" s="62"/>
      <c r="BR35" s="62"/>
      <c r="BS35" s="62"/>
      <c r="BT35" s="62"/>
      <c r="BU35" s="62"/>
      <c r="BV35" s="62"/>
      <c r="BW35" s="62"/>
      <c r="BX35" s="62"/>
    </row>
    <row r="36" spans="1:76" s="71" customFormat="1" ht="31.5" x14ac:dyDescent="0.25">
      <c r="A36" s="67" t="s">
        <v>628</v>
      </c>
      <c r="B36" s="68" t="s">
        <v>580</v>
      </c>
      <c r="C36" s="68" t="s">
        <v>690</v>
      </c>
      <c r="D36" s="67" t="s">
        <v>684</v>
      </c>
      <c r="E36" s="67" t="s">
        <v>685</v>
      </c>
      <c r="F36" s="69">
        <v>393462</v>
      </c>
      <c r="G36" s="70">
        <v>241605</v>
      </c>
      <c r="H36" s="69">
        <f>29768.39+2735.48</f>
        <v>32503.87</v>
      </c>
      <c r="I36" s="69">
        <v>37153.33</v>
      </c>
      <c r="J36" s="69">
        <v>36005.22</v>
      </c>
      <c r="K36" s="69">
        <v>34839.949999999997</v>
      </c>
      <c r="L36" s="69">
        <v>33687.4</v>
      </c>
      <c r="M36" s="69">
        <v>32507.77</v>
      </c>
      <c r="N36" s="69">
        <v>31343.279999999999</v>
      </c>
      <c r="O36" s="69">
        <v>52085.260000000009</v>
      </c>
      <c r="P36" s="70">
        <f t="shared" si="2"/>
        <v>290126.07999999996</v>
      </c>
      <c r="Q36" s="62"/>
      <c r="R36" s="62"/>
      <c r="S36" s="62"/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62"/>
      <c r="AG36" s="62"/>
      <c r="AH36" s="62"/>
      <c r="AI36" s="62"/>
      <c r="AJ36" s="62"/>
      <c r="AK36" s="62"/>
      <c r="AL36" s="62"/>
      <c r="AM36" s="62"/>
      <c r="AN36" s="62"/>
      <c r="AO36" s="62"/>
      <c r="AP36" s="62"/>
      <c r="AQ36" s="62"/>
      <c r="AR36" s="62"/>
      <c r="AS36" s="62"/>
      <c r="AT36" s="62"/>
      <c r="AU36" s="62"/>
      <c r="AV36" s="62"/>
      <c r="AW36" s="62"/>
      <c r="AX36" s="62"/>
      <c r="AY36" s="62"/>
      <c r="AZ36" s="62"/>
      <c r="BA36" s="62"/>
      <c r="BB36" s="62"/>
      <c r="BC36" s="62"/>
      <c r="BD36" s="62"/>
      <c r="BE36" s="62"/>
      <c r="BF36" s="62"/>
      <c r="BG36" s="62"/>
      <c r="BH36" s="62"/>
      <c r="BI36" s="62"/>
      <c r="BJ36" s="62"/>
      <c r="BK36" s="62"/>
      <c r="BL36" s="62"/>
      <c r="BM36" s="62"/>
      <c r="BN36" s="62"/>
      <c r="BO36" s="62"/>
      <c r="BP36" s="62"/>
      <c r="BQ36" s="62"/>
      <c r="BR36" s="62"/>
      <c r="BS36" s="62"/>
      <c r="BT36" s="62"/>
      <c r="BU36" s="62"/>
      <c r="BV36" s="62"/>
      <c r="BW36" s="62"/>
      <c r="BX36" s="62"/>
    </row>
    <row r="37" spans="1:76" s="71" customFormat="1" ht="30" customHeight="1" x14ac:dyDescent="0.25">
      <c r="A37" s="67" t="s">
        <v>631</v>
      </c>
      <c r="B37" s="68" t="s">
        <v>580</v>
      </c>
      <c r="C37" s="68" t="s">
        <v>694</v>
      </c>
      <c r="D37" s="67" t="s">
        <v>695</v>
      </c>
      <c r="E37" s="67" t="s">
        <v>696</v>
      </c>
      <c r="F37" s="69">
        <v>186053</v>
      </c>
      <c r="G37" s="70">
        <v>75435</v>
      </c>
      <c r="H37" s="69">
        <f>22412.68+890.47</f>
        <v>23303.15</v>
      </c>
      <c r="I37" s="69">
        <v>22261.75</v>
      </c>
      <c r="J37" s="69">
        <v>21436.420000000002</v>
      </c>
      <c r="K37" s="69">
        <v>15562.279999999999</v>
      </c>
      <c r="L37" s="69">
        <v>0</v>
      </c>
      <c r="M37" s="69">
        <v>0</v>
      </c>
      <c r="N37" s="69">
        <v>0</v>
      </c>
      <c r="O37" s="69">
        <v>0</v>
      </c>
      <c r="P37" s="70">
        <f t="shared" si="2"/>
        <v>82563.600000000006</v>
      </c>
      <c r="Q37" s="62"/>
      <c r="R37" s="62"/>
      <c r="S37" s="62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2"/>
      <c r="AV37" s="62"/>
      <c r="AW37" s="62"/>
      <c r="AX37" s="62"/>
      <c r="AY37" s="62"/>
      <c r="AZ37" s="62"/>
      <c r="BA37" s="62"/>
      <c r="BB37" s="62"/>
      <c r="BC37" s="62"/>
      <c r="BD37" s="62"/>
      <c r="BE37" s="62"/>
      <c r="BF37" s="62"/>
      <c r="BG37" s="62"/>
      <c r="BH37" s="62"/>
      <c r="BI37" s="62"/>
      <c r="BJ37" s="62"/>
      <c r="BK37" s="62"/>
      <c r="BL37" s="62"/>
      <c r="BM37" s="62"/>
      <c r="BN37" s="62"/>
      <c r="BO37" s="62"/>
      <c r="BP37" s="62"/>
      <c r="BQ37" s="62"/>
      <c r="BR37" s="62"/>
      <c r="BS37" s="62"/>
      <c r="BT37" s="62"/>
      <c r="BU37" s="62"/>
      <c r="BV37" s="62"/>
      <c r="BW37" s="62"/>
      <c r="BX37" s="62"/>
    </row>
    <row r="38" spans="1:76" s="71" customFormat="1" ht="31.5" x14ac:dyDescent="0.25">
      <c r="A38" s="67" t="s">
        <v>634</v>
      </c>
      <c r="B38" s="68" t="s">
        <v>580</v>
      </c>
      <c r="C38" s="68" t="s">
        <v>990</v>
      </c>
      <c r="D38" s="67" t="s">
        <v>886</v>
      </c>
      <c r="E38" s="67" t="s">
        <v>705</v>
      </c>
      <c r="F38" s="69">
        <v>139950</v>
      </c>
      <c r="G38" s="70">
        <v>85960</v>
      </c>
      <c r="H38" s="69">
        <f>12651.9+1006.79</f>
        <v>13658.689999999999</v>
      </c>
      <c r="I38" s="69">
        <v>12891.4</v>
      </c>
      <c r="J38" s="69">
        <v>12488.34</v>
      </c>
      <c r="K38" s="69">
        <v>12084.16</v>
      </c>
      <c r="L38" s="69">
        <v>11684.42</v>
      </c>
      <c r="M38" s="69">
        <v>11275.279999999999</v>
      </c>
      <c r="N38" s="69">
        <v>10871.35</v>
      </c>
      <c r="O38" s="69">
        <v>18077.8</v>
      </c>
      <c r="P38" s="70">
        <f t="shared" si="2"/>
        <v>103031.44</v>
      </c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62"/>
      <c r="AG38" s="62"/>
      <c r="AH38" s="62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  <c r="AV38" s="62"/>
      <c r="AW38" s="62"/>
      <c r="AX38" s="62"/>
      <c r="AY38" s="62"/>
      <c r="AZ38" s="62"/>
      <c r="BA38" s="62"/>
      <c r="BB38" s="62"/>
      <c r="BC38" s="62"/>
      <c r="BD38" s="62"/>
      <c r="BE38" s="62"/>
      <c r="BF38" s="62"/>
      <c r="BG38" s="62"/>
      <c r="BH38" s="62"/>
      <c r="BI38" s="62"/>
      <c r="BJ38" s="62"/>
      <c r="BK38" s="62"/>
      <c r="BL38" s="62"/>
      <c r="BM38" s="62"/>
      <c r="BN38" s="62"/>
      <c r="BO38" s="62"/>
      <c r="BP38" s="62"/>
      <c r="BQ38" s="62"/>
      <c r="BR38" s="62"/>
      <c r="BS38" s="62"/>
      <c r="BT38" s="62"/>
      <c r="BU38" s="62"/>
      <c r="BV38" s="62"/>
      <c r="BW38" s="62"/>
      <c r="BX38" s="62"/>
    </row>
    <row r="39" spans="1:76" s="71" customFormat="1" ht="47.25" x14ac:dyDescent="0.25">
      <c r="A39" s="67" t="s">
        <v>635</v>
      </c>
      <c r="B39" s="68" t="s">
        <v>580</v>
      </c>
      <c r="C39" s="68" t="s">
        <v>991</v>
      </c>
      <c r="D39" s="67" t="s">
        <v>886</v>
      </c>
      <c r="E39" s="67" t="s">
        <v>707</v>
      </c>
      <c r="F39" s="69">
        <v>384981</v>
      </c>
      <c r="G39" s="70">
        <v>132975</v>
      </c>
      <c r="H39" s="69">
        <f>39640.85+1607.79</f>
        <v>41248.639999999999</v>
      </c>
      <c r="I39" s="69">
        <v>39242.479999999996</v>
      </c>
      <c r="J39" s="69">
        <v>37787.589999999997</v>
      </c>
      <c r="K39" s="69">
        <v>27463.75</v>
      </c>
      <c r="L39" s="69">
        <v>0</v>
      </c>
      <c r="M39" s="69">
        <v>0</v>
      </c>
      <c r="N39" s="69">
        <v>0</v>
      </c>
      <c r="O39" s="69">
        <v>0</v>
      </c>
      <c r="P39" s="70">
        <f t="shared" si="2"/>
        <v>145742.46</v>
      </c>
      <c r="Q39" s="62"/>
      <c r="R39" s="62"/>
      <c r="S39" s="62"/>
      <c r="T39" s="62"/>
      <c r="U39" s="62"/>
      <c r="V39" s="62"/>
      <c r="W39" s="62"/>
      <c r="X39" s="62"/>
      <c r="Y39" s="62"/>
      <c r="Z39" s="62"/>
      <c r="AA39" s="62"/>
      <c r="AB39" s="62"/>
      <c r="AC39" s="62"/>
      <c r="AD39" s="62"/>
      <c r="AE39" s="62"/>
      <c r="AF39" s="62"/>
      <c r="AG39" s="62"/>
      <c r="AH39" s="62"/>
      <c r="AI39" s="62"/>
      <c r="AJ39" s="62"/>
      <c r="AK39" s="62"/>
      <c r="AL39" s="62"/>
      <c r="AM39" s="62"/>
      <c r="AN39" s="62"/>
      <c r="AO39" s="62"/>
      <c r="AP39" s="62"/>
      <c r="AQ39" s="62"/>
      <c r="AR39" s="62"/>
      <c r="AS39" s="62"/>
      <c r="AT39" s="62"/>
      <c r="AU39" s="62"/>
      <c r="AV39" s="62"/>
      <c r="AW39" s="62"/>
      <c r="AX39" s="62"/>
      <c r="AY39" s="62"/>
      <c r="AZ39" s="62"/>
      <c r="BA39" s="62"/>
      <c r="BB39" s="62"/>
      <c r="BC39" s="62"/>
      <c r="BD39" s="62"/>
      <c r="BE39" s="62"/>
      <c r="BF39" s="62"/>
      <c r="BG39" s="62"/>
      <c r="BH39" s="62"/>
      <c r="BI39" s="62"/>
      <c r="BJ39" s="62"/>
      <c r="BK39" s="62"/>
      <c r="BL39" s="62"/>
      <c r="BM39" s="62"/>
      <c r="BN39" s="62"/>
      <c r="BO39" s="62"/>
      <c r="BP39" s="62"/>
      <c r="BQ39" s="62"/>
      <c r="BR39" s="62"/>
      <c r="BS39" s="62"/>
      <c r="BT39" s="62"/>
      <c r="BU39" s="62"/>
      <c r="BV39" s="62"/>
      <c r="BW39" s="62"/>
      <c r="BX39" s="62"/>
    </row>
    <row r="40" spans="1:76" s="71" customFormat="1" ht="31.5" x14ac:dyDescent="0.25">
      <c r="A40" s="67" t="s">
        <v>638</v>
      </c>
      <c r="B40" s="77" t="s">
        <v>580</v>
      </c>
      <c r="C40" s="77" t="s">
        <v>992</v>
      </c>
      <c r="D40" s="76" t="s">
        <v>712</v>
      </c>
      <c r="E40" s="76" t="s">
        <v>713</v>
      </c>
      <c r="F40" s="78">
        <v>82400</v>
      </c>
      <c r="G40" s="79">
        <v>50292</v>
      </c>
      <c r="H40" s="78">
        <f>7217.61+540.63</f>
        <v>7758.24</v>
      </c>
      <c r="I40" s="78">
        <v>7398.04</v>
      </c>
      <c r="J40" s="78">
        <v>7160.93</v>
      </c>
      <c r="K40" s="78">
        <v>6931.0300000000007</v>
      </c>
      <c r="L40" s="78">
        <v>6703.83</v>
      </c>
      <c r="M40" s="78">
        <v>6470.9199999999992</v>
      </c>
      <c r="N40" s="78">
        <v>6241.2</v>
      </c>
      <c r="O40" s="78">
        <v>11797.859999999999</v>
      </c>
      <c r="P40" s="79">
        <f t="shared" si="2"/>
        <v>60462.049999999996</v>
      </c>
      <c r="Q40" s="62"/>
      <c r="R40" s="62"/>
      <c r="S40" s="62"/>
      <c r="T40" s="62"/>
      <c r="U40" s="62"/>
      <c r="V40" s="62"/>
      <c r="W40" s="62"/>
      <c r="X40" s="62"/>
      <c r="Y40" s="62"/>
      <c r="Z40" s="62"/>
      <c r="AA40" s="62"/>
      <c r="AB40" s="62"/>
      <c r="AC40" s="62"/>
      <c r="AD40" s="62"/>
      <c r="AE40" s="62"/>
      <c r="AF40" s="62"/>
      <c r="AG40" s="62"/>
      <c r="AH40" s="62"/>
      <c r="AI40" s="62"/>
      <c r="AJ40" s="62"/>
      <c r="AK40" s="62"/>
      <c r="AL40" s="62"/>
      <c r="AM40" s="62"/>
      <c r="AN40" s="62"/>
      <c r="AO40" s="62"/>
      <c r="AP40" s="62"/>
      <c r="AQ40" s="62"/>
      <c r="AR40" s="62"/>
      <c r="AS40" s="62"/>
      <c r="AT40" s="62"/>
      <c r="AU40" s="62"/>
      <c r="AV40" s="62"/>
      <c r="AW40" s="62"/>
      <c r="AX40" s="62"/>
      <c r="AY40" s="62"/>
      <c r="AZ40" s="62"/>
      <c r="BA40" s="62"/>
      <c r="BB40" s="62"/>
      <c r="BC40" s="62"/>
      <c r="BD40" s="62"/>
      <c r="BE40" s="62"/>
      <c r="BF40" s="62"/>
      <c r="BG40" s="62"/>
      <c r="BH40" s="62"/>
      <c r="BI40" s="62"/>
      <c r="BJ40" s="62"/>
      <c r="BK40" s="62"/>
      <c r="BL40" s="62"/>
      <c r="BM40" s="62"/>
      <c r="BN40" s="62"/>
      <c r="BO40" s="62"/>
      <c r="BP40" s="62"/>
      <c r="BQ40" s="62"/>
      <c r="BR40" s="62"/>
      <c r="BS40" s="62"/>
      <c r="BT40" s="62"/>
      <c r="BU40" s="62"/>
      <c r="BV40" s="62"/>
      <c r="BW40" s="62"/>
      <c r="BX40" s="62"/>
    </row>
    <row r="41" spans="1:76" s="71" customFormat="1" ht="47.25" x14ac:dyDescent="0.25">
      <c r="A41" s="67" t="s">
        <v>640</v>
      </c>
      <c r="B41" s="77" t="s">
        <v>580</v>
      </c>
      <c r="C41" s="77" t="s">
        <v>715</v>
      </c>
      <c r="D41" s="76" t="s">
        <v>716</v>
      </c>
      <c r="E41" s="76" t="s">
        <v>713</v>
      </c>
      <c r="F41" s="78">
        <v>693390</v>
      </c>
      <c r="G41" s="79">
        <v>430380</v>
      </c>
      <c r="H41" s="78">
        <f>56976.27+4485.51</f>
        <v>61461.78</v>
      </c>
      <c r="I41" s="78">
        <v>64163.110000000008</v>
      </c>
      <c r="J41" s="78">
        <v>62068.800000000003</v>
      </c>
      <c r="K41" s="78">
        <v>60076.09</v>
      </c>
      <c r="L41" s="78">
        <v>58106.55</v>
      </c>
      <c r="M41" s="78">
        <v>56087.909999999996</v>
      </c>
      <c r="N41" s="78">
        <v>54096.55</v>
      </c>
      <c r="O41" s="78">
        <v>102231.09999999999</v>
      </c>
      <c r="P41" s="79">
        <f t="shared" si="2"/>
        <v>518291.88999999996</v>
      </c>
      <c r="Q41" s="62"/>
      <c r="R41" s="62"/>
      <c r="S41" s="62"/>
      <c r="T41" s="62"/>
      <c r="U41" s="62"/>
      <c r="V41" s="62"/>
      <c r="W41" s="62"/>
      <c r="X41" s="62"/>
      <c r="Y41" s="62"/>
      <c r="Z41" s="62"/>
      <c r="AA41" s="62"/>
      <c r="AB41" s="62"/>
      <c r="AC41" s="62"/>
      <c r="AD41" s="62"/>
      <c r="AE41" s="62"/>
      <c r="AF41" s="62"/>
      <c r="AG41" s="62"/>
      <c r="AH41" s="62"/>
      <c r="AI41" s="62"/>
      <c r="AJ41" s="62"/>
      <c r="AK41" s="62"/>
      <c r="AL41" s="62"/>
      <c r="AM41" s="62"/>
      <c r="AN41" s="62"/>
      <c r="AO41" s="62"/>
      <c r="AP41" s="62"/>
      <c r="AQ41" s="62"/>
      <c r="AR41" s="62"/>
      <c r="AS41" s="62"/>
      <c r="AT41" s="62"/>
      <c r="AU41" s="62"/>
      <c r="AV41" s="62"/>
      <c r="AW41" s="62"/>
      <c r="AX41" s="62"/>
      <c r="AY41" s="62"/>
      <c r="AZ41" s="62"/>
      <c r="BA41" s="62"/>
      <c r="BB41" s="62"/>
      <c r="BC41" s="62"/>
      <c r="BD41" s="62"/>
      <c r="BE41" s="62"/>
      <c r="BF41" s="62"/>
      <c r="BG41" s="62"/>
      <c r="BH41" s="62"/>
      <c r="BI41" s="62"/>
      <c r="BJ41" s="62"/>
      <c r="BK41" s="62"/>
      <c r="BL41" s="62"/>
      <c r="BM41" s="62"/>
      <c r="BN41" s="62"/>
      <c r="BO41" s="62"/>
      <c r="BP41" s="62"/>
      <c r="BQ41" s="62"/>
      <c r="BR41" s="62"/>
      <c r="BS41" s="62"/>
      <c r="BT41" s="62"/>
      <c r="BU41" s="62"/>
      <c r="BV41" s="62"/>
      <c r="BW41" s="62"/>
      <c r="BX41" s="62"/>
    </row>
    <row r="42" spans="1:76" s="71" customFormat="1" ht="31.5" x14ac:dyDescent="0.25">
      <c r="A42" s="67" t="s">
        <v>641</v>
      </c>
      <c r="B42" s="77" t="s">
        <v>580</v>
      </c>
      <c r="C42" s="77" t="s">
        <v>725</v>
      </c>
      <c r="D42" s="76" t="s">
        <v>726</v>
      </c>
      <c r="E42" s="76" t="s">
        <v>727</v>
      </c>
      <c r="F42" s="78">
        <v>57880</v>
      </c>
      <c r="G42" s="79">
        <v>35352</v>
      </c>
      <c r="H42" s="78">
        <f>5032.58+302.74</f>
        <v>5335.32</v>
      </c>
      <c r="I42" s="78">
        <v>5207.84</v>
      </c>
      <c r="J42" s="78">
        <v>5033.68</v>
      </c>
      <c r="K42" s="78">
        <v>4872.0599999999995</v>
      </c>
      <c r="L42" s="78">
        <v>4712.34</v>
      </c>
      <c r="M42" s="78">
        <v>4548.63</v>
      </c>
      <c r="N42" s="78">
        <v>4387.1500000000005</v>
      </c>
      <c r="O42" s="78">
        <v>8299.8799999999992</v>
      </c>
      <c r="P42" s="79">
        <f t="shared" si="2"/>
        <v>42396.9</v>
      </c>
      <c r="Q42" s="62"/>
      <c r="R42" s="62"/>
      <c r="S42" s="62"/>
      <c r="T42" s="62"/>
      <c r="U42" s="62"/>
      <c r="V42" s="62"/>
      <c r="W42" s="62"/>
      <c r="X42" s="62"/>
      <c r="Y42" s="62"/>
      <c r="Z42" s="62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62"/>
      <c r="AL42" s="62"/>
      <c r="AM42" s="62"/>
      <c r="AN42" s="62"/>
      <c r="AO42" s="62"/>
      <c r="AP42" s="62"/>
      <c r="AQ42" s="62"/>
      <c r="AR42" s="62"/>
      <c r="AS42" s="62"/>
      <c r="AT42" s="62"/>
      <c r="AU42" s="62"/>
      <c r="AV42" s="62"/>
      <c r="AW42" s="62"/>
      <c r="AX42" s="62"/>
      <c r="AY42" s="62"/>
      <c r="AZ42" s="62"/>
      <c r="BA42" s="62"/>
      <c r="BB42" s="62"/>
      <c r="BC42" s="62"/>
      <c r="BD42" s="62"/>
      <c r="BE42" s="62"/>
      <c r="BF42" s="62"/>
      <c r="BG42" s="62"/>
      <c r="BH42" s="62"/>
      <c r="BI42" s="62"/>
      <c r="BJ42" s="62"/>
      <c r="BK42" s="62"/>
      <c r="BL42" s="62"/>
      <c r="BM42" s="62"/>
      <c r="BN42" s="62"/>
      <c r="BO42" s="62"/>
      <c r="BP42" s="62"/>
      <c r="BQ42" s="62"/>
      <c r="BR42" s="62"/>
      <c r="BS42" s="62"/>
      <c r="BT42" s="62"/>
      <c r="BU42" s="62"/>
      <c r="BV42" s="62"/>
      <c r="BW42" s="62"/>
      <c r="BX42" s="62"/>
    </row>
    <row r="43" spans="1:76" s="71" customFormat="1" ht="31.5" x14ac:dyDescent="0.25">
      <c r="A43" s="67" t="s">
        <v>642</v>
      </c>
      <c r="B43" s="77" t="s">
        <v>580</v>
      </c>
      <c r="C43" s="77" t="s">
        <v>732</v>
      </c>
      <c r="D43" s="76" t="s">
        <v>733</v>
      </c>
      <c r="E43" s="76" t="s">
        <v>734</v>
      </c>
      <c r="F43" s="78">
        <v>1107755</v>
      </c>
      <c r="G43" s="79">
        <v>770056</v>
      </c>
      <c r="H43" s="78">
        <f>70296.77+7027</f>
        <v>77323.77</v>
      </c>
      <c r="I43" s="78">
        <v>85206</v>
      </c>
      <c r="J43" s="78">
        <v>82779.59</v>
      </c>
      <c r="K43" s="78">
        <v>80489.31</v>
      </c>
      <c r="L43" s="78">
        <v>78257.049999999988</v>
      </c>
      <c r="M43" s="78">
        <v>75905.66</v>
      </c>
      <c r="N43" s="78">
        <v>73616.990000000005</v>
      </c>
      <c r="O43" s="78">
        <v>451397.74000000005</v>
      </c>
      <c r="P43" s="79">
        <f t="shared" si="2"/>
        <v>1004976.1100000001</v>
      </c>
      <c r="Q43" s="62"/>
      <c r="R43" s="62"/>
      <c r="S43" s="62"/>
      <c r="T43" s="62"/>
      <c r="U43" s="62"/>
      <c r="V43" s="62"/>
      <c r="W43" s="62"/>
      <c r="X43" s="62"/>
      <c r="Y43" s="62"/>
      <c r="Z43" s="62"/>
      <c r="AA43" s="62"/>
      <c r="AB43" s="62"/>
      <c r="AC43" s="62"/>
      <c r="AD43" s="62"/>
      <c r="AE43" s="62"/>
      <c r="AF43" s="62"/>
      <c r="AG43" s="62"/>
      <c r="AH43" s="62"/>
      <c r="AI43" s="62"/>
      <c r="AJ43" s="62"/>
      <c r="AK43" s="62"/>
      <c r="AL43" s="62"/>
      <c r="AM43" s="62"/>
      <c r="AN43" s="62"/>
      <c r="AO43" s="62"/>
      <c r="AP43" s="62"/>
      <c r="AQ43" s="62"/>
      <c r="AR43" s="62"/>
      <c r="AS43" s="62"/>
      <c r="AT43" s="62"/>
      <c r="AU43" s="62"/>
      <c r="AV43" s="62"/>
      <c r="AW43" s="62"/>
      <c r="AX43" s="62"/>
      <c r="AY43" s="62"/>
      <c r="AZ43" s="62"/>
      <c r="BA43" s="62"/>
      <c r="BB43" s="62"/>
      <c r="BC43" s="62"/>
      <c r="BD43" s="62"/>
      <c r="BE43" s="62"/>
      <c r="BF43" s="62"/>
      <c r="BG43" s="62"/>
      <c r="BH43" s="62"/>
      <c r="BI43" s="62"/>
      <c r="BJ43" s="62"/>
      <c r="BK43" s="62"/>
      <c r="BL43" s="62"/>
      <c r="BM43" s="62"/>
      <c r="BN43" s="62"/>
      <c r="BO43" s="62"/>
      <c r="BP43" s="62"/>
      <c r="BQ43" s="62"/>
      <c r="BR43" s="62"/>
      <c r="BS43" s="62"/>
      <c r="BT43" s="62"/>
      <c r="BU43" s="62"/>
      <c r="BV43" s="62"/>
      <c r="BW43" s="62"/>
      <c r="BX43" s="62"/>
    </row>
    <row r="44" spans="1:76" s="71" customFormat="1" ht="47.25" x14ac:dyDescent="0.25">
      <c r="A44" s="67" t="s">
        <v>645</v>
      </c>
      <c r="B44" s="77" t="s">
        <v>580</v>
      </c>
      <c r="C44" s="77" t="s">
        <v>993</v>
      </c>
      <c r="D44" s="76" t="s">
        <v>745</v>
      </c>
      <c r="E44" s="76" t="s">
        <v>888</v>
      </c>
      <c r="F44" s="78">
        <v>1744521</v>
      </c>
      <c r="G44" s="79">
        <v>1258389</v>
      </c>
      <c r="H44" s="78">
        <f>107932.6+13307.92</f>
        <v>121240.52</v>
      </c>
      <c r="I44" s="78">
        <v>137970.07</v>
      </c>
      <c r="J44" s="78">
        <v>134334.35</v>
      </c>
      <c r="K44" s="78">
        <v>130643.31</v>
      </c>
      <c r="L44" s="78">
        <v>127048.27</v>
      </c>
      <c r="M44" s="78">
        <v>123256.18</v>
      </c>
      <c r="N44" s="78">
        <v>119567.66</v>
      </c>
      <c r="O44" s="78">
        <v>756816.0900000002</v>
      </c>
      <c r="P44" s="79">
        <f t="shared" si="2"/>
        <v>1650876.4500000002</v>
      </c>
      <c r="Q44" s="62"/>
      <c r="R44" s="62"/>
      <c r="S44" s="62"/>
      <c r="T44" s="62"/>
      <c r="U44" s="62"/>
      <c r="V44" s="62"/>
      <c r="W44" s="62"/>
      <c r="X44" s="62"/>
      <c r="Y44" s="62"/>
      <c r="Z44" s="62"/>
      <c r="AA44" s="62"/>
      <c r="AB44" s="62"/>
      <c r="AC44" s="62"/>
      <c r="AD44" s="62"/>
      <c r="AE44" s="62"/>
      <c r="AF44" s="62"/>
      <c r="AG44" s="62"/>
      <c r="AH44" s="62"/>
      <c r="AI44" s="62"/>
      <c r="AJ44" s="62"/>
      <c r="AK44" s="62"/>
      <c r="AL44" s="62"/>
      <c r="AM44" s="62"/>
      <c r="AN44" s="62"/>
      <c r="AO44" s="62"/>
      <c r="AP44" s="62"/>
      <c r="AQ44" s="62"/>
      <c r="AR44" s="62"/>
      <c r="AS44" s="62"/>
      <c r="AT44" s="62"/>
      <c r="AU44" s="62"/>
      <c r="AV44" s="62"/>
      <c r="AW44" s="62"/>
      <c r="AX44" s="62"/>
      <c r="AY44" s="62"/>
      <c r="AZ44" s="62"/>
      <c r="BA44" s="62"/>
      <c r="BB44" s="62"/>
      <c r="BC44" s="62"/>
      <c r="BD44" s="62"/>
      <c r="BE44" s="62"/>
      <c r="BF44" s="62"/>
      <c r="BG44" s="62"/>
      <c r="BH44" s="62"/>
      <c r="BI44" s="62"/>
      <c r="BJ44" s="62"/>
      <c r="BK44" s="62"/>
      <c r="BL44" s="62"/>
      <c r="BM44" s="62"/>
      <c r="BN44" s="62"/>
      <c r="BO44" s="62"/>
      <c r="BP44" s="62"/>
      <c r="BQ44" s="62"/>
      <c r="BR44" s="62"/>
      <c r="BS44" s="62"/>
      <c r="BT44" s="62"/>
      <c r="BU44" s="62"/>
      <c r="BV44" s="62"/>
      <c r="BW44" s="62"/>
      <c r="BX44" s="62"/>
    </row>
    <row r="45" spans="1:76" s="71" customFormat="1" ht="47.25" x14ac:dyDescent="0.25">
      <c r="A45" s="67" t="s">
        <v>648</v>
      </c>
      <c r="B45" s="77" t="s">
        <v>580</v>
      </c>
      <c r="C45" s="77" t="s">
        <v>994</v>
      </c>
      <c r="D45" s="76" t="s">
        <v>745</v>
      </c>
      <c r="E45" s="76" t="s">
        <v>888</v>
      </c>
      <c r="F45" s="78">
        <v>632479</v>
      </c>
      <c r="G45" s="79">
        <v>234498</v>
      </c>
      <c r="H45" s="78">
        <f>24608.85+2844.94</f>
        <v>27453.789999999997</v>
      </c>
      <c r="I45" s="78">
        <v>26626.080000000002</v>
      </c>
      <c r="J45" s="78">
        <v>25850.989999999998</v>
      </c>
      <c r="K45" s="78">
        <v>25073.799999999996</v>
      </c>
      <c r="L45" s="78">
        <v>24316.81</v>
      </c>
      <c r="M45" s="78">
        <v>23518.31</v>
      </c>
      <c r="N45" s="78">
        <v>22741.670000000002</v>
      </c>
      <c r="O45" s="78">
        <v>141704.79000000004</v>
      </c>
      <c r="P45" s="79">
        <f t="shared" si="2"/>
        <v>317286.24</v>
      </c>
      <c r="Q45" s="62"/>
      <c r="R45" s="62"/>
      <c r="S45" s="62"/>
      <c r="T45" s="62"/>
      <c r="U45" s="62"/>
      <c r="V45" s="62"/>
      <c r="W45" s="62"/>
      <c r="X45" s="62"/>
      <c r="Y45" s="62"/>
      <c r="Z45" s="62"/>
      <c r="AA45" s="62"/>
      <c r="AB45" s="62"/>
      <c r="AC45" s="62"/>
      <c r="AD45" s="62"/>
      <c r="AE45" s="62"/>
      <c r="AF45" s="62"/>
      <c r="AG45" s="62"/>
      <c r="AH45" s="62"/>
      <c r="AI45" s="62"/>
      <c r="AJ45" s="62"/>
      <c r="AK45" s="62"/>
      <c r="AL45" s="62"/>
      <c r="AM45" s="62"/>
      <c r="AN45" s="62"/>
      <c r="AO45" s="62"/>
      <c r="AP45" s="62"/>
      <c r="AQ45" s="62"/>
      <c r="AR45" s="62"/>
      <c r="AS45" s="62"/>
      <c r="AT45" s="62"/>
      <c r="AU45" s="62"/>
      <c r="AV45" s="62"/>
      <c r="AW45" s="62"/>
      <c r="AX45" s="62"/>
      <c r="AY45" s="62"/>
      <c r="AZ45" s="62"/>
      <c r="BA45" s="62"/>
      <c r="BB45" s="62"/>
      <c r="BC45" s="62"/>
      <c r="BD45" s="62"/>
      <c r="BE45" s="62"/>
      <c r="BF45" s="62"/>
      <c r="BG45" s="62"/>
      <c r="BH45" s="62"/>
      <c r="BI45" s="62"/>
      <c r="BJ45" s="62"/>
      <c r="BK45" s="62"/>
      <c r="BL45" s="62"/>
      <c r="BM45" s="62"/>
      <c r="BN45" s="62"/>
      <c r="BO45" s="62"/>
      <c r="BP45" s="62"/>
      <c r="BQ45" s="62"/>
      <c r="BR45" s="62"/>
      <c r="BS45" s="62"/>
      <c r="BT45" s="62"/>
      <c r="BU45" s="62"/>
      <c r="BV45" s="62"/>
      <c r="BW45" s="62"/>
      <c r="BX45" s="62"/>
    </row>
    <row r="46" spans="1:76" s="71" customFormat="1" ht="31.5" x14ac:dyDescent="0.25">
      <c r="A46" s="67" t="s">
        <v>651</v>
      </c>
      <c r="B46" s="68" t="s">
        <v>580</v>
      </c>
      <c r="C46" s="68" t="s">
        <v>995</v>
      </c>
      <c r="D46" s="67" t="s">
        <v>606</v>
      </c>
      <c r="E46" s="67" t="s">
        <v>607</v>
      </c>
      <c r="F46" s="69">
        <v>221900</v>
      </c>
      <c r="G46" s="70">
        <v>65265</v>
      </c>
      <c r="H46" s="69">
        <f>53742.97+761.25</f>
        <v>54504.22</v>
      </c>
      <c r="I46" s="69">
        <v>13420.57</v>
      </c>
      <c r="J46" s="69">
        <v>0</v>
      </c>
      <c r="K46" s="69">
        <v>0</v>
      </c>
      <c r="L46" s="69">
        <v>0</v>
      </c>
      <c r="M46" s="69">
        <v>0</v>
      </c>
      <c r="N46" s="69">
        <v>0</v>
      </c>
      <c r="O46" s="69">
        <v>0</v>
      </c>
      <c r="P46" s="70">
        <f t="shared" si="2"/>
        <v>67924.790000000008</v>
      </c>
      <c r="Q46" s="62"/>
      <c r="R46" s="62"/>
      <c r="S46" s="62"/>
      <c r="T46" s="62"/>
      <c r="U46" s="62"/>
      <c r="V46" s="62"/>
      <c r="W46" s="62"/>
      <c r="X46" s="62"/>
      <c r="Y46" s="62"/>
      <c r="Z46" s="62"/>
      <c r="AA46" s="62"/>
      <c r="AB46" s="62"/>
      <c r="AC46" s="62"/>
      <c r="AD46" s="62"/>
      <c r="AE46" s="62"/>
      <c r="AF46" s="62"/>
      <c r="AG46" s="62"/>
      <c r="AH46" s="62"/>
      <c r="AI46" s="62"/>
      <c r="AJ46" s="62"/>
      <c r="AK46" s="62"/>
      <c r="AL46" s="62"/>
      <c r="AM46" s="62"/>
      <c r="AN46" s="62"/>
      <c r="AO46" s="62"/>
      <c r="AP46" s="62"/>
      <c r="AQ46" s="62"/>
      <c r="AR46" s="62"/>
      <c r="AS46" s="62"/>
      <c r="AT46" s="62"/>
      <c r="AU46" s="62"/>
      <c r="AV46" s="62"/>
      <c r="AW46" s="62"/>
      <c r="AX46" s="62"/>
      <c r="AY46" s="62"/>
      <c r="AZ46" s="62"/>
      <c r="BA46" s="62"/>
      <c r="BB46" s="62"/>
      <c r="BC46" s="62"/>
      <c r="BD46" s="62"/>
      <c r="BE46" s="62"/>
      <c r="BF46" s="62"/>
      <c r="BG46" s="62"/>
      <c r="BH46" s="62"/>
      <c r="BI46" s="62"/>
      <c r="BJ46" s="62"/>
      <c r="BK46" s="62"/>
      <c r="BL46" s="62"/>
      <c r="BM46" s="62"/>
      <c r="BN46" s="62"/>
      <c r="BO46" s="62"/>
      <c r="BP46" s="62"/>
      <c r="BQ46" s="62"/>
      <c r="BR46" s="62"/>
      <c r="BS46" s="62"/>
      <c r="BT46" s="62"/>
      <c r="BU46" s="62"/>
      <c r="BV46" s="62"/>
      <c r="BW46" s="62"/>
      <c r="BX46" s="62"/>
    </row>
    <row r="47" spans="1:76" s="71" customFormat="1" ht="47.25" x14ac:dyDescent="0.25">
      <c r="A47" s="67" t="s">
        <v>654</v>
      </c>
      <c r="B47" s="68" t="s">
        <v>580</v>
      </c>
      <c r="C47" s="68" t="s">
        <v>1059</v>
      </c>
      <c r="D47" s="67" t="s">
        <v>629</v>
      </c>
      <c r="E47" s="67" t="s">
        <v>630</v>
      </c>
      <c r="F47" s="69">
        <v>296240</v>
      </c>
      <c r="G47" s="70">
        <v>197374</v>
      </c>
      <c r="H47" s="69">
        <f>15806.9+2126.69</f>
        <v>17933.59</v>
      </c>
      <c r="I47" s="69">
        <v>21520.799999999999</v>
      </c>
      <c r="J47" s="69">
        <v>20959.759999999998</v>
      </c>
      <c r="K47" s="69">
        <v>20387.719999999998</v>
      </c>
      <c r="L47" s="69">
        <v>19830.97</v>
      </c>
      <c r="M47" s="69">
        <v>19242.879999999997</v>
      </c>
      <c r="N47" s="69">
        <v>18671.25</v>
      </c>
      <c r="O47" s="69">
        <v>121804.14000000001</v>
      </c>
      <c r="P47" s="70">
        <f t="shared" si="2"/>
        <v>260351.11000000002</v>
      </c>
      <c r="Q47" s="62"/>
      <c r="R47" s="62"/>
      <c r="S47" s="62"/>
      <c r="T47" s="62"/>
      <c r="U47" s="62"/>
      <c r="V47" s="62"/>
      <c r="W47" s="62"/>
      <c r="X47" s="62"/>
      <c r="Y47" s="62"/>
      <c r="Z47" s="62"/>
      <c r="AA47" s="62"/>
      <c r="AB47" s="62"/>
      <c r="AC47" s="62"/>
      <c r="AD47" s="62"/>
      <c r="AE47" s="62"/>
      <c r="AF47" s="62"/>
      <c r="AG47" s="62"/>
      <c r="AH47" s="62"/>
      <c r="AI47" s="62"/>
      <c r="AJ47" s="62"/>
      <c r="AK47" s="62"/>
      <c r="AL47" s="62"/>
      <c r="AM47" s="62"/>
      <c r="AN47" s="62"/>
      <c r="AO47" s="62"/>
      <c r="AP47" s="62"/>
      <c r="AQ47" s="62"/>
      <c r="AR47" s="62"/>
      <c r="AS47" s="62"/>
      <c r="AT47" s="62"/>
      <c r="AU47" s="62"/>
      <c r="AV47" s="62"/>
      <c r="AW47" s="62"/>
      <c r="AX47" s="62"/>
      <c r="AY47" s="62"/>
      <c r="AZ47" s="62"/>
      <c r="BA47" s="62"/>
      <c r="BB47" s="62"/>
      <c r="BC47" s="62"/>
      <c r="BD47" s="62"/>
      <c r="BE47" s="62"/>
      <c r="BF47" s="62"/>
      <c r="BG47" s="62"/>
      <c r="BH47" s="62"/>
      <c r="BI47" s="62"/>
      <c r="BJ47" s="62"/>
      <c r="BK47" s="62"/>
      <c r="BL47" s="62"/>
      <c r="BM47" s="62"/>
      <c r="BN47" s="62"/>
      <c r="BO47" s="62"/>
      <c r="BP47" s="62"/>
      <c r="BQ47" s="62"/>
      <c r="BR47" s="62"/>
      <c r="BS47" s="62"/>
      <c r="BT47" s="62"/>
      <c r="BU47" s="62"/>
      <c r="BV47" s="62"/>
      <c r="BW47" s="62"/>
      <c r="BX47" s="62"/>
    </row>
    <row r="48" spans="1:76" s="71" customFormat="1" ht="63" x14ac:dyDescent="0.25">
      <c r="A48" s="67" t="s">
        <v>655</v>
      </c>
      <c r="B48" s="68" t="s">
        <v>580</v>
      </c>
      <c r="C48" s="68" t="s">
        <v>996</v>
      </c>
      <c r="D48" s="67" t="s">
        <v>687</v>
      </c>
      <c r="E48" s="67" t="s">
        <v>688</v>
      </c>
      <c r="F48" s="69">
        <v>203206</v>
      </c>
      <c r="G48" s="70">
        <v>104367</v>
      </c>
      <c r="H48" s="69">
        <f>25184.41+1217.21</f>
        <v>26401.62</v>
      </c>
      <c r="I48" s="69">
        <v>25219.07</v>
      </c>
      <c r="J48" s="69">
        <v>24317.609999999997</v>
      </c>
      <c r="K48" s="69">
        <v>23413.63</v>
      </c>
      <c r="L48" s="69">
        <v>16978.310000000001</v>
      </c>
      <c r="M48" s="69">
        <v>0</v>
      </c>
      <c r="N48" s="69">
        <v>0</v>
      </c>
      <c r="O48" s="69">
        <v>0</v>
      </c>
      <c r="P48" s="70">
        <f t="shared" si="2"/>
        <v>116330.24000000001</v>
      </c>
      <c r="Q48" s="62"/>
      <c r="R48" s="62"/>
      <c r="S48" s="62"/>
      <c r="T48" s="62"/>
      <c r="U48" s="62"/>
      <c r="V48" s="62"/>
      <c r="W48" s="62"/>
      <c r="X48" s="62"/>
      <c r="Y48" s="62"/>
      <c r="Z48" s="62"/>
      <c r="AA48" s="62"/>
      <c r="AB48" s="62"/>
      <c r="AC48" s="62"/>
      <c r="AD48" s="62"/>
      <c r="AE48" s="62"/>
      <c r="AF48" s="62"/>
      <c r="AG48" s="62"/>
      <c r="AH48" s="62"/>
      <c r="AI48" s="62"/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62"/>
      <c r="BN48" s="62"/>
      <c r="BO48" s="62"/>
      <c r="BP48" s="62"/>
      <c r="BQ48" s="62"/>
      <c r="BR48" s="62"/>
      <c r="BS48" s="62"/>
      <c r="BT48" s="62"/>
      <c r="BU48" s="62"/>
      <c r="BV48" s="62"/>
      <c r="BW48" s="62"/>
      <c r="BX48" s="62"/>
    </row>
    <row r="49" spans="1:76" s="71" customFormat="1" ht="31.5" x14ac:dyDescent="0.25">
      <c r="A49" s="67" t="s">
        <v>656</v>
      </c>
      <c r="B49" s="68" t="s">
        <v>580</v>
      </c>
      <c r="C49" s="68" t="s">
        <v>997</v>
      </c>
      <c r="D49" s="67" t="s">
        <v>589</v>
      </c>
      <c r="E49" s="67" t="s">
        <v>884</v>
      </c>
      <c r="F49" s="69">
        <v>75000</v>
      </c>
      <c r="G49" s="70">
        <v>35700</v>
      </c>
      <c r="H49" s="69">
        <f>3248.33+403.25</f>
        <v>3651.58</v>
      </c>
      <c r="I49" s="69">
        <v>3467.9900000000002</v>
      </c>
      <c r="J49" s="69">
        <v>3381.83</v>
      </c>
      <c r="K49" s="69">
        <v>3295.43</v>
      </c>
      <c r="L49" s="69">
        <v>3211.96</v>
      </c>
      <c r="M49" s="69">
        <v>3122.5</v>
      </c>
      <c r="N49" s="69">
        <v>3036.1699999999996</v>
      </c>
      <c r="O49" s="69">
        <v>25622.619999999995</v>
      </c>
      <c r="P49" s="70">
        <f t="shared" si="2"/>
        <v>48790.079999999994</v>
      </c>
      <c r="Q49" s="62"/>
      <c r="R49" s="62"/>
      <c r="S49" s="62"/>
      <c r="T49" s="62"/>
      <c r="U49" s="62"/>
      <c r="V49" s="62"/>
      <c r="W49" s="62"/>
      <c r="X49" s="62"/>
      <c r="Y49" s="62"/>
      <c r="Z49" s="62"/>
      <c r="AA49" s="62"/>
      <c r="AB49" s="62"/>
      <c r="AC49" s="62"/>
      <c r="AD49" s="62"/>
      <c r="AE49" s="62"/>
      <c r="AF49" s="62"/>
      <c r="AG49" s="62"/>
      <c r="AH49" s="62"/>
      <c r="AI49" s="62"/>
      <c r="AJ49" s="62"/>
      <c r="AK49" s="62"/>
      <c r="AL49" s="62"/>
      <c r="AM49" s="62"/>
      <c r="AN49" s="62"/>
      <c r="AO49" s="62"/>
      <c r="AP49" s="62"/>
      <c r="AQ49" s="62"/>
      <c r="AR49" s="62"/>
      <c r="AS49" s="62"/>
      <c r="AT49" s="62"/>
      <c r="AU49" s="62"/>
      <c r="AV49" s="62"/>
      <c r="AW49" s="62"/>
      <c r="AX49" s="62"/>
      <c r="AY49" s="62"/>
      <c r="AZ49" s="62"/>
      <c r="BA49" s="62"/>
      <c r="BB49" s="62"/>
      <c r="BC49" s="62"/>
      <c r="BD49" s="62"/>
      <c r="BE49" s="62"/>
      <c r="BF49" s="62"/>
      <c r="BG49" s="62"/>
      <c r="BH49" s="62"/>
      <c r="BI49" s="62"/>
      <c r="BJ49" s="62"/>
      <c r="BK49" s="62"/>
      <c r="BL49" s="62"/>
      <c r="BM49" s="62"/>
      <c r="BN49" s="62"/>
      <c r="BO49" s="62"/>
      <c r="BP49" s="62"/>
      <c r="BQ49" s="62"/>
      <c r="BR49" s="62"/>
      <c r="BS49" s="62"/>
      <c r="BT49" s="62"/>
      <c r="BU49" s="62"/>
      <c r="BV49" s="62"/>
      <c r="BW49" s="62"/>
      <c r="BX49" s="62"/>
    </row>
    <row r="50" spans="1:76" s="71" customFormat="1" ht="31.5" x14ac:dyDescent="0.25">
      <c r="A50" s="67" t="s">
        <v>659</v>
      </c>
      <c r="B50" s="68" t="s">
        <v>580</v>
      </c>
      <c r="C50" s="68" t="s">
        <v>998</v>
      </c>
      <c r="D50" s="67" t="s">
        <v>589</v>
      </c>
      <c r="E50" s="67" t="s">
        <v>884</v>
      </c>
      <c r="F50" s="69">
        <v>65000</v>
      </c>
      <c r="G50" s="70">
        <v>39848</v>
      </c>
      <c r="H50" s="69">
        <f>3634.2+454.83</f>
        <v>4089.0299999999997</v>
      </c>
      <c r="I50" s="69">
        <v>3870.92</v>
      </c>
      <c r="J50" s="69">
        <v>3774.74</v>
      </c>
      <c r="K50" s="69">
        <v>3678.33</v>
      </c>
      <c r="L50" s="69">
        <v>3585.1099999999997</v>
      </c>
      <c r="M50" s="69">
        <v>3485.31</v>
      </c>
      <c r="N50" s="69">
        <v>3388.94</v>
      </c>
      <c r="O50" s="69">
        <v>28599.709999999995</v>
      </c>
      <c r="P50" s="70">
        <f t="shared" si="2"/>
        <v>54472.09</v>
      </c>
      <c r="Q50" s="62"/>
      <c r="R50" s="62"/>
      <c r="S50" s="62"/>
      <c r="T50" s="62"/>
      <c r="U50" s="62"/>
      <c r="V50" s="62"/>
      <c r="W50" s="62"/>
      <c r="X50" s="62"/>
      <c r="Y50" s="62"/>
      <c r="Z50" s="62"/>
      <c r="AA50" s="62"/>
      <c r="AB50" s="62"/>
      <c r="AC50" s="62"/>
      <c r="AD50" s="62"/>
      <c r="AE50" s="62"/>
      <c r="AF50" s="62"/>
      <c r="AG50" s="62"/>
      <c r="AH50" s="62"/>
      <c r="AI50" s="62"/>
      <c r="AJ50" s="62"/>
      <c r="AK50" s="62"/>
      <c r="AL50" s="62"/>
      <c r="AM50" s="62"/>
      <c r="AN50" s="62"/>
      <c r="AO50" s="62"/>
      <c r="AP50" s="62"/>
      <c r="AQ50" s="62"/>
      <c r="AR50" s="62"/>
      <c r="AS50" s="62"/>
      <c r="AT50" s="62"/>
      <c r="AU50" s="62"/>
      <c r="AV50" s="62"/>
      <c r="AW50" s="62"/>
      <c r="AX50" s="62"/>
      <c r="AY50" s="62"/>
      <c r="AZ50" s="62"/>
      <c r="BA50" s="62"/>
      <c r="BB50" s="62"/>
      <c r="BC50" s="62"/>
      <c r="BD50" s="62"/>
      <c r="BE50" s="62"/>
      <c r="BF50" s="62"/>
      <c r="BG50" s="62"/>
      <c r="BH50" s="62"/>
      <c r="BI50" s="62"/>
      <c r="BJ50" s="62"/>
      <c r="BK50" s="62"/>
      <c r="BL50" s="62"/>
      <c r="BM50" s="62"/>
      <c r="BN50" s="62"/>
      <c r="BO50" s="62"/>
      <c r="BP50" s="62"/>
      <c r="BQ50" s="62"/>
      <c r="BR50" s="62"/>
      <c r="BS50" s="62"/>
      <c r="BT50" s="62"/>
      <c r="BU50" s="62"/>
      <c r="BV50" s="62"/>
      <c r="BW50" s="62"/>
      <c r="BX50" s="62"/>
    </row>
    <row r="51" spans="1:76" s="71" customFormat="1" ht="78.75" x14ac:dyDescent="0.25">
      <c r="A51" s="67" t="s">
        <v>660</v>
      </c>
      <c r="B51" s="68" t="s">
        <v>580</v>
      </c>
      <c r="C51" s="68" t="s">
        <v>1053</v>
      </c>
      <c r="D51" s="67" t="s">
        <v>692</v>
      </c>
      <c r="E51" s="67" t="s">
        <v>688</v>
      </c>
      <c r="F51" s="69">
        <v>280300</v>
      </c>
      <c r="G51" s="70">
        <v>143944</v>
      </c>
      <c r="H51" s="69">
        <f>34734.6+1678.81</f>
        <v>36413.409999999996</v>
      </c>
      <c r="I51" s="69">
        <v>34782.39</v>
      </c>
      <c r="J51" s="69">
        <v>33539.07</v>
      </c>
      <c r="K51" s="69">
        <v>32292.31</v>
      </c>
      <c r="L51" s="69">
        <v>23416.67</v>
      </c>
      <c r="M51" s="69">
        <v>0</v>
      </c>
      <c r="N51" s="69">
        <v>0</v>
      </c>
      <c r="O51" s="69">
        <v>0</v>
      </c>
      <c r="P51" s="70">
        <f t="shared" si="2"/>
        <v>160443.84999999998</v>
      </c>
      <c r="Q51" s="62"/>
      <c r="R51" s="62"/>
      <c r="S51" s="62"/>
      <c r="T51" s="62"/>
      <c r="U51" s="62"/>
      <c r="V51" s="62"/>
      <c r="W51" s="62"/>
      <c r="X51" s="62"/>
      <c r="Y51" s="62"/>
      <c r="Z51" s="62"/>
      <c r="AA51" s="62"/>
      <c r="AB51" s="62"/>
      <c r="AC51" s="62"/>
      <c r="AD51" s="62"/>
      <c r="AE51" s="62"/>
      <c r="AF51" s="62"/>
      <c r="AG51" s="62"/>
      <c r="AH51" s="62"/>
      <c r="AI51" s="62"/>
      <c r="AJ51" s="62"/>
      <c r="AK51" s="62"/>
      <c r="AL51" s="62"/>
      <c r="AM51" s="62"/>
      <c r="AN51" s="62"/>
      <c r="AO51" s="62"/>
      <c r="AP51" s="62"/>
      <c r="AQ51" s="62"/>
      <c r="AR51" s="62"/>
      <c r="AS51" s="62"/>
      <c r="AT51" s="62"/>
      <c r="AU51" s="62"/>
      <c r="AV51" s="62"/>
      <c r="AW51" s="62"/>
      <c r="AX51" s="62"/>
      <c r="AY51" s="62"/>
      <c r="AZ51" s="62"/>
      <c r="BA51" s="62"/>
      <c r="BB51" s="62"/>
      <c r="BC51" s="62"/>
      <c r="BD51" s="62"/>
      <c r="BE51" s="62"/>
      <c r="BF51" s="62"/>
      <c r="BG51" s="62"/>
      <c r="BH51" s="62"/>
      <c r="BI51" s="62"/>
      <c r="BJ51" s="62"/>
      <c r="BK51" s="62"/>
      <c r="BL51" s="62"/>
      <c r="BM51" s="62"/>
      <c r="BN51" s="62"/>
      <c r="BO51" s="62"/>
      <c r="BP51" s="62"/>
      <c r="BQ51" s="62"/>
      <c r="BR51" s="62"/>
      <c r="BS51" s="62"/>
      <c r="BT51" s="62"/>
      <c r="BU51" s="62"/>
      <c r="BV51" s="62"/>
      <c r="BW51" s="62"/>
      <c r="BX51" s="62"/>
    </row>
    <row r="52" spans="1:76" s="71" customFormat="1" ht="31.5" x14ac:dyDescent="0.25">
      <c r="A52" s="67" t="s">
        <v>661</v>
      </c>
      <c r="B52" s="77" t="s">
        <v>580</v>
      </c>
      <c r="C52" s="77" t="s">
        <v>999</v>
      </c>
      <c r="D52" s="76" t="s">
        <v>748</v>
      </c>
      <c r="E52" s="76" t="s">
        <v>749</v>
      </c>
      <c r="F52" s="78">
        <v>5861100</v>
      </c>
      <c r="G52" s="79">
        <v>2808563</v>
      </c>
      <c r="H52" s="78">
        <f>632589.66+32119.89</f>
        <v>664709.55000000005</v>
      </c>
      <c r="I52" s="78">
        <v>693521.13</v>
      </c>
      <c r="J52" s="78">
        <v>588971.04999999993</v>
      </c>
      <c r="K52" s="78">
        <v>428861.56000000006</v>
      </c>
      <c r="L52" s="78">
        <v>310909.53000000003</v>
      </c>
      <c r="M52" s="78">
        <v>170545.21</v>
      </c>
      <c r="N52" s="78">
        <v>141245.28</v>
      </c>
      <c r="O52" s="78">
        <v>197336.84999999995</v>
      </c>
      <c r="P52" s="79">
        <f t="shared" si="2"/>
        <v>3196100.16</v>
      </c>
      <c r="Q52" s="62"/>
      <c r="R52" s="62"/>
      <c r="S52" s="62"/>
      <c r="T52" s="62"/>
      <c r="U52" s="62"/>
      <c r="V52" s="62"/>
      <c r="W52" s="62"/>
      <c r="X52" s="62"/>
      <c r="Y52" s="62"/>
      <c r="Z52" s="62"/>
      <c r="AA52" s="62"/>
      <c r="AB52" s="62"/>
      <c r="AC52" s="62"/>
      <c r="AD52" s="62"/>
      <c r="AE52" s="62"/>
      <c r="AF52" s="62"/>
      <c r="AG52" s="62"/>
      <c r="AH52" s="62"/>
      <c r="AI52" s="62"/>
      <c r="AJ52" s="62"/>
      <c r="AK52" s="62"/>
      <c r="AL52" s="62"/>
      <c r="AM52" s="62"/>
      <c r="AN52" s="62"/>
      <c r="AO52" s="62"/>
      <c r="AP52" s="62"/>
      <c r="AQ52" s="62"/>
      <c r="AR52" s="62"/>
      <c r="AS52" s="62"/>
      <c r="AT52" s="62"/>
      <c r="AU52" s="62"/>
      <c r="AV52" s="62"/>
      <c r="AW52" s="62"/>
      <c r="AX52" s="62"/>
      <c r="AY52" s="62"/>
      <c r="AZ52" s="62"/>
      <c r="BA52" s="62"/>
      <c r="BB52" s="62"/>
      <c r="BC52" s="62"/>
      <c r="BD52" s="62"/>
      <c r="BE52" s="62"/>
      <c r="BF52" s="62"/>
      <c r="BG52" s="62"/>
      <c r="BH52" s="62"/>
      <c r="BI52" s="62"/>
      <c r="BJ52" s="62"/>
      <c r="BK52" s="62"/>
      <c r="BL52" s="62"/>
      <c r="BM52" s="62"/>
      <c r="BN52" s="62"/>
      <c r="BO52" s="62"/>
      <c r="BP52" s="62"/>
      <c r="BQ52" s="62"/>
      <c r="BR52" s="62"/>
      <c r="BS52" s="62"/>
      <c r="BT52" s="62"/>
      <c r="BU52" s="62"/>
      <c r="BV52" s="62"/>
      <c r="BW52" s="62"/>
      <c r="BX52" s="62"/>
    </row>
    <row r="53" spans="1:76" s="71" customFormat="1" ht="31.5" x14ac:dyDescent="0.25">
      <c r="A53" s="67" t="s">
        <v>664</v>
      </c>
      <c r="B53" s="68" t="s">
        <v>580</v>
      </c>
      <c r="C53" s="68" t="s">
        <v>1000</v>
      </c>
      <c r="D53" s="67" t="s">
        <v>702</v>
      </c>
      <c r="E53" s="67" t="s">
        <v>703</v>
      </c>
      <c r="F53" s="69">
        <v>404819</v>
      </c>
      <c r="G53" s="70">
        <v>207898</v>
      </c>
      <c r="H53" s="69">
        <f>46197.51+2427.46</f>
        <v>48624.97</v>
      </c>
      <c r="I53" s="69">
        <v>51468.58</v>
      </c>
      <c r="J53" s="69">
        <v>49639.960000000006</v>
      </c>
      <c r="K53" s="69">
        <v>47794.69</v>
      </c>
      <c r="L53" s="69">
        <v>34695.15</v>
      </c>
      <c r="M53" s="69">
        <v>0</v>
      </c>
      <c r="N53" s="69">
        <v>0</v>
      </c>
      <c r="O53" s="69">
        <v>0</v>
      </c>
      <c r="P53" s="70">
        <f t="shared" si="2"/>
        <v>232223.35</v>
      </c>
      <c r="Q53" s="62"/>
      <c r="R53" s="62"/>
      <c r="S53" s="62"/>
      <c r="T53" s="62"/>
      <c r="U53" s="62"/>
      <c r="V53" s="62"/>
      <c r="W53" s="62"/>
      <c r="X53" s="62"/>
      <c r="Y53" s="62"/>
      <c r="Z53" s="62"/>
      <c r="AA53" s="62"/>
      <c r="AB53" s="62"/>
      <c r="AC53" s="62"/>
      <c r="AD53" s="62"/>
      <c r="AE53" s="62"/>
      <c r="AF53" s="62"/>
      <c r="AG53" s="62"/>
      <c r="AH53" s="62"/>
      <c r="AI53" s="62"/>
      <c r="AJ53" s="62"/>
      <c r="AK53" s="62"/>
      <c r="AL53" s="62"/>
      <c r="AM53" s="62"/>
      <c r="AN53" s="62"/>
      <c r="AO53" s="62"/>
      <c r="AP53" s="62"/>
      <c r="AQ53" s="62"/>
      <c r="AR53" s="62"/>
      <c r="AS53" s="62"/>
      <c r="AT53" s="62"/>
      <c r="AU53" s="62"/>
      <c r="AV53" s="62"/>
      <c r="AW53" s="62"/>
      <c r="AX53" s="62"/>
      <c r="AY53" s="62"/>
      <c r="AZ53" s="62"/>
      <c r="BA53" s="62"/>
      <c r="BB53" s="62"/>
      <c r="BC53" s="62"/>
      <c r="BD53" s="62"/>
      <c r="BE53" s="62"/>
      <c r="BF53" s="62"/>
      <c r="BG53" s="62"/>
      <c r="BH53" s="62"/>
      <c r="BI53" s="62"/>
      <c r="BJ53" s="62"/>
      <c r="BK53" s="62"/>
      <c r="BL53" s="62"/>
      <c r="BM53" s="62"/>
      <c r="BN53" s="62"/>
      <c r="BO53" s="62"/>
      <c r="BP53" s="62"/>
      <c r="BQ53" s="62"/>
      <c r="BR53" s="62"/>
      <c r="BS53" s="62"/>
      <c r="BT53" s="62"/>
      <c r="BU53" s="62"/>
      <c r="BV53" s="62"/>
      <c r="BW53" s="62"/>
      <c r="BX53" s="62"/>
    </row>
    <row r="54" spans="1:76" s="71" customFormat="1" ht="31.5" x14ac:dyDescent="0.25">
      <c r="A54" s="67" t="s">
        <v>665</v>
      </c>
      <c r="B54" s="68" t="s">
        <v>580</v>
      </c>
      <c r="C54" s="68" t="s">
        <v>1001</v>
      </c>
      <c r="D54" s="67" t="s">
        <v>586</v>
      </c>
      <c r="E54" s="67" t="s">
        <v>587</v>
      </c>
      <c r="F54" s="69">
        <v>56260</v>
      </c>
      <c r="G54" s="70">
        <v>48906</v>
      </c>
      <c r="H54" s="69">
        <f>3558.61+545.29</f>
        <v>4103.8999999999996</v>
      </c>
      <c r="I54" s="69">
        <v>3892.81</v>
      </c>
      <c r="J54" s="69">
        <v>3811.75</v>
      </c>
      <c r="K54" s="69">
        <v>3730.44</v>
      </c>
      <c r="L54" s="69">
        <v>3653.6000000000004</v>
      </c>
      <c r="M54" s="69">
        <v>3567.75</v>
      </c>
      <c r="N54" s="69">
        <v>3486.52</v>
      </c>
      <c r="O54" s="69">
        <v>48380.749999999985</v>
      </c>
      <c r="P54" s="70">
        <f t="shared" si="2"/>
        <v>74627.51999999999</v>
      </c>
      <c r="Q54" s="62"/>
      <c r="R54" s="62"/>
      <c r="S54" s="62"/>
      <c r="T54" s="62"/>
      <c r="U54" s="62"/>
      <c r="V54" s="62"/>
      <c r="W54" s="62"/>
      <c r="X54" s="62"/>
      <c r="Y54" s="62"/>
      <c r="Z54" s="62"/>
      <c r="AA54" s="62"/>
      <c r="AB54" s="62"/>
      <c r="AC54" s="62"/>
      <c r="AD54" s="62"/>
      <c r="AE54" s="62"/>
      <c r="AF54" s="62"/>
      <c r="AG54" s="62"/>
      <c r="AH54" s="62"/>
      <c r="AI54" s="62"/>
      <c r="AJ54" s="62"/>
      <c r="AK54" s="62"/>
      <c r="AL54" s="62"/>
      <c r="AM54" s="62"/>
      <c r="AN54" s="62"/>
      <c r="AO54" s="62"/>
      <c r="AP54" s="62"/>
      <c r="AQ54" s="62"/>
      <c r="AR54" s="62"/>
      <c r="AS54" s="62"/>
      <c r="AT54" s="62"/>
      <c r="AU54" s="62"/>
      <c r="AV54" s="62"/>
      <c r="AW54" s="62"/>
      <c r="AX54" s="62"/>
      <c r="AY54" s="62"/>
      <c r="AZ54" s="62"/>
      <c r="BA54" s="62"/>
      <c r="BB54" s="62"/>
      <c r="BC54" s="62"/>
      <c r="BD54" s="62"/>
      <c r="BE54" s="62"/>
      <c r="BF54" s="62"/>
      <c r="BG54" s="62"/>
      <c r="BH54" s="62"/>
      <c r="BI54" s="62"/>
      <c r="BJ54" s="62"/>
      <c r="BK54" s="62"/>
      <c r="BL54" s="62"/>
      <c r="BM54" s="62"/>
      <c r="BN54" s="62"/>
      <c r="BO54" s="62"/>
      <c r="BP54" s="62"/>
      <c r="BQ54" s="62"/>
      <c r="BR54" s="62"/>
      <c r="BS54" s="62"/>
      <c r="BT54" s="62"/>
      <c r="BU54" s="62"/>
      <c r="BV54" s="62"/>
      <c r="BW54" s="62"/>
      <c r="BX54" s="62"/>
    </row>
    <row r="55" spans="1:76" s="71" customFormat="1" ht="63" x14ac:dyDescent="0.25">
      <c r="A55" s="67" t="s">
        <v>666</v>
      </c>
      <c r="B55" s="73" t="s">
        <v>580</v>
      </c>
      <c r="C55" s="73" t="s">
        <v>1002</v>
      </c>
      <c r="D55" s="72" t="s">
        <v>709</v>
      </c>
      <c r="E55" s="72" t="s">
        <v>710</v>
      </c>
      <c r="F55" s="74">
        <v>789200</v>
      </c>
      <c r="G55" s="75">
        <v>405270</v>
      </c>
      <c r="H55" s="74">
        <f>92326.1+4720.1</f>
        <v>97046.200000000012</v>
      </c>
      <c r="I55" s="74">
        <v>99642.950000000012</v>
      </c>
      <c r="J55" s="74">
        <v>96096.62</v>
      </c>
      <c r="K55" s="74">
        <v>92524.37000000001</v>
      </c>
      <c r="L55" s="74">
        <v>67231.009999999995</v>
      </c>
      <c r="M55" s="74">
        <v>0</v>
      </c>
      <c r="N55" s="74">
        <v>0</v>
      </c>
      <c r="O55" s="74">
        <v>0</v>
      </c>
      <c r="P55" s="75">
        <f t="shared" si="2"/>
        <v>452541.15</v>
      </c>
      <c r="Q55" s="62"/>
      <c r="R55" s="62"/>
      <c r="S55" s="62"/>
      <c r="T55" s="62"/>
      <c r="U55" s="62"/>
      <c r="V55" s="62"/>
      <c r="W55" s="62"/>
      <c r="X55" s="62"/>
      <c r="Y55" s="62"/>
      <c r="Z55" s="62"/>
      <c r="AA55" s="62"/>
      <c r="AB55" s="62"/>
      <c r="AC55" s="62"/>
      <c r="AD55" s="62"/>
      <c r="AE55" s="62"/>
      <c r="AF55" s="62"/>
      <c r="AG55" s="62"/>
      <c r="AH55" s="62"/>
      <c r="AI55" s="62"/>
      <c r="AJ55" s="62"/>
      <c r="AK55" s="62"/>
      <c r="AL55" s="62"/>
      <c r="AM55" s="62"/>
      <c r="AN55" s="62"/>
      <c r="AO55" s="62"/>
      <c r="AP55" s="62"/>
      <c r="AQ55" s="62"/>
      <c r="AR55" s="62"/>
      <c r="AS55" s="62"/>
      <c r="AT55" s="62"/>
      <c r="AU55" s="62"/>
      <c r="AV55" s="62"/>
      <c r="AW55" s="62"/>
      <c r="AX55" s="62"/>
      <c r="AY55" s="62"/>
      <c r="AZ55" s="62"/>
      <c r="BA55" s="62"/>
      <c r="BB55" s="62"/>
      <c r="BC55" s="62"/>
      <c r="BD55" s="62"/>
      <c r="BE55" s="62"/>
      <c r="BF55" s="62"/>
      <c r="BG55" s="62"/>
      <c r="BH55" s="62"/>
      <c r="BI55" s="62"/>
      <c r="BJ55" s="62"/>
      <c r="BK55" s="62"/>
      <c r="BL55" s="62"/>
      <c r="BM55" s="62"/>
      <c r="BN55" s="62"/>
      <c r="BO55" s="62"/>
      <c r="BP55" s="62"/>
      <c r="BQ55" s="62"/>
      <c r="BR55" s="62"/>
      <c r="BS55" s="62"/>
      <c r="BT55" s="62"/>
      <c r="BU55" s="62"/>
      <c r="BV55" s="62"/>
      <c r="BW55" s="62"/>
      <c r="BX55" s="62"/>
    </row>
    <row r="56" spans="1:76" s="71" customFormat="1" ht="31.5" x14ac:dyDescent="0.25">
      <c r="A56" s="67" t="s">
        <v>669</v>
      </c>
      <c r="B56" s="77" t="s">
        <v>580</v>
      </c>
      <c r="C56" s="77" t="s">
        <v>1003</v>
      </c>
      <c r="D56" s="76" t="s">
        <v>736</v>
      </c>
      <c r="E56" s="76" t="s">
        <v>737</v>
      </c>
      <c r="F56" s="78">
        <v>152450</v>
      </c>
      <c r="G56" s="79">
        <v>80240</v>
      </c>
      <c r="H56" s="78">
        <f>18596.31+780.36</f>
        <v>19376.670000000002</v>
      </c>
      <c r="I56" s="78">
        <v>18621.409999999996</v>
      </c>
      <c r="J56" s="78">
        <v>17926.129999999997</v>
      </c>
      <c r="K56" s="78">
        <v>17265.88</v>
      </c>
      <c r="L56" s="78">
        <v>16606.099999999999</v>
      </c>
      <c r="M56" s="78">
        <v>22.59</v>
      </c>
      <c r="N56" s="78">
        <v>0</v>
      </c>
      <c r="O56" s="78">
        <v>0</v>
      </c>
      <c r="P56" s="79">
        <f t="shared" si="2"/>
        <v>89818.78</v>
      </c>
      <c r="Q56" s="62"/>
      <c r="R56" s="62"/>
      <c r="S56" s="62"/>
      <c r="T56" s="62"/>
      <c r="U56" s="62"/>
      <c r="V56" s="62"/>
      <c r="W56" s="62"/>
      <c r="X56" s="62"/>
      <c r="Y56" s="62"/>
      <c r="Z56" s="62"/>
      <c r="AA56" s="62"/>
      <c r="AB56" s="62"/>
      <c r="AC56" s="62"/>
      <c r="AD56" s="62"/>
      <c r="AE56" s="62"/>
      <c r="AF56" s="62"/>
      <c r="AG56" s="62"/>
      <c r="AH56" s="62"/>
      <c r="AI56" s="62"/>
      <c r="AJ56" s="62"/>
      <c r="AK56" s="62"/>
      <c r="AL56" s="62"/>
      <c r="AM56" s="62"/>
      <c r="AN56" s="62"/>
      <c r="AO56" s="62"/>
      <c r="AP56" s="62"/>
      <c r="AQ56" s="62"/>
      <c r="AR56" s="62"/>
      <c r="AS56" s="62"/>
      <c r="AT56" s="62"/>
      <c r="AU56" s="62"/>
      <c r="AV56" s="62"/>
      <c r="AW56" s="62"/>
      <c r="AX56" s="62"/>
      <c r="AY56" s="62"/>
      <c r="AZ56" s="62"/>
      <c r="BA56" s="62"/>
      <c r="BB56" s="62"/>
      <c r="BC56" s="62"/>
      <c r="BD56" s="62"/>
      <c r="BE56" s="62"/>
      <c r="BF56" s="62"/>
      <c r="BG56" s="62"/>
      <c r="BH56" s="62"/>
      <c r="BI56" s="62"/>
      <c r="BJ56" s="62"/>
      <c r="BK56" s="62"/>
      <c r="BL56" s="62"/>
      <c r="BM56" s="62"/>
      <c r="BN56" s="62"/>
      <c r="BO56" s="62"/>
      <c r="BP56" s="62"/>
      <c r="BQ56" s="62"/>
      <c r="BR56" s="62"/>
      <c r="BS56" s="62"/>
      <c r="BT56" s="62"/>
      <c r="BU56" s="62"/>
      <c r="BV56" s="62"/>
      <c r="BW56" s="62"/>
      <c r="BX56" s="62"/>
    </row>
    <row r="57" spans="1:76" s="71" customFormat="1" ht="78.75" x14ac:dyDescent="0.25">
      <c r="A57" s="67" t="s">
        <v>671</v>
      </c>
      <c r="B57" s="77" t="s">
        <v>580</v>
      </c>
      <c r="C57" s="77" t="s">
        <v>1004</v>
      </c>
      <c r="D57" s="76" t="s">
        <v>739</v>
      </c>
      <c r="E57" s="76" t="s">
        <v>647</v>
      </c>
      <c r="F57" s="78">
        <v>1104130</v>
      </c>
      <c r="G57" s="79">
        <v>609444</v>
      </c>
      <c r="H57" s="78">
        <f>41654.27+5661.31</f>
        <v>47315.579999999994</v>
      </c>
      <c r="I57" s="78">
        <v>54833.05</v>
      </c>
      <c r="J57" s="78">
        <v>53273.26</v>
      </c>
      <c r="K57" s="78">
        <v>52016.46</v>
      </c>
      <c r="L57" s="78">
        <v>50813.01</v>
      </c>
      <c r="M57" s="78">
        <v>49501.18</v>
      </c>
      <c r="N57" s="78">
        <v>48245.240000000005</v>
      </c>
      <c r="O57" s="78">
        <v>520794.5</v>
      </c>
      <c r="P57" s="79">
        <f t="shared" si="2"/>
        <v>876792.28</v>
      </c>
      <c r="Q57" s="62"/>
      <c r="R57" s="62"/>
      <c r="S57" s="62"/>
      <c r="T57" s="62"/>
      <c r="U57" s="62"/>
      <c r="V57" s="62"/>
      <c r="W57" s="62"/>
      <c r="X57" s="62"/>
      <c r="Y57" s="62"/>
      <c r="Z57" s="62"/>
      <c r="AA57" s="62"/>
      <c r="AB57" s="62"/>
      <c r="AC57" s="62"/>
      <c r="AD57" s="62"/>
      <c r="AE57" s="62"/>
      <c r="AF57" s="62"/>
      <c r="AG57" s="62"/>
      <c r="AH57" s="62"/>
      <c r="AI57" s="62"/>
      <c r="AJ57" s="62"/>
      <c r="AK57" s="62"/>
      <c r="AL57" s="62"/>
      <c r="AM57" s="62"/>
      <c r="AN57" s="62"/>
      <c r="AO57" s="62"/>
      <c r="AP57" s="62"/>
      <c r="AQ57" s="62"/>
      <c r="AR57" s="62"/>
      <c r="AS57" s="62"/>
      <c r="AT57" s="62"/>
      <c r="AU57" s="62"/>
      <c r="AV57" s="62"/>
      <c r="AW57" s="62"/>
      <c r="AX57" s="62"/>
      <c r="AY57" s="62"/>
      <c r="AZ57" s="62"/>
      <c r="BA57" s="62"/>
      <c r="BB57" s="62"/>
      <c r="BC57" s="62"/>
      <c r="BD57" s="62"/>
      <c r="BE57" s="62"/>
      <c r="BF57" s="62"/>
      <c r="BG57" s="62"/>
      <c r="BH57" s="62"/>
      <c r="BI57" s="62"/>
      <c r="BJ57" s="62"/>
      <c r="BK57" s="62"/>
      <c r="BL57" s="62"/>
      <c r="BM57" s="62"/>
      <c r="BN57" s="62"/>
      <c r="BO57" s="62"/>
      <c r="BP57" s="62"/>
      <c r="BQ57" s="62"/>
      <c r="BR57" s="62"/>
      <c r="BS57" s="62"/>
      <c r="BT57" s="62"/>
      <c r="BU57" s="62"/>
      <c r="BV57" s="62"/>
      <c r="BW57" s="62"/>
      <c r="BX57" s="62"/>
    </row>
    <row r="58" spans="1:76" s="71" customFormat="1" ht="63" x14ac:dyDescent="0.25">
      <c r="A58" s="67" t="s">
        <v>674</v>
      </c>
      <c r="B58" s="68" t="s">
        <v>580</v>
      </c>
      <c r="C58" s="68" t="s">
        <v>1005</v>
      </c>
      <c r="D58" s="67" t="s">
        <v>636</v>
      </c>
      <c r="E58" s="67" t="s">
        <v>637</v>
      </c>
      <c r="F58" s="69">
        <v>13834742</v>
      </c>
      <c r="G58" s="70">
        <v>12364650</v>
      </c>
      <c r="H58" s="69">
        <f>801661.11+124376.6</f>
        <v>926037.71</v>
      </c>
      <c r="I58" s="69">
        <v>1106562.8600000001</v>
      </c>
      <c r="J58" s="69">
        <v>1081554.47</v>
      </c>
      <c r="K58" s="69">
        <v>1056040.3999999999</v>
      </c>
      <c r="L58" s="69">
        <v>1031609.0399999999</v>
      </c>
      <c r="M58" s="69">
        <v>1004977.3400000001</v>
      </c>
      <c r="N58" s="69">
        <v>979480.74</v>
      </c>
      <c r="O58" s="69">
        <v>10574164.189999998</v>
      </c>
      <c r="P58" s="70">
        <f t="shared" si="2"/>
        <v>17760426.749999996</v>
      </c>
      <c r="Q58" s="62"/>
      <c r="R58" s="62"/>
      <c r="S58" s="62"/>
      <c r="T58" s="62"/>
      <c r="U58" s="62"/>
      <c r="V58" s="62"/>
      <c r="W58" s="62"/>
      <c r="X58" s="62"/>
      <c r="Y58" s="62"/>
      <c r="Z58" s="62"/>
      <c r="AA58" s="62"/>
      <c r="AB58" s="62"/>
      <c r="AC58" s="62"/>
      <c r="AD58" s="62"/>
      <c r="AE58" s="62"/>
      <c r="AF58" s="62"/>
      <c r="AG58" s="62"/>
      <c r="AH58" s="62"/>
      <c r="AI58" s="62"/>
      <c r="AJ58" s="62"/>
      <c r="AK58" s="62"/>
      <c r="AL58" s="62"/>
      <c r="AM58" s="62"/>
      <c r="AN58" s="62"/>
      <c r="AO58" s="62"/>
      <c r="AP58" s="62"/>
      <c r="AQ58" s="62"/>
      <c r="AR58" s="62"/>
      <c r="AS58" s="62"/>
      <c r="AT58" s="62"/>
      <c r="AU58" s="62"/>
      <c r="AV58" s="62"/>
      <c r="AW58" s="62"/>
      <c r="AX58" s="62"/>
      <c r="AY58" s="62"/>
      <c r="AZ58" s="62"/>
      <c r="BA58" s="62"/>
      <c r="BB58" s="62"/>
      <c r="BC58" s="62"/>
      <c r="BD58" s="62"/>
      <c r="BE58" s="62"/>
      <c r="BF58" s="62"/>
      <c r="BG58" s="62"/>
      <c r="BH58" s="62"/>
      <c r="BI58" s="62"/>
      <c r="BJ58" s="62"/>
      <c r="BK58" s="62"/>
      <c r="BL58" s="62"/>
      <c r="BM58" s="62"/>
      <c r="BN58" s="62"/>
      <c r="BO58" s="62"/>
      <c r="BP58" s="62"/>
      <c r="BQ58" s="62"/>
      <c r="BR58" s="62"/>
      <c r="BS58" s="62"/>
      <c r="BT58" s="62"/>
      <c r="BU58" s="62"/>
      <c r="BV58" s="62"/>
      <c r="BW58" s="62"/>
      <c r="BX58" s="62"/>
    </row>
    <row r="59" spans="1:76" s="71" customFormat="1" ht="47.25" x14ac:dyDescent="0.25">
      <c r="A59" s="67" t="s">
        <v>675</v>
      </c>
      <c r="B59" s="77" t="s">
        <v>580</v>
      </c>
      <c r="C59" s="77" t="s">
        <v>1050</v>
      </c>
      <c r="D59" s="76" t="s">
        <v>718</v>
      </c>
      <c r="E59" s="76" t="s">
        <v>730</v>
      </c>
      <c r="F59" s="78">
        <v>753370</v>
      </c>
      <c r="G59" s="79">
        <v>371214</v>
      </c>
      <c r="H59" s="78">
        <f>22008.96+3938.41</f>
        <v>25947.37</v>
      </c>
      <c r="I59" s="78">
        <v>33186.99</v>
      </c>
      <c r="J59" s="78">
        <v>32446</v>
      </c>
      <c r="K59" s="78">
        <v>31685</v>
      </c>
      <c r="L59" s="78">
        <v>30956.87</v>
      </c>
      <c r="M59" s="78">
        <v>30162.080000000002</v>
      </c>
      <c r="N59" s="78">
        <v>29401.649999999998</v>
      </c>
      <c r="O59" s="78">
        <v>322541.86000000004</v>
      </c>
      <c r="P59" s="79">
        <f t="shared" si="2"/>
        <v>536327.82000000007</v>
      </c>
      <c r="Q59" s="62"/>
      <c r="R59" s="62"/>
      <c r="S59" s="62"/>
      <c r="T59" s="62"/>
      <c r="U59" s="62"/>
      <c r="V59" s="62"/>
      <c r="W59" s="62"/>
      <c r="X59" s="62"/>
      <c r="Y59" s="62"/>
      <c r="Z59" s="62"/>
      <c r="AA59" s="62"/>
      <c r="AB59" s="62"/>
      <c r="AC59" s="62"/>
      <c r="AD59" s="62"/>
      <c r="AE59" s="62"/>
      <c r="AF59" s="62"/>
      <c r="AG59" s="62"/>
      <c r="AH59" s="62"/>
      <c r="AI59" s="62"/>
      <c r="AJ59" s="62"/>
      <c r="AK59" s="62"/>
      <c r="AL59" s="62"/>
      <c r="AM59" s="62"/>
      <c r="AN59" s="62"/>
      <c r="AO59" s="62"/>
      <c r="AP59" s="62"/>
      <c r="AQ59" s="62"/>
      <c r="AR59" s="62"/>
      <c r="AS59" s="62"/>
      <c r="AT59" s="62"/>
      <c r="AU59" s="62"/>
      <c r="AV59" s="62"/>
      <c r="AW59" s="62"/>
      <c r="AX59" s="62"/>
      <c r="AY59" s="62"/>
      <c r="AZ59" s="62"/>
      <c r="BA59" s="62"/>
      <c r="BB59" s="62"/>
      <c r="BC59" s="62"/>
      <c r="BD59" s="62"/>
      <c r="BE59" s="62"/>
      <c r="BF59" s="62"/>
      <c r="BG59" s="62"/>
      <c r="BH59" s="62"/>
      <c r="BI59" s="62"/>
      <c r="BJ59" s="62"/>
      <c r="BK59" s="62"/>
      <c r="BL59" s="62"/>
      <c r="BM59" s="62"/>
      <c r="BN59" s="62"/>
      <c r="BO59" s="62"/>
      <c r="BP59" s="62"/>
      <c r="BQ59" s="62"/>
      <c r="BR59" s="62"/>
      <c r="BS59" s="62"/>
      <c r="BT59" s="62"/>
      <c r="BU59" s="62"/>
      <c r="BV59" s="62"/>
      <c r="BW59" s="62"/>
      <c r="BX59" s="62"/>
    </row>
    <row r="60" spans="1:76" s="71" customFormat="1" ht="63" x14ac:dyDescent="0.25">
      <c r="A60" s="67" t="s">
        <v>678</v>
      </c>
      <c r="B60" s="77" t="s">
        <v>580</v>
      </c>
      <c r="C60" s="77" t="s">
        <v>1006</v>
      </c>
      <c r="D60" s="76" t="s">
        <v>718</v>
      </c>
      <c r="E60" s="76" t="s">
        <v>719</v>
      </c>
      <c r="F60" s="78">
        <v>1159942</v>
      </c>
      <c r="G60" s="79">
        <v>854700</v>
      </c>
      <c r="H60" s="78">
        <f>90791.36+9158.61</f>
        <v>99949.97</v>
      </c>
      <c r="I60" s="78">
        <v>115049.87999999999</v>
      </c>
      <c r="J60" s="78">
        <v>111679.72000000002</v>
      </c>
      <c r="K60" s="78">
        <v>108258.90000000001</v>
      </c>
      <c r="L60" s="78">
        <v>104891.91</v>
      </c>
      <c r="M60" s="78">
        <v>101412.58</v>
      </c>
      <c r="N60" s="78">
        <v>97994.09</v>
      </c>
      <c r="O60" s="78">
        <v>316121.45</v>
      </c>
      <c r="P60" s="79">
        <f t="shared" si="2"/>
        <v>1055358.5</v>
      </c>
      <c r="Q60" s="62"/>
      <c r="R60" s="62"/>
      <c r="S60" s="62"/>
      <c r="T60" s="62"/>
      <c r="U60" s="62"/>
      <c r="V60" s="62"/>
      <c r="W60" s="62"/>
      <c r="X60" s="62"/>
      <c r="Y60" s="62"/>
      <c r="Z60" s="62"/>
      <c r="AA60" s="62"/>
      <c r="AB60" s="62"/>
      <c r="AC60" s="62"/>
      <c r="AD60" s="62"/>
      <c r="AE60" s="62"/>
      <c r="AF60" s="62"/>
      <c r="AG60" s="62"/>
      <c r="AH60" s="62"/>
      <c r="AI60" s="62"/>
      <c r="AJ60" s="62"/>
      <c r="AK60" s="62"/>
      <c r="AL60" s="62"/>
      <c r="AM60" s="62"/>
      <c r="AN60" s="62"/>
      <c r="AO60" s="62"/>
      <c r="AP60" s="62"/>
      <c r="AQ60" s="62"/>
      <c r="AR60" s="62"/>
      <c r="AS60" s="62"/>
      <c r="AT60" s="62"/>
      <c r="AU60" s="62"/>
      <c r="AV60" s="62"/>
      <c r="AW60" s="62"/>
      <c r="AX60" s="62"/>
      <c r="AY60" s="62"/>
      <c r="AZ60" s="62"/>
      <c r="BA60" s="62"/>
      <c r="BB60" s="62"/>
      <c r="BC60" s="62"/>
      <c r="BD60" s="62"/>
      <c r="BE60" s="62"/>
      <c r="BF60" s="62"/>
      <c r="BG60" s="62"/>
      <c r="BH60" s="62"/>
      <c r="BI60" s="62"/>
      <c r="BJ60" s="62"/>
      <c r="BK60" s="62"/>
      <c r="BL60" s="62"/>
      <c r="BM60" s="62"/>
      <c r="BN60" s="62"/>
      <c r="BO60" s="62"/>
      <c r="BP60" s="62"/>
      <c r="BQ60" s="62"/>
      <c r="BR60" s="62"/>
      <c r="BS60" s="62"/>
      <c r="BT60" s="62"/>
      <c r="BU60" s="62"/>
      <c r="BV60" s="62"/>
      <c r="BW60" s="62"/>
      <c r="BX60" s="62"/>
    </row>
    <row r="61" spans="1:76" s="71" customFormat="1" ht="31.5" x14ac:dyDescent="0.25">
      <c r="A61" s="67" t="s">
        <v>679</v>
      </c>
      <c r="B61" s="77" t="s">
        <v>580</v>
      </c>
      <c r="C61" s="77" t="s">
        <v>1007</v>
      </c>
      <c r="D61" s="76" t="s">
        <v>718</v>
      </c>
      <c r="E61" s="76" t="s">
        <v>719</v>
      </c>
      <c r="F61" s="78">
        <v>770720</v>
      </c>
      <c r="G61" s="79">
        <v>534072</v>
      </c>
      <c r="H61" s="78">
        <f>56732.38+5722.9</f>
        <v>62455.28</v>
      </c>
      <c r="I61" s="78">
        <v>71890.36</v>
      </c>
      <c r="J61" s="78">
        <v>69784.479999999996</v>
      </c>
      <c r="K61" s="78">
        <v>67646.950000000012</v>
      </c>
      <c r="L61" s="78">
        <v>65543.06</v>
      </c>
      <c r="M61" s="78">
        <v>63368.93</v>
      </c>
      <c r="N61" s="78">
        <v>61232.83</v>
      </c>
      <c r="O61" s="78">
        <v>197535.05000000002</v>
      </c>
      <c r="P61" s="79">
        <f t="shared" si="2"/>
        <v>659456.94000000006</v>
      </c>
      <c r="Q61" s="62"/>
      <c r="R61" s="62"/>
      <c r="S61" s="62"/>
      <c r="T61" s="62"/>
      <c r="U61" s="62"/>
      <c r="V61" s="62"/>
      <c r="W61" s="62"/>
      <c r="X61" s="62"/>
      <c r="Y61" s="62"/>
      <c r="Z61" s="62"/>
      <c r="AA61" s="62"/>
      <c r="AB61" s="62"/>
      <c r="AC61" s="62"/>
      <c r="AD61" s="62"/>
      <c r="AE61" s="62"/>
      <c r="AF61" s="62"/>
      <c r="AG61" s="62"/>
      <c r="AH61" s="62"/>
      <c r="AI61" s="62"/>
      <c r="AJ61" s="62"/>
      <c r="AK61" s="62"/>
      <c r="AL61" s="62"/>
      <c r="AM61" s="62"/>
      <c r="AN61" s="62"/>
      <c r="AO61" s="62"/>
      <c r="AP61" s="62"/>
      <c r="AQ61" s="62"/>
      <c r="AR61" s="62"/>
      <c r="AS61" s="62"/>
      <c r="AT61" s="62"/>
      <c r="AU61" s="62"/>
      <c r="AV61" s="62"/>
      <c r="AW61" s="62"/>
      <c r="AX61" s="62"/>
      <c r="AY61" s="62"/>
      <c r="AZ61" s="62"/>
      <c r="BA61" s="62"/>
      <c r="BB61" s="62"/>
      <c r="BC61" s="62"/>
      <c r="BD61" s="62"/>
      <c r="BE61" s="62"/>
      <c r="BF61" s="62"/>
      <c r="BG61" s="62"/>
      <c r="BH61" s="62"/>
      <c r="BI61" s="62"/>
      <c r="BJ61" s="62"/>
      <c r="BK61" s="62"/>
      <c r="BL61" s="62"/>
      <c r="BM61" s="62"/>
      <c r="BN61" s="62"/>
      <c r="BO61" s="62"/>
      <c r="BP61" s="62"/>
      <c r="BQ61" s="62"/>
      <c r="BR61" s="62"/>
      <c r="BS61" s="62"/>
      <c r="BT61" s="62"/>
      <c r="BU61" s="62"/>
      <c r="BV61" s="62"/>
      <c r="BW61" s="62"/>
      <c r="BX61" s="62"/>
    </row>
    <row r="62" spans="1:76" s="71" customFormat="1" x14ac:dyDescent="0.25">
      <c r="A62" s="67" t="s">
        <v>680</v>
      </c>
      <c r="B62" s="68" t="s">
        <v>580</v>
      </c>
      <c r="C62" s="68" t="s">
        <v>1008</v>
      </c>
      <c r="D62" s="67" t="s">
        <v>601</v>
      </c>
      <c r="E62" s="67" t="s">
        <v>602</v>
      </c>
      <c r="F62" s="69">
        <v>3783184</v>
      </c>
      <c r="G62" s="70">
        <v>2809860</v>
      </c>
      <c r="H62" s="69">
        <f>289476.3+29251.67</f>
        <v>318727.96999999997</v>
      </c>
      <c r="I62" s="69">
        <v>335256</v>
      </c>
      <c r="J62" s="69">
        <v>321841.14999999997</v>
      </c>
      <c r="K62" s="69">
        <v>304544.81</v>
      </c>
      <c r="L62" s="69">
        <v>280174.56000000006</v>
      </c>
      <c r="M62" s="69">
        <v>267711.45</v>
      </c>
      <c r="N62" s="69">
        <v>255771.58</v>
      </c>
      <c r="O62" s="69">
        <v>1564178.6800000006</v>
      </c>
      <c r="P62" s="70">
        <f t="shared" si="2"/>
        <v>3648206.2000000007</v>
      </c>
      <c r="Q62" s="62"/>
      <c r="R62" s="62"/>
      <c r="S62" s="62"/>
      <c r="T62" s="62"/>
      <c r="U62" s="62"/>
      <c r="V62" s="62"/>
      <c r="W62" s="62"/>
      <c r="X62" s="62"/>
      <c r="Y62" s="62"/>
      <c r="Z62" s="62"/>
      <c r="AA62" s="62"/>
      <c r="AB62" s="62"/>
      <c r="AC62" s="62"/>
      <c r="AD62" s="62"/>
      <c r="AE62" s="62"/>
      <c r="AF62" s="62"/>
      <c r="AG62" s="62"/>
      <c r="AH62" s="62"/>
      <c r="AI62" s="62"/>
      <c r="AJ62" s="62"/>
      <c r="AK62" s="62"/>
      <c r="AL62" s="62"/>
      <c r="AM62" s="62"/>
      <c r="AN62" s="62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  <c r="BB62" s="62"/>
      <c r="BC62" s="62"/>
      <c r="BD62" s="62"/>
      <c r="BE62" s="62"/>
      <c r="BF62" s="62"/>
      <c r="BG62" s="62"/>
      <c r="BH62" s="62"/>
      <c r="BI62" s="62"/>
      <c r="BJ62" s="62"/>
      <c r="BK62" s="62"/>
      <c r="BL62" s="62"/>
      <c r="BM62" s="62"/>
      <c r="BN62" s="62"/>
      <c r="BO62" s="62"/>
      <c r="BP62" s="62"/>
      <c r="BQ62" s="62"/>
      <c r="BR62" s="62"/>
      <c r="BS62" s="62"/>
      <c r="BT62" s="62"/>
      <c r="BU62" s="62"/>
      <c r="BV62" s="62"/>
      <c r="BW62" s="62"/>
      <c r="BX62" s="62"/>
    </row>
    <row r="63" spans="1:76" s="71" customFormat="1" ht="47.25" x14ac:dyDescent="0.25">
      <c r="A63" s="67" t="s">
        <v>682</v>
      </c>
      <c r="B63" s="68" t="s">
        <v>580</v>
      </c>
      <c r="C63" s="68" t="s">
        <v>1009</v>
      </c>
      <c r="D63" s="67" t="s">
        <v>643</v>
      </c>
      <c r="E63" s="67" t="s">
        <v>644</v>
      </c>
      <c r="F63" s="69">
        <v>406950</v>
      </c>
      <c r="G63" s="70">
        <v>321640</v>
      </c>
      <c r="H63" s="69">
        <f>54609.71+3273.23</f>
        <v>57882.94</v>
      </c>
      <c r="I63" s="69">
        <v>39130.800000000003</v>
      </c>
      <c r="J63" s="69">
        <v>37833.379999999997</v>
      </c>
      <c r="K63" s="69">
        <v>36691.949999999997</v>
      </c>
      <c r="L63" s="69">
        <v>35570.04</v>
      </c>
      <c r="M63" s="69">
        <v>34407.51</v>
      </c>
      <c r="N63" s="69">
        <v>33266.869999999995</v>
      </c>
      <c r="O63" s="69">
        <v>121656.71</v>
      </c>
      <c r="P63" s="70">
        <f t="shared" si="2"/>
        <v>396440.2</v>
      </c>
      <c r="Q63" s="62"/>
      <c r="R63" s="62"/>
      <c r="S63" s="62"/>
      <c r="T63" s="62"/>
      <c r="U63" s="62"/>
      <c r="V63" s="62"/>
      <c r="W63" s="62"/>
      <c r="X63" s="62"/>
      <c r="Y63" s="62"/>
      <c r="Z63" s="62"/>
      <c r="AA63" s="62"/>
      <c r="AB63" s="62"/>
      <c r="AC63" s="62"/>
      <c r="AD63" s="62"/>
      <c r="AE63" s="62"/>
      <c r="AF63" s="62"/>
      <c r="AG63" s="62"/>
      <c r="AH63" s="62"/>
      <c r="AI63" s="62"/>
      <c r="AJ63" s="62"/>
      <c r="AK63" s="62"/>
      <c r="AL63" s="62"/>
      <c r="AM63" s="62"/>
      <c r="AN63" s="62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  <c r="BB63" s="62"/>
      <c r="BC63" s="62"/>
      <c r="BD63" s="62"/>
      <c r="BE63" s="62"/>
      <c r="BF63" s="62"/>
      <c r="BG63" s="62"/>
      <c r="BH63" s="62"/>
      <c r="BI63" s="62"/>
      <c r="BJ63" s="62"/>
      <c r="BK63" s="62"/>
      <c r="BL63" s="62"/>
      <c r="BM63" s="62"/>
      <c r="BN63" s="62"/>
      <c r="BO63" s="62"/>
      <c r="BP63" s="62"/>
      <c r="BQ63" s="62"/>
      <c r="BR63" s="62"/>
      <c r="BS63" s="62"/>
      <c r="BT63" s="62"/>
      <c r="BU63" s="62"/>
      <c r="BV63" s="62"/>
      <c r="BW63" s="62"/>
      <c r="BX63" s="62"/>
    </row>
    <row r="64" spans="1:76" s="71" customFormat="1" ht="31.5" x14ac:dyDescent="0.25">
      <c r="A64" s="67" t="s">
        <v>686</v>
      </c>
      <c r="B64" s="68" t="s">
        <v>580</v>
      </c>
      <c r="C64" s="68" t="s">
        <v>1010</v>
      </c>
      <c r="D64" s="67" t="s">
        <v>646</v>
      </c>
      <c r="E64" s="67" t="s">
        <v>647</v>
      </c>
      <c r="F64" s="69">
        <v>2075170</v>
      </c>
      <c r="G64" s="70">
        <v>1772568</v>
      </c>
      <c r="H64" s="69">
        <f>117006+15913.96</f>
        <v>132919.96</v>
      </c>
      <c r="I64" s="69">
        <v>156402.52000000002</v>
      </c>
      <c r="J64" s="69">
        <v>152073.10999999999</v>
      </c>
      <c r="K64" s="69">
        <v>148547.96</v>
      </c>
      <c r="L64" s="69">
        <v>145179.62</v>
      </c>
      <c r="M64" s="69">
        <v>141492.83000000002</v>
      </c>
      <c r="N64" s="69">
        <v>137970.07</v>
      </c>
      <c r="O64" s="69">
        <v>1562094.24</v>
      </c>
      <c r="P64" s="70">
        <f t="shared" si="2"/>
        <v>2576680.31</v>
      </c>
      <c r="Q64" s="62"/>
      <c r="R64" s="62"/>
      <c r="S64" s="62"/>
      <c r="T64" s="62"/>
      <c r="U64" s="62"/>
      <c r="V64" s="62"/>
      <c r="W64" s="62"/>
      <c r="X64" s="62"/>
      <c r="Y64" s="62"/>
      <c r="Z64" s="62"/>
      <c r="AA64" s="62"/>
      <c r="AB64" s="62"/>
      <c r="AC64" s="62"/>
      <c r="AD64" s="62"/>
      <c r="AE64" s="62"/>
      <c r="AF64" s="62"/>
      <c r="AG64" s="62"/>
      <c r="AH64" s="62"/>
      <c r="AI64" s="62"/>
      <c r="AJ64" s="62"/>
      <c r="AK64" s="62"/>
      <c r="AL64" s="62"/>
      <c r="AM64" s="62"/>
      <c r="AN64" s="62"/>
      <c r="AO64" s="62"/>
      <c r="AP64" s="62"/>
      <c r="AQ64" s="62"/>
      <c r="AR64" s="62"/>
      <c r="AS64" s="62"/>
      <c r="AT64" s="62"/>
      <c r="AU64" s="62"/>
      <c r="AV64" s="62"/>
      <c r="AW64" s="62"/>
      <c r="AX64" s="62"/>
      <c r="AY64" s="62"/>
      <c r="AZ64" s="62"/>
      <c r="BA64" s="62"/>
      <c r="BB64" s="62"/>
      <c r="BC64" s="62"/>
      <c r="BD64" s="62"/>
      <c r="BE64" s="62"/>
      <c r="BF64" s="62"/>
      <c r="BG64" s="62"/>
      <c r="BH64" s="62"/>
      <c r="BI64" s="62"/>
      <c r="BJ64" s="62"/>
      <c r="BK64" s="62"/>
      <c r="BL64" s="62"/>
      <c r="BM64" s="62"/>
      <c r="BN64" s="62"/>
      <c r="BO64" s="62"/>
      <c r="BP64" s="62"/>
      <c r="BQ64" s="62"/>
      <c r="BR64" s="62"/>
      <c r="BS64" s="62"/>
      <c r="BT64" s="62"/>
      <c r="BU64" s="62"/>
      <c r="BV64" s="62"/>
      <c r="BW64" s="62"/>
      <c r="BX64" s="62"/>
    </row>
    <row r="65" spans="1:76" s="71" customFormat="1" ht="47.25" x14ac:dyDescent="0.25">
      <c r="A65" s="67" t="s">
        <v>689</v>
      </c>
      <c r="B65" s="77" t="s">
        <v>580</v>
      </c>
      <c r="C65" s="77" t="s">
        <v>1046</v>
      </c>
      <c r="D65" s="76" t="s">
        <v>741</v>
      </c>
      <c r="E65" s="76" t="s">
        <v>742</v>
      </c>
      <c r="F65" s="78">
        <v>302670</v>
      </c>
      <c r="G65" s="79">
        <v>31950</v>
      </c>
      <c r="H65" s="78">
        <f>3882.57+354.63</f>
        <v>4237.2</v>
      </c>
      <c r="I65" s="78">
        <v>4136.3799999999992</v>
      </c>
      <c r="J65" s="78">
        <v>4008.23</v>
      </c>
      <c r="K65" s="78">
        <v>3879.71</v>
      </c>
      <c r="L65" s="78">
        <v>3753.4700000000003</v>
      </c>
      <c r="M65" s="78">
        <v>3622.5</v>
      </c>
      <c r="N65" s="78">
        <v>3494.08</v>
      </c>
      <c r="O65" s="78">
        <v>13425.91</v>
      </c>
      <c r="P65" s="79">
        <f t="shared" si="2"/>
        <v>40557.479999999996</v>
      </c>
      <c r="Q65" s="62"/>
      <c r="R65" s="62"/>
      <c r="S65" s="62"/>
      <c r="T65" s="62"/>
      <c r="U65" s="62"/>
      <c r="V65" s="62"/>
      <c r="W65" s="62"/>
      <c r="X65" s="62"/>
      <c r="Y65" s="62"/>
      <c r="Z65" s="62"/>
      <c r="AA65" s="62"/>
      <c r="AB65" s="62"/>
      <c r="AC65" s="62"/>
      <c r="AD65" s="62"/>
      <c r="AE65" s="62"/>
      <c r="AF65" s="62"/>
      <c r="AG65" s="62"/>
      <c r="AH65" s="62"/>
      <c r="AI65" s="62"/>
      <c r="AJ65" s="62"/>
      <c r="AK65" s="62"/>
      <c r="AL65" s="62"/>
      <c r="AM65" s="62"/>
      <c r="AN65" s="62"/>
      <c r="AO65" s="62"/>
      <c r="AP65" s="62"/>
      <c r="AQ65" s="62"/>
      <c r="AR65" s="62"/>
      <c r="AS65" s="62"/>
      <c r="AT65" s="62"/>
      <c r="AU65" s="62"/>
      <c r="AV65" s="62"/>
      <c r="AW65" s="62"/>
      <c r="AX65" s="62"/>
      <c r="AY65" s="62"/>
      <c r="AZ65" s="62"/>
      <c r="BA65" s="62"/>
      <c r="BB65" s="62"/>
      <c r="BC65" s="62"/>
      <c r="BD65" s="62"/>
      <c r="BE65" s="62"/>
      <c r="BF65" s="62"/>
      <c r="BG65" s="62"/>
      <c r="BH65" s="62"/>
      <c r="BI65" s="62"/>
      <c r="BJ65" s="62"/>
      <c r="BK65" s="62"/>
      <c r="BL65" s="62"/>
      <c r="BM65" s="62"/>
      <c r="BN65" s="62"/>
      <c r="BO65" s="62"/>
      <c r="BP65" s="62"/>
      <c r="BQ65" s="62"/>
      <c r="BR65" s="62"/>
      <c r="BS65" s="62"/>
      <c r="BT65" s="62"/>
      <c r="BU65" s="62"/>
      <c r="BV65" s="62"/>
      <c r="BW65" s="62"/>
      <c r="BX65" s="62"/>
    </row>
    <row r="66" spans="1:76" s="71" customFormat="1" ht="47.25" x14ac:dyDescent="0.25">
      <c r="A66" s="67" t="s">
        <v>691</v>
      </c>
      <c r="B66" s="77" t="s">
        <v>580</v>
      </c>
      <c r="C66" s="77" t="s">
        <v>1011</v>
      </c>
      <c r="D66" s="76" t="s">
        <v>741</v>
      </c>
      <c r="E66" s="76" t="s">
        <v>742</v>
      </c>
      <c r="F66" s="78">
        <v>489990</v>
      </c>
      <c r="G66" s="79">
        <v>53415</v>
      </c>
      <c r="H66" s="78">
        <f>6491+592.89</f>
        <v>7083.89</v>
      </c>
      <c r="I66" s="78">
        <v>6915.32</v>
      </c>
      <c r="J66" s="78">
        <v>6701.05</v>
      </c>
      <c r="K66" s="78">
        <v>6486.21</v>
      </c>
      <c r="L66" s="78">
        <v>6275.1900000000005</v>
      </c>
      <c r="M66" s="78">
        <v>6056.2300000000005</v>
      </c>
      <c r="N66" s="78">
        <v>5841.5099999999993</v>
      </c>
      <c r="O66" s="78">
        <v>22445.870000000003</v>
      </c>
      <c r="P66" s="79">
        <f t="shared" si="2"/>
        <v>67805.27</v>
      </c>
      <c r="Q66" s="62"/>
      <c r="R66" s="62"/>
      <c r="S66" s="62"/>
      <c r="T66" s="62"/>
      <c r="U66" s="62"/>
      <c r="V66" s="62"/>
      <c r="W66" s="62"/>
      <c r="X66" s="62"/>
      <c r="Y66" s="62"/>
      <c r="Z66" s="62"/>
      <c r="AA66" s="62"/>
      <c r="AB66" s="62"/>
      <c r="AC66" s="62"/>
      <c r="AD66" s="62"/>
      <c r="AE66" s="62"/>
      <c r="AF66" s="62"/>
      <c r="AG66" s="62"/>
      <c r="AH66" s="62"/>
      <c r="AI66" s="62"/>
      <c r="AJ66" s="62"/>
      <c r="AK66" s="62"/>
      <c r="AL66" s="62"/>
      <c r="AM66" s="62"/>
      <c r="AN66" s="62"/>
      <c r="AO66" s="62"/>
      <c r="AP66" s="62"/>
      <c r="AQ66" s="62"/>
      <c r="AR66" s="62"/>
      <c r="AS66" s="62"/>
      <c r="AT66" s="62"/>
      <c r="AU66" s="62"/>
      <c r="AV66" s="62"/>
      <c r="AW66" s="62"/>
      <c r="AX66" s="62"/>
      <c r="AY66" s="62"/>
      <c r="AZ66" s="62"/>
      <c r="BA66" s="62"/>
      <c r="BB66" s="62"/>
      <c r="BC66" s="62"/>
      <c r="BD66" s="62"/>
      <c r="BE66" s="62"/>
      <c r="BF66" s="62"/>
      <c r="BG66" s="62"/>
      <c r="BH66" s="62"/>
      <c r="BI66" s="62"/>
      <c r="BJ66" s="62"/>
      <c r="BK66" s="62"/>
      <c r="BL66" s="62"/>
      <c r="BM66" s="62"/>
      <c r="BN66" s="62"/>
      <c r="BO66" s="62"/>
      <c r="BP66" s="62"/>
      <c r="BQ66" s="62"/>
      <c r="BR66" s="62"/>
      <c r="BS66" s="62"/>
      <c r="BT66" s="62"/>
      <c r="BU66" s="62"/>
      <c r="BV66" s="62"/>
      <c r="BW66" s="62"/>
      <c r="BX66" s="62"/>
    </row>
    <row r="67" spans="1:76" s="71" customFormat="1" ht="31.5" x14ac:dyDescent="0.25">
      <c r="A67" s="67" t="s">
        <v>693</v>
      </c>
      <c r="B67" s="68" t="s">
        <v>580</v>
      </c>
      <c r="C67" s="68" t="s">
        <v>1047</v>
      </c>
      <c r="D67" s="67" t="s">
        <v>583</v>
      </c>
      <c r="E67" s="67" t="s">
        <v>584</v>
      </c>
      <c r="F67" s="69">
        <v>46789</v>
      </c>
      <c r="G67" s="70">
        <v>40350</v>
      </c>
      <c r="H67" s="69">
        <f>7799.18+478.46</f>
        <v>8277.64</v>
      </c>
      <c r="I67" s="69">
        <v>8002.6399999999994</v>
      </c>
      <c r="J67" s="69">
        <v>7699.66</v>
      </c>
      <c r="K67" s="69">
        <v>7395.85</v>
      </c>
      <c r="L67" s="69">
        <v>7093.32</v>
      </c>
      <c r="M67" s="69">
        <v>6787.8700000000008</v>
      </c>
      <c r="N67" s="69">
        <v>1665.99</v>
      </c>
      <c r="O67" s="69">
        <v>0</v>
      </c>
      <c r="P67" s="70">
        <f t="shared" ref="P67:P76" si="3">SUM(H67:O67)</f>
        <v>46922.97</v>
      </c>
      <c r="Q67" s="62"/>
      <c r="R67" s="62"/>
      <c r="S67" s="62"/>
      <c r="T67" s="62"/>
      <c r="U67" s="62"/>
      <c r="V67" s="62"/>
      <c r="W67" s="62"/>
      <c r="X67" s="62"/>
      <c r="Y67" s="62"/>
      <c r="Z67" s="62"/>
      <c r="AA67" s="62"/>
      <c r="AB67" s="62"/>
      <c r="AC67" s="62"/>
      <c r="AD67" s="62"/>
      <c r="AE67" s="62"/>
      <c r="AF67" s="62"/>
      <c r="AG67" s="62"/>
      <c r="AH67" s="62"/>
      <c r="AI67" s="62"/>
      <c r="AJ67" s="62"/>
      <c r="AK67" s="62"/>
      <c r="AL67" s="62"/>
      <c r="AM67" s="62"/>
      <c r="AN67" s="62"/>
      <c r="AO67" s="62"/>
      <c r="AP67" s="62"/>
      <c r="AQ67" s="62"/>
      <c r="AR67" s="62"/>
      <c r="AS67" s="62"/>
      <c r="AT67" s="62"/>
      <c r="AU67" s="62"/>
      <c r="AV67" s="62"/>
      <c r="AW67" s="62"/>
      <c r="AX67" s="62"/>
      <c r="AY67" s="62"/>
      <c r="AZ67" s="62"/>
      <c r="BA67" s="62"/>
      <c r="BB67" s="62"/>
      <c r="BC67" s="62"/>
      <c r="BD67" s="62"/>
      <c r="BE67" s="62"/>
      <c r="BF67" s="62"/>
      <c r="BG67" s="62"/>
      <c r="BH67" s="62"/>
      <c r="BI67" s="62"/>
      <c r="BJ67" s="62"/>
      <c r="BK67" s="62"/>
      <c r="BL67" s="62"/>
      <c r="BM67" s="62"/>
      <c r="BN67" s="62"/>
      <c r="BO67" s="62"/>
      <c r="BP67" s="62"/>
      <c r="BQ67" s="62"/>
      <c r="BR67" s="62"/>
      <c r="BS67" s="62"/>
      <c r="BT67" s="62"/>
      <c r="BU67" s="62"/>
      <c r="BV67" s="62"/>
      <c r="BW67" s="62"/>
      <c r="BX67" s="62"/>
    </row>
    <row r="68" spans="1:76" s="71" customFormat="1" ht="31.5" x14ac:dyDescent="0.25">
      <c r="A68" s="67" t="s">
        <v>697</v>
      </c>
      <c r="B68" s="68" t="s">
        <v>580</v>
      </c>
      <c r="C68" s="68" t="s">
        <v>1012</v>
      </c>
      <c r="D68" s="67" t="s">
        <v>632</v>
      </c>
      <c r="E68" s="67" t="s">
        <v>633</v>
      </c>
      <c r="F68" s="69">
        <v>657700</v>
      </c>
      <c r="G68" s="70">
        <v>618238</v>
      </c>
      <c r="H68" s="69">
        <f>59533.73+7754.61</f>
        <v>67288.34</v>
      </c>
      <c r="I68" s="69">
        <v>79713.69</v>
      </c>
      <c r="J68" s="69">
        <v>77330.23</v>
      </c>
      <c r="K68" s="69">
        <v>74899.510000000009</v>
      </c>
      <c r="L68" s="69">
        <v>72515.37</v>
      </c>
      <c r="M68" s="69">
        <v>70034.73000000001</v>
      </c>
      <c r="N68" s="69">
        <v>67605.679999999993</v>
      </c>
      <c r="O68" s="69">
        <v>288012.89000000007</v>
      </c>
      <c r="P68" s="70">
        <f t="shared" ref="P68:P74" si="4">SUM(H68:O68)</f>
        <v>797400.44000000006</v>
      </c>
      <c r="Q68" s="62"/>
      <c r="R68" s="62"/>
      <c r="S68" s="62"/>
      <c r="T68" s="62"/>
      <c r="U68" s="62"/>
      <c r="V68" s="62"/>
      <c r="W68" s="62"/>
      <c r="X68" s="62"/>
      <c r="Y68" s="62"/>
      <c r="Z68" s="62"/>
      <c r="AA68" s="62"/>
      <c r="AB68" s="62"/>
      <c r="AC68" s="62"/>
      <c r="AD68" s="62"/>
      <c r="AE68" s="62"/>
      <c r="AF68" s="62"/>
      <c r="AG68" s="62"/>
      <c r="AH68" s="62"/>
      <c r="AI68" s="62"/>
      <c r="AJ68" s="62"/>
      <c r="AK68" s="62"/>
      <c r="AL68" s="62"/>
      <c r="AM68" s="62"/>
      <c r="AN68" s="62"/>
      <c r="AO68" s="62"/>
      <c r="AP68" s="62"/>
      <c r="AQ68" s="62"/>
      <c r="AR68" s="62"/>
      <c r="AS68" s="62"/>
      <c r="AT68" s="62"/>
      <c r="AU68" s="62"/>
      <c r="AV68" s="62"/>
      <c r="AW68" s="62"/>
      <c r="AX68" s="62"/>
      <c r="AY68" s="62"/>
      <c r="AZ68" s="62"/>
      <c r="BA68" s="62"/>
      <c r="BB68" s="62"/>
      <c r="BC68" s="62"/>
      <c r="BD68" s="62"/>
      <c r="BE68" s="62"/>
      <c r="BF68" s="62"/>
      <c r="BG68" s="62"/>
      <c r="BH68" s="62"/>
      <c r="BI68" s="62"/>
      <c r="BJ68" s="62"/>
      <c r="BK68" s="62"/>
      <c r="BL68" s="62"/>
      <c r="BM68" s="62"/>
      <c r="BN68" s="62"/>
      <c r="BO68" s="62"/>
      <c r="BP68" s="62"/>
      <c r="BQ68" s="62"/>
      <c r="BR68" s="62"/>
      <c r="BS68" s="62"/>
      <c r="BT68" s="62"/>
      <c r="BU68" s="62"/>
      <c r="BV68" s="62"/>
      <c r="BW68" s="62"/>
      <c r="BX68" s="62"/>
    </row>
    <row r="69" spans="1:76" s="71" customFormat="1" ht="47.25" x14ac:dyDescent="0.25">
      <c r="A69" s="67" t="s">
        <v>700</v>
      </c>
      <c r="B69" s="68" t="s">
        <v>580</v>
      </c>
      <c r="C69" s="68" t="s">
        <v>1013</v>
      </c>
      <c r="D69" s="67" t="s">
        <v>632</v>
      </c>
      <c r="E69" s="67" t="s">
        <v>633</v>
      </c>
      <c r="F69" s="69">
        <v>343744</v>
      </c>
      <c r="G69" s="70">
        <v>299202</v>
      </c>
      <c r="H69" s="69">
        <f>28894.92+3752.91</f>
        <v>32647.829999999998</v>
      </c>
      <c r="I69" s="69">
        <v>38567.199999999997</v>
      </c>
      <c r="J69" s="69">
        <v>37413.82</v>
      </c>
      <c r="K69" s="69">
        <v>36237.79</v>
      </c>
      <c r="L69" s="69">
        <v>35084.290000000008</v>
      </c>
      <c r="M69" s="69">
        <v>33884.100000000006</v>
      </c>
      <c r="N69" s="69">
        <v>32708.880000000001</v>
      </c>
      <c r="O69" s="69">
        <v>139342.38999999998</v>
      </c>
      <c r="P69" s="70">
        <f t="shared" si="4"/>
        <v>385886.30000000005</v>
      </c>
      <c r="Q69" s="62"/>
      <c r="R69" s="62"/>
      <c r="S69" s="62"/>
      <c r="T69" s="62"/>
      <c r="U69" s="62"/>
      <c r="V69" s="62"/>
      <c r="W69" s="62"/>
      <c r="X69" s="62"/>
      <c r="Y69" s="62"/>
      <c r="Z69" s="62"/>
      <c r="AA69" s="62"/>
      <c r="AB69" s="62"/>
      <c r="AC69" s="62"/>
      <c r="AD69" s="62"/>
      <c r="AE69" s="62"/>
      <c r="AF69" s="62"/>
      <c r="AG69" s="62"/>
      <c r="AH69" s="62"/>
      <c r="AI69" s="62"/>
      <c r="AJ69" s="62"/>
      <c r="AK69" s="62"/>
      <c r="AL69" s="62"/>
      <c r="AM69" s="62"/>
      <c r="AN69" s="62"/>
      <c r="AO69" s="62"/>
      <c r="AP69" s="62"/>
      <c r="AQ69" s="62"/>
      <c r="AR69" s="62"/>
      <c r="AS69" s="62"/>
      <c r="AT69" s="62"/>
      <c r="AU69" s="62"/>
      <c r="AV69" s="62"/>
      <c r="AW69" s="62"/>
      <c r="AX69" s="62"/>
      <c r="AY69" s="62"/>
      <c r="AZ69" s="62"/>
      <c r="BA69" s="62"/>
      <c r="BB69" s="62"/>
      <c r="BC69" s="62"/>
      <c r="BD69" s="62"/>
      <c r="BE69" s="62"/>
      <c r="BF69" s="62"/>
      <c r="BG69" s="62"/>
      <c r="BH69" s="62"/>
      <c r="BI69" s="62"/>
      <c r="BJ69" s="62"/>
      <c r="BK69" s="62"/>
      <c r="BL69" s="62"/>
      <c r="BM69" s="62"/>
      <c r="BN69" s="62"/>
      <c r="BO69" s="62"/>
      <c r="BP69" s="62"/>
      <c r="BQ69" s="62"/>
      <c r="BR69" s="62"/>
      <c r="BS69" s="62"/>
      <c r="BT69" s="62"/>
      <c r="BU69" s="62"/>
      <c r="BV69" s="62"/>
      <c r="BW69" s="62"/>
      <c r="BX69" s="62"/>
    </row>
    <row r="70" spans="1:76" s="71" customFormat="1" ht="47.25" x14ac:dyDescent="0.25">
      <c r="A70" s="67" t="s">
        <v>701</v>
      </c>
      <c r="B70" s="68" t="s">
        <v>580</v>
      </c>
      <c r="C70" s="68" t="s">
        <v>1014</v>
      </c>
      <c r="D70" s="67" t="s">
        <v>649</v>
      </c>
      <c r="E70" s="67" t="s">
        <v>650</v>
      </c>
      <c r="F70" s="69">
        <v>692260</v>
      </c>
      <c r="G70" s="70">
        <v>383088.33</v>
      </c>
      <c r="H70" s="69">
        <f>31551.14+5851.16</f>
        <v>37402.300000000003</v>
      </c>
      <c r="I70" s="69">
        <v>39255.21</v>
      </c>
      <c r="J70" s="69">
        <v>38228.28</v>
      </c>
      <c r="K70" s="69">
        <v>37185.72</v>
      </c>
      <c r="L70" s="69">
        <v>36178.85</v>
      </c>
      <c r="M70" s="69">
        <v>35099.18</v>
      </c>
      <c r="N70" s="69">
        <v>34057.339999999997</v>
      </c>
      <c r="O70" s="69">
        <v>289133.64999999997</v>
      </c>
      <c r="P70" s="70">
        <f t="shared" si="4"/>
        <v>546540.53</v>
      </c>
      <c r="Q70" s="62"/>
      <c r="R70" s="62"/>
      <c r="S70" s="62"/>
      <c r="T70" s="62"/>
      <c r="U70" s="62"/>
      <c r="V70" s="62"/>
      <c r="W70" s="62"/>
      <c r="X70" s="62"/>
      <c r="Y70" s="62"/>
      <c r="Z70" s="62"/>
      <c r="AA70" s="62"/>
      <c r="AB70" s="62"/>
      <c r="AC70" s="62"/>
      <c r="AD70" s="62"/>
      <c r="AE70" s="62"/>
      <c r="AF70" s="62"/>
      <c r="AG70" s="62"/>
      <c r="AH70" s="62"/>
      <c r="AI70" s="62"/>
      <c r="AJ70" s="62"/>
      <c r="AK70" s="62"/>
      <c r="AL70" s="62"/>
      <c r="AM70" s="62"/>
      <c r="AN70" s="62"/>
      <c r="AO70" s="62"/>
      <c r="AP70" s="62"/>
      <c r="AQ70" s="62"/>
      <c r="AR70" s="62"/>
      <c r="AS70" s="62"/>
      <c r="AT70" s="62"/>
      <c r="AU70" s="62"/>
      <c r="AV70" s="62"/>
      <c r="AW70" s="62"/>
      <c r="AX70" s="62"/>
      <c r="AY70" s="62"/>
      <c r="AZ70" s="62"/>
      <c r="BA70" s="62"/>
      <c r="BB70" s="62"/>
      <c r="BC70" s="62"/>
      <c r="BD70" s="62"/>
      <c r="BE70" s="62"/>
      <c r="BF70" s="62"/>
      <c r="BG70" s="62"/>
      <c r="BH70" s="62"/>
      <c r="BI70" s="62"/>
      <c r="BJ70" s="62"/>
      <c r="BK70" s="62"/>
      <c r="BL70" s="62"/>
      <c r="BM70" s="62"/>
      <c r="BN70" s="62"/>
      <c r="BO70" s="62"/>
      <c r="BP70" s="62"/>
      <c r="BQ70" s="62"/>
      <c r="BR70" s="62"/>
      <c r="BS70" s="62"/>
      <c r="BT70" s="62"/>
      <c r="BU70" s="62"/>
      <c r="BV70" s="62"/>
      <c r="BW70" s="62"/>
      <c r="BX70" s="62"/>
    </row>
    <row r="71" spans="1:76" s="71" customFormat="1" ht="31.5" x14ac:dyDescent="0.25">
      <c r="A71" s="67" t="s">
        <v>704</v>
      </c>
      <c r="B71" s="77" t="s">
        <v>580</v>
      </c>
      <c r="C71" s="77" t="s">
        <v>1015</v>
      </c>
      <c r="D71" s="76" t="s">
        <v>754</v>
      </c>
      <c r="E71" s="76" t="s">
        <v>755</v>
      </c>
      <c r="F71" s="78">
        <v>385955</v>
      </c>
      <c r="G71" s="79">
        <v>380292</v>
      </c>
      <c r="H71" s="78">
        <f>29853.21+4707.98</f>
        <v>34561.19</v>
      </c>
      <c r="I71" s="78">
        <v>39314.270000000004</v>
      </c>
      <c r="J71" s="78">
        <v>38273</v>
      </c>
      <c r="K71" s="78">
        <v>37235.54</v>
      </c>
      <c r="L71" s="78">
        <v>36232.130000000005</v>
      </c>
      <c r="M71" s="78">
        <v>35159.18</v>
      </c>
      <c r="N71" s="78">
        <v>34122.410000000003</v>
      </c>
      <c r="O71" s="78">
        <v>278469.24999999994</v>
      </c>
      <c r="P71" s="79">
        <f t="shared" si="4"/>
        <v>533366.97</v>
      </c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62"/>
      <c r="BC71" s="62"/>
      <c r="BD71" s="62"/>
      <c r="BE71" s="62"/>
      <c r="BF71" s="62"/>
      <c r="BG71" s="62"/>
      <c r="BH71" s="62"/>
      <c r="BI71" s="62"/>
      <c r="BJ71" s="62"/>
      <c r="BK71" s="62"/>
      <c r="BL71" s="62"/>
      <c r="BM71" s="62"/>
      <c r="BN71" s="62"/>
      <c r="BO71" s="62"/>
      <c r="BP71" s="62"/>
      <c r="BQ71" s="62"/>
      <c r="BR71" s="62"/>
      <c r="BS71" s="62"/>
      <c r="BT71" s="62"/>
      <c r="BU71" s="62"/>
      <c r="BV71" s="62"/>
      <c r="BW71" s="62"/>
      <c r="BX71" s="62"/>
    </row>
    <row r="72" spans="1:76" s="71" customFormat="1" ht="31.5" x14ac:dyDescent="0.25">
      <c r="A72" s="67" t="s">
        <v>706</v>
      </c>
      <c r="B72" s="77" t="s">
        <v>580</v>
      </c>
      <c r="C72" s="77" t="s">
        <v>1038</v>
      </c>
      <c r="D72" s="76" t="s">
        <v>751</v>
      </c>
      <c r="E72" s="76" t="s">
        <v>752</v>
      </c>
      <c r="F72" s="78">
        <v>105000</v>
      </c>
      <c r="G72" s="79">
        <v>103496</v>
      </c>
      <c r="H72" s="78">
        <f>9529.03+989.24</f>
        <v>10518.27</v>
      </c>
      <c r="I72" s="78">
        <v>10295.5</v>
      </c>
      <c r="J72" s="78">
        <v>10002.91</v>
      </c>
      <c r="K72" s="78">
        <v>9739.06</v>
      </c>
      <c r="L72" s="78">
        <v>9484.0199999999986</v>
      </c>
      <c r="M72" s="78">
        <v>9210.9399999999987</v>
      </c>
      <c r="N72" s="78">
        <v>8947.2599999999984</v>
      </c>
      <c r="O72" s="78">
        <v>74992.900000000009</v>
      </c>
      <c r="P72" s="79">
        <f t="shared" si="4"/>
        <v>143190.85999999999</v>
      </c>
      <c r="Q72" s="62"/>
      <c r="R72" s="62"/>
      <c r="S72" s="62"/>
      <c r="T72" s="62"/>
      <c r="U72" s="62"/>
      <c r="V72" s="62"/>
      <c r="W72" s="62"/>
      <c r="X72" s="62"/>
      <c r="Y72" s="62"/>
      <c r="Z72" s="62"/>
      <c r="AA72" s="62"/>
      <c r="AB72" s="62"/>
      <c r="AC72" s="62"/>
      <c r="AD72" s="62"/>
      <c r="AE72" s="62"/>
      <c r="AF72" s="62"/>
      <c r="AG72" s="62"/>
      <c r="AH72" s="62"/>
      <c r="AI72" s="62"/>
      <c r="AJ72" s="62"/>
      <c r="AK72" s="62"/>
      <c r="AL72" s="62"/>
      <c r="AM72" s="62"/>
      <c r="AN72" s="62"/>
      <c r="AO72" s="62"/>
      <c r="AP72" s="62"/>
      <c r="AQ72" s="62"/>
      <c r="AR72" s="62"/>
      <c r="AS72" s="62"/>
      <c r="AT72" s="62"/>
      <c r="AU72" s="62"/>
      <c r="AV72" s="62"/>
      <c r="AW72" s="62"/>
      <c r="AX72" s="62"/>
      <c r="AY72" s="62"/>
      <c r="AZ72" s="62"/>
      <c r="BA72" s="62"/>
      <c r="BB72" s="62"/>
      <c r="BC72" s="62"/>
      <c r="BD72" s="62"/>
      <c r="BE72" s="62"/>
      <c r="BF72" s="62"/>
      <c r="BG72" s="62"/>
      <c r="BH72" s="62"/>
      <c r="BI72" s="62"/>
      <c r="BJ72" s="62"/>
      <c r="BK72" s="62"/>
      <c r="BL72" s="62"/>
      <c r="BM72" s="62"/>
      <c r="BN72" s="62"/>
      <c r="BO72" s="62"/>
      <c r="BP72" s="62"/>
      <c r="BQ72" s="62"/>
      <c r="BR72" s="62"/>
      <c r="BS72" s="62"/>
      <c r="BT72" s="62"/>
      <c r="BU72" s="62"/>
      <c r="BV72" s="62"/>
      <c r="BW72" s="62"/>
      <c r="BX72" s="62"/>
    </row>
    <row r="73" spans="1:76" s="71" customFormat="1" ht="47.25" x14ac:dyDescent="0.25">
      <c r="A73" s="67" t="s">
        <v>708</v>
      </c>
      <c r="B73" s="68" t="s">
        <v>580</v>
      </c>
      <c r="C73" s="68" t="s">
        <v>1016</v>
      </c>
      <c r="D73" s="67" t="s">
        <v>698</v>
      </c>
      <c r="E73" s="67" t="s">
        <v>699</v>
      </c>
      <c r="F73" s="69">
        <v>113570</v>
      </c>
      <c r="G73" s="70">
        <v>35115.08</v>
      </c>
      <c r="H73" s="69">
        <f>5693.03+353.79</f>
        <v>6046.82</v>
      </c>
      <c r="I73" s="69">
        <v>5896.04</v>
      </c>
      <c r="J73" s="69">
        <v>5690.95</v>
      </c>
      <c r="K73" s="69">
        <v>5485.06</v>
      </c>
      <c r="L73" s="69">
        <v>5280.84</v>
      </c>
      <c r="M73" s="69">
        <v>5072.97</v>
      </c>
      <c r="N73" s="69">
        <v>4867.22</v>
      </c>
      <c r="O73" s="69">
        <v>3424.95</v>
      </c>
      <c r="P73" s="70">
        <f t="shared" si="4"/>
        <v>41764.85</v>
      </c>
      <c r="Q73" s="62"/>
      <c r="R73" s="62"/>
      <c r="S73" s="62"/>
      <c r="T73" s="62"/>
      <c r="U73" s="62"/>
      <c r="V73" s="62"/>
      <c r="W73" s="62"/>
      <c r="X73" s="62"/>
      <c r="Y73" s="62"/>
      <c r="Z73" s="62"/>
      <c r="AA73" s="62"/>
      <c r="AB73" s="62"/>
      <c r="AC73" s="62"/>
      <c r="AD73" s="62"/>
      <c r="AE73" s="62"/>
      <c r="AF73" s="62"/>
      <c r="AG73" s="62"/>
      <c r="AH73" s="62"/>
      <c r="AI73" s="62"/>
      <c r="AJ73" s="62"/>
      <c r="AK73" s="62"/>
      <c r="AL73" s="62"/>
      <c r="AM73" s="62"/>
      <c r="AN73" s="62"/>
      <c r="AO73" s="62"/>
      <c r="AP73" s="62"/>
      <c r="AQ73" s="62"/>
      <c r="AR73" s="62"/>
      <c r="AS73" s="62"/>
      <c r="AT73" s="62"/>
      <c r="AU73" s="62"/>
      <c r="AV73" s="62"/>
      <c r="AW73" s="62"/>
      <c r="AX73" s="62"/>
      <c r="AY73" s="62"/>
      <c r="AZ73" s="62"/>
      <c r="BA73" s="62"/>
      <c r="BB73" s="62"/>
      <c r="BC73" s="62"/>
      <c r="BD73" s="62"/>
      <c r="BE73" s="62"/>
      <c r="BF73" s="62"/>
      <c r="BG73" s="62"/>
      <c r="BH73" s="62"/>
      <c r="BI73" s="62"/>
      <c r="BJ73" s="62"/>
      <c r="BK73" s="62"/>
      <c r="BL73" s="62"/>
      <c r="BM73" s="62"/>
      <c r="BN73" s="62"/>
      <c r="BO73" s="62"/>
      <c r="BP73" s="62"/>
      <c r="BQ73" s="62"/>
      <c r="BR73" s="62"/>
      <c r="BS73" s="62"/>
      <c r="BT73" s="62"/>
      <c r="BU73" s="62"/>
      <c r="BV73" s="62"/>
      <c r="BW73" s="62"/>
      <c r="BX73" s="62"/>
    </row>
    <row r="74" spans="1:76" s="71" customFormat="1" ht="63" x14ac:dyDescent="0.25">
      <c r="A74" s="67" t="s">
        <v>711</v>
      </c>
      <c r="B74" s="68" t="s">
        <v>580</v>
      </c>
      <c r="C74" s="68" t="s">
        <v>1017</v>
      </c>
      <c r="D74" s="67" t="s">
        <v>698</v>
      </c>
      <c r="E74" s="67" t="s">
        <v>699</v>
      </c>
      <c r="F74" s="69">
        <v>106600</v>
      </c>
      <c r="G74" s="70">
        <v>97768</v>
      </c>
      <c r="H74" s="69">
        <f>7721.73+967.96</f>
        <v>8689.6899999999987</v>
      </c>
      <c r="I74" s="69">
        <v>8637.73</v>
      </c>
      <c r="J74" s="69">
        <v>8437.64</v>
      </c>
      <c r="K74" s="69">
        <v>8236.27</v>
      </c>
      <c r="L74" s="69">
        <v>8044.42</v>
      </c>
      <c r="M74" s="69">
        <v>7833.29</v>
      </c>
      <c r="N74" s="69">
        <v>7632.05</v>
      </c>
      <c r="O74" s="69">
        <v>90362.13</v>
      </c>
      <c r="P74" s="70">
        <f t="shared" si="4"/>
        <v>147873.22</v>
      </c>
      <c r="Q74" s="62"/>
      <c r="R74" s="62"/>
      <c r="S74" s="62"/>
      <c r="T74" s="62"/>
      <c r="U74" s="62"/>
      <c r="V74" s="62"/>
      <c r="W74" s="62"/>
      <c r="X74" s="62"/>
      <c r="Y74" s="62"/>
      <c r="Z74" s="62"/>
      <c r="AA74" s="62"/>
      <c r="AB74" s="62"/>
      <c r="AC74" s="62"/>
      <c r="AD74" s="62"/>
      <c r="AE74" s="62"/>
      <c r="AF74" s="62"/>
      <c r="AG74" s="62"/>
      <c r="AH74" s="62"/>
      <c r="AI74" s="62"/>
      <c r="AJ74" s="62"/>
      <c r="AK74" s="62"/>
      <c r="AL74" s="62"/>
      <c r="AM74" s="62"/>
      <c r="AN74" s="62"/>
      <c r="AO74" s="62"/>
      <c r="AP74" s="62"/>
      <c r="AQ74" s="62"/>
      <c r="AR74" s="62"/>
      <c r="AS74" s="62"/>
      <c r="AT74" s="62"/>
      <c r="AU74" s="62"/>
      <c r="AV74" s="62"/>
      <c r="AW74" s="62"/>
      <c r="AX74" s="62"/>
      <c r="AY74" s="62"/>
      <c r="AZ74" s="62"/>
      <c r="BA74" s="62"/>
      <c r="BB74" s="62"/>
      <c r="BC74" s="62"/>
      <c r="BD74" s="62"/>
      <c r="BE74" s="62"/>
      <c r="BF74" s="62"/>
      <c r="BG74" s="62"/>
      <c r="BH74" s="62"/>
      <c r="BI74" s="62"/>
      <c r="BJ74" s="62"/>
      <c r="BK74" s="62"/>
      <c r="BL74" s="62"/>
      <c r="BM74" s="62"/>
      <c r="BN74" s="62"/>
      <c r="BO74" s="62"/>
      <c r="BP74" s="62"/>
      <c r="BQ74" s="62"/>
      <c r="BR74" s="62"/>
      <c r="BS74" s="62"/>
      <c r="BT74" s="62"/>
      <c r="BU74" s="62"/>
      <c r="BV74" s="62"/>
      <c r="BW74" s="62"/>
      <c r="BX74" s="62"/>
    </row>
    <row r="75" spans="1:76" s="71" customFormat="1" ht="31.5" x14ac:dyDescent="0.25">
      <c r="A75" s="67" t="s">
        <v>714</v>
      </c>
      <c r="B75" s="68" t="s">
        <v>580</v>
      </c>
      <c r="C75" s="68" t="s">
        <v>1018</v>
      </c>
      <c r="D75" s="67" t="s">
        <v>885</v>
      </c>
      <c r="E75" s="67" t="s">
        <v>604</v>
      </c>
      <c r="F75" s="69">
        <v>400000</v>
      </c>
      <c r="G75" s="70">
        <v>235300</v>
      </c>
      <c r="H75" s="69">
        <f>94517.24+163.4</f>
        <v>94680.639999999999</v>
      </c>
      <c r="I75" s="69">
        <v>94440.760000000009</v>
      </c>
      <c r="J75" s="69">
        <v>47134.02</v>
      </c>
      <c r="K75" s="69">
        <v>0</v>
      </c>
      <c r="L75" s="69">
        <v>0</v>
      </c>
      <c r="M75" s="69">
        <v>0</v>
      </c>
      <c r="N75" s="69">
        <v>0</v>
      </c>
      <c r="O75" s="69">
        <v>0</v>
      </c>
      <c r="P75" s="70">
        <f t="shared" si="3"/>
        <v>236255.42</v>
      </c>
      <c r="Q75" s="62"/>
      <c r="R75" s="62"/>
      <c r="S75" s="62"/>
      <c r="T75" s="62"/>
      <c r="U75" s="62"/>
      <c r="V75" s="62"/>
      <c r="W75" s="62"/>
      <c r="X75" s="62"/>
      <c r="Y75" s="62"/>
      <c r="Z75" s="62"/>
      <c r="AA75" s="62"/>
      <c r="AB75" s="62"/>
      <c r="AC75" s="62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N75" s="62"/>
      <c r="AO75" s="62"/>
      <c r="AP75" s="62"/>
      <c r="AQ75" s="62"/>
      <c r="AR75" s="62"/>
      <c r="AS75" s="62"/>
      <c r="AT75" s="62"/>
      <c r="AU75" s="62"/>
      <c r="AV75" s="62"/>
      <c r="AW75" s="62"/>
      <c r="AX75" s="62"/>
      <c r="AY75" s="62"/>
      <c r="AZ75" s="62"/>
      <c r="BA75" s="62"/>
      <c r="BB75" s="62"/>
      <c r="BC75" s="62"/>
      <c r="BD75" s="62"/>
      <c r="BE75" s="62"/>
      <c r="BF75" s="62"/>
      <c r="BG75" s="62"/>
      <c r="BH75" s="62"/>
      <c r="BI75" s="62"/>
      <c r="BJ75" s="62"/>
      <c r="BK75" s="62"/>
      <c r="BL75" s="62"/>
      <c r="BM75" s="62"/>
      <c r="BN75" s="62"/>
      <c r="BO75" s="62"/>
      <c r="BP75" s="62"/>
      <c r="BQ75" s="62"/>
      <c r="BR75" s="62"/>
      <c r="BS75" s="62"/>
      <c r="BT75" s="62"/>
      <c r="BU75" s="62"/>
      <c r="BV75" s="62"/>
      <c r="BW75" s="62"/>
      <c r="BX75" s="62"/>
    </row>
    <row r="76" spans="1:76" s="71" customFormat="1" ht="31.5" x14ac:dyDescent="0.25">
      <c r="A76" s="67" t="s">
        <v>717</v>
      </c>
      <c r="B76" s="68" t="s">
        <v>580</v>
      </c>
      <c r="C76" s="68" t="s">
        <v>1019</v>
      </c>
      <c r="D76" s="67" t="s">
        <v>619</v>
      </c>
      <c r="E76" s="67" t="s">
        <v>620</v>
      </c>
      <c r="F76" s="69">
        <v>782000</v>
      </c>
      <c r="G76" s="70">
        <v>782000</v>
      </c>
      <c r="H76" s="69">
        <f>57994.71+8819.14</f>
        <v>66813.850000000006</v>
      </c>
      <c r="I76" s="69">
        <v>96467.37000000001</v>
      </c>
      <c r="J76" s="69">
        <v>93761.709999999992</v>
      </c>
      <c r="K76" s="69">
        <v>90997.46</v>
      </c>
      <c r="L76" s="69">
        <v>88291.85</v>
      </c>
      <c r="M76" s="69">
        <v>85465.150000000009</v>
      </c>
      <c r="N76" s="69">
        <v>82702.790000000008</v>
      </c>
      <c r="O76" s="69">
        <v>405648.34</v>
      </c>
      <c r="P76" s="70">
        <f t="shared" si="3"/>
        <v>1010148.52</v>
      </c>
      <c r="Q76" s="62"/>
      <c r="R76" s="62"/>
      <c r="S76" s="62"/>
      <c r="T76" s="62"/>
      <c r="U76" s="62"/>
      <c r="V76" s="62"/>
      <c r="W76" s="62"/>
      <c r="X76" s="62"/>
      <c r="Y76" s="62"/>
      <c r="Z76" s="62"/>
      <c r="AA76" s="62"/>
      <c r="AB76" s="62"/>
      <c r="AC76" s="62"/>
      <c r="AD76" s="62"/>
      <c r="AE76" s="62"/>
      <c r="AF76" s="62"/>
      <c r="AG76" s="62"/>
      <c r="AH76" s="62"/>
      <c r="AI76" s="62"/>
      <c r="AJ76" s="62"/>
      <c r="AK76" s="62"/>
      <c r="AL76" s="62"/>
      <c r="AM76" s="62"/>
      <c r="AN76" s="62"/>
      <c r="AO76" s="62"/>
      <c r="AP76" s="62"/>
      <c r="AQ76" s="62"/>
      <c r="AR76" s="62"/>
      <c r="AS76" s="62"/>
      <c r="AT76" s="62"/>
      <c r="AU76" s="62"/>
      <c r="AV76" s="62"/>
      <c r="AW76" s="62"/>
      <c r="AX76" s="62"/>
      <c r="AY76" s="62"/>
      <c r="AZ76" s="62"/>
      <c r="BA76" s="62"/>
      <c r="BB76" s="62"/>
      <c r="BC76" s="62"/>
      <c r="BD76" s="62"/>
      <c r="BE76" s="62"/>
      <c r="BF76" s="62"/>
      <c r="BG76" s="62"/>
      <c r="BH76" s="62"/>
      <c r="BI76" s="62"/>
      <c r="BJ76" s="62"/>
      <c r="BK76" s="62"/>
      <c r="BL76" s="62"/>
      <c r="BM76" s="62"/>
      <c r="BN76" s="62"/>
      <c r="BO76" s="62"/>
      <c r="BP76" s="62"/>
      <c r="BQ76" s="62"/>
      <c r="BR76" s="62"/>
      <c r="BS76" s="62"/>
      <c r="BT76" s="62"/>
      <c r="BU76" s="62"/>
      <c r="BV76" s="62"/>
      <c r="BW76" s="62"/>
      <c r="BX76" s="62"/>
    </row>
    <row r="77" spans="1:76" s="71" customFormat="1" ht="31.5" x14ac:dyDescent="0.25">
      <c r="A77" s="67" t="s">
        <v>720</v>
      </c>
      <c r="B77" s="77" t="s">
        <v>580</v>
      </c>
      <c r="C77" s="77" t="s">
        <v>1020</v>
      </c>
      <c r="D77" s="76" t="s">
        <v>757</v>
      </c>
      <c r="E77" s="76" t="s">
        <v>760</v>
      </c>
      <c r="F77" s="78">
        <v>110174</v>
      </c>
      <c r="G77" s="79">
        <v>110173.87</v>
      </c>
      <c r="H77" s="78">
        <f>10613.31+1278.54</f>
        <v>11891.849999999999</v>
      </c>
      <c r="I77" s="78">
        <v>13528.57</v>
      </c>
      <c r="J77" s="78">
        <v>13138.36</v>
      </c>
      <c r="K77" s="78">
        <v>12747.06</v>
      </c>
      <c r="L77" s="78">
        <v>12363.79</v>
      </c>
      <c r="M77" s="78">
        <v>11963.96</v>
      </c>
      <c r="N77" s="78">
        <v>11572.93</v>
      </c>
      <c r="O77" s="78">
        <v>54142.64</v>
      </c>
      <c r="P77" s="79">
        <f>SUM(H77:O77)</f>
        <v>141349.15999999997</v>
      </c>
      <c r="Q77" s="62"/>
      <c r="R77" s="62"/>
      <c r="S77" s="62"/>
      <c r="T77" s="62"/>
      <c r="U77" s="62"/>
      <c r="V77" s="62"/>
      <c r="W77" s="62"/>
      <c r="X77" s="62"/>
      <c r="Y77" s="62"/>
      <c r="Z77" s="62"/>
      <c r="AA77" s="62"/>
      <c r="AB77" s="62"/>
      <c r="AC77" s="62"/>
      <c r="AD77" s="62"/>
      <c r="AE77" s="62"/>
      <c r="AF77" s="62"/>
      <c r="AG77" s="62"/>
      <c r="AH77" s="62"/>
      <c r="AI77" s="62"/>
      <c r="AJ77" s="62"/>
      <c r="AK77" s="62"/>
      <c r="AL77" s="62"/>
      <c r="AM77" s="62"/>
      <c r="AN77" s="62"/>
      <c r="AO77" s="62"/>
      <c r="AP77" s="62"/>
      <c r="AQ77" s="62"/>
      <c r="AR77" s="62"/>
      <c r="AS77" s="62"/>
      <c r="AT77" s="62"/>
      <c r="AU77" s="62"/>
      <c r="AV77" s="62"/>
      <c r="AW77" s="62"/>
      <c r="AX77" s="62"/>
      <c r="AY77" s="62"/>
      <c r="AZ77" s="62"/>
      <c r="BA77" s="62"/>
      <c r="BB77" s="62"/>
      <c r="BC77" s="62"/>
      <c r="BD77" s="62"/>
      <c r="BE77" s="62"/>
      <c r="BF77" s="62"/>
      <c r="BG77" s="62"/>
      <c r="BH77" s="62"/>
      <c r="BI77" s="62"/>
      <c r="BJ77" s="62"/>
      <c r="BK77" s="62"/>
      <c r="BL77" s="62"/>
      <c r="BM77" s="62"/>
      <c r="BN77" s="62"/>
      <c r="BO77" s="62"/>
      <c r="BP77" s="62"/>
      <c r="BQ77" s="62"/>
      <c r="BR77" s="62"/>
      <c r="BS77" s="62"/>
      <c r="BT77" s="62"/>
      <c r="BU77" s="62"/>
      <c r="BV77" s="62"/>
      <c r="BW77" s="62"/>
      <c r="BX77" s="62"/>
    </row>
    <row r="78" spans="1:76" s="71" customFormat="1" ht="31.5" x14ac:dyDescent="0.25">
      <c r="A78" s="67" t="s">
        <v>723</v>
      </c>
      <c r="B78" s="77" t="s">
        <v>580</v>
      </c>
      <c r="C78" s="77" t="s">
        <v>889</v>
      </c>
      <c r="D78" s="76" t="s">
        <v>757</v>
      </c>
      <c r="E78" s="76" t="s">
        <v>758</v>
      </c>
      <c r="F78" s="78">
        <v>89093</v>
      </c>
      <c r="G78" s="79">
        <v>86691</v>
      </c>
      <c r="H78" s="78">
        <f>7844.96+1039.21</f>
        <v>8884.17</v>
      </c>
      <c r="I78" s="78">
        <v>8405.119999999999</v>
      </c>
      <c r="J78" s="78">
        <v>8193.39</v>
      </c>
      <c r="K78" s="78">
        <v>7981.0399999999991</v>
      </c>
      <c r="L78" s="78">
        <v>7776.2699999999995</v>
      </c>
      <c r="M78" s="78">
        <v>7556.08</v>
      </c>
      <c r="N78" s="78">
        <v>7343.91</v>
      </c>
      <c r="O78" s="78">
        <v>65561.89</v>
      </c>
      <c r="P78" s="79">
        <f t="shared" ref="P78:P85" si="5">SUM(H78:O78)</f>
        <v>121701.87</v>
      </c>
      <c r="Q78" s="62"/>
      <c r="R78" s="62"/>
      <c r="S78" s="62"/>
      <c r="T78" s="62"/>
      <c r="U78" s="62"/>
      <c r="V78" s="62"/>
      <c r="W78" s="62"/>
      <c r="X78" s="62"/>
      <c r="Y78" s="62"/>
      <c r="Z78" s="62"/>
      <c r="AA78" s="62"/>
      <c r="AB78" s="62"/>
      <c r="AC78" s="62"/>
      <c r="AD78" s="62"/>
      <c r="AE78" s="62"/>
      <c r="AF78" s="62"/>
      <c r="AG78" s="62"/>
      <c r="AH78" s="62"/>
      <c r="AI78" s="62"/>
      <c r="AJ78" s="62"/>
      <c r="AK78" s="62"/>
      <c r="AL78" s="62"/>
      <c r="AM78" s="62"/>
      <c r="AN78" s="62"/>
      <c r="AO78" s="62"/>
      <c r="AP78" s="62"/>
      <c r="AQ78" s="62"/>
      <c r="AR78" s="62"/>
      <c r="AS78" s="62"/>
      <c r="AT78" s="62"/>
      <c r="AU78" s="62"/>
      <c r="AV78" s="62"/>
      <c r="AW78" s="62"/>
      <c r="AX78" s="62"/>
      <c r="AY78" s="62"/>
      <c r="AZ78" s="62"/>
      <c r="BA78" s="62"/>
      <c r="BB78" s="62"/>
      <c r="BC78" s="62"/>
      <c r="BD78" s="62"/>
      <c r="BE78" s="62"/>
      <c r="BF78" s="62"/>
      <c r="BG78" s="62"/>
      <c r="BH78" s="62"/>
      <c r="BI78" s="62"/>
      <c r="BJ78" s="62"/>
      <c r="BK78" s="62"/>
      <c r="BL78" s="62"/>
      <c r="BM78" s="62"/>
      <c r="BN78" s="62"/>
      <c r="BO78" s="62"/>
      <c r="BP78" s="62"/>
      <c r="BQ78" s="62"/>
      <c r="BR78" s="62"/>
      <c r="BS78" s="62"/>
      <c r="BT78" s="62"/>
      <c r="BU78" s="62"/>
      <c r="BV78" s="62"/>
      <c r="BW78" s="62"/>
      <c r="BX78" s="62"/>
    </row>
    <row r="79" spans="1:76" s="71" customFormat="1" ht="47.25" x14ac:dyDescent="0.25">
      <c r="A79" s="67" t="s">
        <v>724</v>
      </c>
      <c r="B79" s="77" t="s">
        <v>580</v>
      </c>
      <c r="C79" s="77" t="s">
        <v>1021</v>
      </c>
      <c r="D79" s="76" t="s">
        <v>762</v>
      </c>
      <c r="E79" s="76" t="s">
        <v>763</v>
      </c>
      <c r="F79" s="78">
        <v>127410</v>
      </c>
      <c r="G79" s="79">
        <v>123966</v>
      </c>
      <c r="H79" s="78">
        <f>11328.74+1508.17</f>
        <v>12836.91</v>
      </c>
      <c r="I79" s="78">
        <v>12074.34</v>
      </c>
      <c r="J79" s="78">
        <v>11768.24</v>
      </c>
      <c r="K79" s="78">
        <v>11461.279999999999</v>
      </c>
      <c r="L79" s="78">
        <v>11165.25</v>
      </c>
      <c r="M79" s="78">
        <v>10846.92</v>
      </c>
      <c r="N79" s="78">
        <v>10540.19</v>
      </c>
      <c r="O79" s="78">
        <v>93962.819999999978</v>
      </c>
      <c r="P79" s="79">
        <f>SUM(H79:O79)</f>
        <v>174655.94999999998</v>
      </c>
      <c r="Q79" s="62"/>
      <c r="R79" s="62"/>
      <c r="S79" s="62"/>
      <c r="T79" s="62"/>
      <c r="U79" s="62"/>
      <c r="V79" s="62"/>
      <c r="W79" s="62"/>
      <c r="X79" s="62"/>
      <c r="Y79" s="62"/>
      <c r="Z79" s="62"/>
      <c r="AA79" s="62"/>
      <c r="AB79" s="62"/>
      <c r="AC79" s="62"/>
      <c r="AD79" s="62"/>
      <c r="AE79" s="62"/>
      <c r="AF79" s="62"/>
      <c r="AG79" s="62"/>
      <c r="AH79" s="62"/>
      <c r="AI79" s="62"/>
      <c r="AJ79" s="62"/>
      <c r="AK79" s="62"/>
      <c r="AL79" s="62"/>
      <c r="AM79" s="62"/>
      <c r="AN79" s="62"/>
      <c r="AO79" s="62"/>
      <c r="AP79" s="62"/>
      <c r="AQ79" s="62"/>
      <c r="AR79" s="62"/>
      <c r="AS79" s="62"/>
      <c r="AT79" s="62"/>
      <c r="AU79" s="62"/>
      <c r="AV79" s="62"/>
      <c r="AW79" s="62"/>
      <c r="AX79" s="62"/>
      <c r="AY79" s="62"/>
      <c r="AZ79" s="62"/>
      <c r="BA79" s="62"/>
      <c r="BB79" s="62"/>
      <c r="BC79" s="62"/>
      <c r="BD79" s="62"/>
      <c r="BE79" s="62"/>
      <c r="BF79" s="62"/>
      <c r="BG79" s="62"/>
      <c r="BH79" s="62"/>
      <c r="BI79" s="62"/>
      <c r="BJ79" s="62"/>
      <c r="BK79" s="62"/>
      <c r="BL79" s="62"/>
      <c r="BM79" s="62"/>
      <c r="BN79" s="62"/>
      <c r="BO79" s="62"/>
      <c r="BP79" s="62"/>
      <c r="BQ79" s="62"/>
      <c r="BR79" s="62"/>
      <c r="BS79" s="62"/>
      <c r="BT79" s="62"/>
      <c r="BU79" s="62"/>
      <c r="BV79" s="62"/>
      <c r="BW79" s="62"/>
      <c r="BX79" s="62"/>
    </row>
    <row r="80" spans="1:76" s="71" customFormat="1" ht="31.5" x14ac:dyDescent="0.25">
      <c r="A80" s="67" t="s">
        <v>728</v>
      </c>
      <c r="B80" s="77" t="s">
        <v>580</v>
      </c>
      <c r="C80" s="80" t="s">
        <v>1039</v>
      </c>
      <c r="D80" s="81" t="s">
        <v>762</v>
      </c>
      <c r="E80" s="81" t="s">
        <v>763</v>
      </c>
      <c r="F80" s="78">
        <v>68951</v>
      </c>
      <c r="G80" s="79">
        <v>67095</v>
      </c>
      <c r="H80" s="78">
        <f>6131.52+816.27</f>
        <v>6947.7900000000009</v>
      </c>
      <c r="I80" s="78">
        <v>6535.09</v>
      </c>
      <c r="J80" s="78">
        <v>6369.41</v>
      </c>
      <c r="K80" s="78">
        <v>6203.25</v>
      </c>
      <c r="L80" s="78">
        <v>6043.04</v>
      </c>
      <c r="M80" s="78">
        <v>5870.75</v>
      </c>
      <c r="N80" s="78">
        <v>5704.75</v>
      </c>
      <c r="O80" s="78">
        <v>50856.140000000021</v>
      </c>
      <c r="P80" s="79">
        <f>SUM(H80:O80)</f>
        <v>94530.22000000003</v>
      </c>
      <c r="Q80" s="62"/>
      <c r="R80" s="62"/>
      <c r="S80" s="62"/>
      <c r="T80" s="62"/>
      <c r="U80" s="62"/>
      <c r="V80" s="62"/>
      <c r="W80" s="62"/>
      <c r="X80" s="62"/>
      <c r="Y80" s="62"/>
      <c r="Z80" s="62"/>
      <c r="AA80" s="62"/>
      <c r="AB80" s="62"/>
      <c r="AC80" s="62"/>
      <c r="AD80" s="62"/>
      <c r="AE80" s="62"/>
      <c r="AF80" s="62"/>
      <c r="AG80" s="62"/>
      <c r="AH80" s="62"/>
      <c r="AI80" s="62"/>
      <c r="AJ80" s="62"/>
      <c r="AK80" s="62"/>
      <c r="AL80" s="62"/>
      <c r="AM80" s="62"/>
      <c r="AN80" s="62"/>
      <c r="AO80" s="62"/>
      <c r="AP80" s="62"/>
      <c r="AQ80" s="62"/>
      <c r="AR80" s="62"/>
      <c r="AS80" s="62"/>
      <c r="AT80" s="62"/>
      <c r="AU80" s="62"/>
      <c r="AV80" s="62"/>
      <c r="AW80" s="62"/>
      <c r="AX80" s="62"/>
      <c r="AY80" s="62"/>
      <c r="AZ80" s="62"/>
      <c r="BA80" s="62"/>
      <c r="BB80" s="62"/>
      <c r="BC80" s="62"/>
      <c r="BD80" s="62"/>
      <c r="BE80" s="62"/>
      <c r="BF80" s="62"/>
      <c r="BG80" s="62"/>
      <c r="BH80" s="62"/>
      <c r="BI80" s="62"/>
      <c r="BJ80" s="62"/>
      <c r="BK80" s="62"/>
      <c r="BL80" s="62"/>
      <c r="BM80" s="62"/>
      <c r="BN80" s="62"/>
      <c r="BO80" s="62"/>
      <c r="BP80" s="62"/>
      <c r="BQ80" s="62"/>
      <c r="BR80" s="62"/>
      <c r="BS80" s="62"/>
      <c r="BT80" s="62"/>
      <c r="BU80" s="62"/>
      <c r="BV80" s="62"/>
      <c r="BW80" s="62"/>
      <c r="BX80" s="62"/>
    </row>
    <row r="81" spans="1:76" s="71" customFormat="1" ht="63" x14ac:dyDescent="0.25">
      <c r="A81" s="67" t="s">
        <v>729</v>
      </c>
      <c r="B81" s="77" t="s">
        <v>580</v>
      </c>
      <c r="C81" s="77" t="s">
        <v>1022</v>
      </c>
      <c r="D81" s="76" t="s">
        <v>766</v>
      </c>
      <c r="E81" s="76" t="s">
        <v>767</v>
      </c>
      <c r="F81" s="78">
        <v>136879</v>
      </c>
      <c r="G81" s="79">
        <v>136878.68</v>
      </c>
      <c r="H81" s="78">
        <f>10577.25+1634.27</f>
        <v>12211.52</v>
      </c>
      <c r="I81" s="78">
        <v>17138.409999999996</v>
      </c>
      <c r="J81" s="78">
        <v>16641.39</v>
      </c>
      <c r="K81" s="78">
        <v>16142.98</v>
      </c>
      <c r="L81" s="78">
        <v>15654.93</v>
      </c>
      <c r="M81" s="78">
        <v>15145.51</v>
      </c>
      <c r="N81" s="78">
        <v>14647.470000000001</v>
      </c>
      <c r="O81" s="78">
        <v>69729.809999999983</v>
      </c>
      <c r="P81" s="79">
        <f t="shared" si="5"/>
        <v>177312.01999999996</v>
      </c>
      <c r="Q81" s="62"/>
      <c r="R81" s="62"/>
      <c r="S81" s="62"/>
      <c r="T81" s="62"/>
      <c r="U81" s="62"/>
      <c r="V81" s="62"/>
      <c r="W81" s="62"/>
      <c r="X81" s="62"/>
      <c r="Y81" s="62"/>
      <c r="Z81" s="62"/>
      <c r="AA81" s="62"/>
      <c r="AB81" s="62"/>
      <c r="AC81" s="62"/>
      <c r="AD81" s="62"/>
      <c r="AE81" s="62"/>
      <c r="AF81" s="62"/>
      <c r="AG81" s="62"/>
      <c r="AH81" s="62"/>
      <c r="AI81" s="62"/>
      <c r="AJ81" s="62"/>
      <c r="AK81" s="62"/>
      <c r="AL81" s="62"/>
      <c r="AM81" s="62"/>
      <c r="AN81" s="62"/>
      <c r="AO81" s="62"/>
      <c r="AP81" s="62"/>
      <c r="AQ81" s="62"/>
      <c r="AR81" s="62"/>
      <c r="AS81" s="62"/>
      <c r="AT81" s="62"/>
      <c r="AU81" s="62"/>
      <c r="AV81" s="62"/>
      <c r="AW81" s="62"/>
      <c r="AX81" s="62"/>
      <c r="AY81" s="62"/>
      <c r="AZ81" s="62"/>
      <c r="BA81" s="62"/>
      <c r="BB81" s="62"/>
      <c r="BC81" s="62"/>
      <c r="BD81" s="62"/>
      <c r="BE81" s="62"/>
      <c r="BF81" s="62"/>
      <c r="BG81" s="62"/>
      <c r="BH81" s="62"/>
      <c r="BI81" s="62"/>
      <c r="BJ81" s="62"/>
      <c r="BK81" s="62"/>
      <c r="BL81" s="62"/>
      <c r="BM81" s="62"/>
      <c r="BN81" s="62"/>
      <c r="BO81" s="62"/>
      <c r="BP81" s="62"/>
      <c r="BQ81" s="62"/>
      <c r="BR81" s="62"/>
      <c r="BS81" s="62"/>
      <c r="BT81" s="62"/>
      <c r="BU81" s="62"/>
      <c r="BV81" s="62"/>
      <c r="BW81" s="62"/>
      <c r="BX81" s="62"/>
    </row>
    <row r="82" spans="1:76" s="71" customFormat="1" ht="47.25" x14ac:dyDescent="0.25">
      <c r="A82" s="67" t="s">
        <v>731</v>
      </c>
      <c r="B82" s="77" t="s">
        <v>580</v>
      </c>
      <c r="C82" s="77" t="s">
        <v>1023</v>
      </c>
      <c r="D82" s="76" t="s">
        <v>769</v>
      </c>
      <c r="E82" s="76" t="s">
        <v>770</v>
      </c>
      <c r="F82" s="78">
        <v>307500</v>
      </c>
      <c r="G82" s="79">
        <v>257951.94</v>
      </c>
      <c r="H82" s="78">
        <f>13956.24+3135.35</f>
        <v>17091.59</v>
      </c>
      <c r="I82" s="78">
        <v>27413.38</v>
      </c>
      <c r="J82" s="78">
        <v>26615.010000000002</v>
      </c>
      <c r="K82" s="78">
        <v>25878.76</v>
      </c>
      <c r="L82" s="78">
        <v>25169.24</v>
      </c>
      <c r="M82" s="78">
        <v>24405.27</v>
      </c>
      <c r="N82" s="78">
        <v>23669.520000000004</v>
      </c>
      <c r="O82" s="78">
        <v>211862.11999999991</v>
      </c>
      <c r="P82" s="79">
        <f t="shared" si="5"/>
        <v>382104.8899999999</v>
      </c>
      <c r="Q82" s="62"/>
      <c r="R82" s="62"/>
      <c r="S82" s="62"/>
      <c r="T82" s="62"/>
      <c r="U82" s="62"/>
      <c r="V82" s="62"/>
      <c r="W82" s="62"/>
      <c r="X82" s="62"/>
      <c r="Y82" s="62"/>
      <c r="Z82" s="62"/>
      <c r="AA82" s="62"/>
      <c r="AB82" s="62"/>
      <c r="AC82" s="62"/>
      <c r="AD82" s="62"/>
      <c r="AE82" s="62"/>
      <c r="AF82" s="62"/>
      <c r="AG82" s="62"/>
      <c r="AH82" s="62"/>
      <c r="AI82" s="62"/>
      <c r="AJ82" s="62"/>
      <c r="AK82" s="62"/>
      <c r="AL82" s="62"/>
      <c r="AM82" s="62"/>
      <c r="AN82" s="62"/>
      <c r="AO82" s="62"/>
      <c r="AP82" s="62"/>
      <c r="AQ82" s="62"/>
      <c r="AR82" s="62"/>
      <c r="AS82" s="62"/>
      <c r="AT82" s="62"/>
      <c r="AU82" s="62"/>
      <c r="AV82" s="62"/>
      <c r="AW82" s="62"/>
      <c r="AX82" s="62"/>
      <c r="AY82" s="62"/>
      <c r="AZ82" s="62"/>
      <c r="BA82" s="62"/>
      <c r="BB82" s="62"/>
      <c r="BC82" s="62"/>
      <c r="BD82" s="62"/>
      <c r="BE82" s="62"/>
      <c r="BF82" s="62"/>
      <c r="BG82" s="62"/>
      <c r="BH82" s="62"/>
      <c r="BI82" s="62"/>
      <c r="BJ82" s="62"/>
      <c r="BK82" s="62"/>
      <c r="BL82" s="62"/>
      <c r="BM82" s="62"/>
      <c r="BN82" s="62"/>
      <c r="BO82" s="62"/>
      <c r="BP82" s="62"/>
      <c r="BQ82" s="62"/>
      <c r="BR82" s="62"/>
      <c r="BS82" s="62"/>
      <c r="BT82" s="62"/>
      <c r="BU82" s="62"/>
      <c r="BV82" s="62"/>
      <c r="BW82" s="62"/>
      <c r="BX82" s="62"/>
    </row>
    <row r="83" spans="1:76" s="71" customFormat="1" ht="47.25" x14ac:dyDescent="0.25">
      <c r="A83" s="67" t="s">
        <v>735</v>
      </c>
      <c r="B83" s="77" t="s">
        <v>580</v>
      </c>
      <c r="C83" s="77" t="s">
        <v>1024</v>
      </c>
      <c r="D83" s="76" t="s">
        <v>769</v>
      </c>
      <c r="E83" s="76" t="s">
        <v>772</v>
      </c>
      <c r="F83" s="78">
        <v>327351</v>
      </c>
      <c r="G83" s="79">
        <v>215072</v>
      </c>
      <c r="H83" s="78">
        <f>23804.91+2271.64</f>
        <v>26076.55</v>
      </c>
      <c r="I83" s="78">
        <v>24871.579999999998</v>
      </c>
      <c r="J83" s="78">
        <v>24116.260000000002</v>
      </c>
      <c r="K83" s="78">
        <v>23417.649999999998</v>
      </c>
      <c r="L83" s="78">
        <v>22734.829999999998</v>
      </c>
      <c r="M83" s="78">
        <v>22019.52</v>
      </c>
      <c r="N83" s="78">
        <v>21321.38</v>
      </c>
      <c r="O83" s="78">
        <v>113292.95999999999</v>
      </c>
      <c r="P83" s="79">
        <f t="shared" si="5"/>
        <v>277850.73</v>
      </c>
      <c r="Q83" s="62"/>
      <c r="R83" s="62"/>
      <c r="S83" s="62"/>
      <c r="T83" s="62"/>
      <c r="U83" s="62"/>
      <c r="V83" s="62"/>
      <c r="W83" s="62"/>
      <c r="X83" s="62"/>
      <c r="Y83" s="62"/>
      <c r="Z83" s="62"/>
      <c r="AA83" s="62"/>
      <c r="AB83" s="62"/>
      <c r="AC83" s="62"/>
      <c r="AD83" s="62"/>
      <c r="AE83" s="62"/>
      <c r="AF83" s="62"/>
      <c r="AG83" s="62"/>
      <c r="AH83" s="62"/>
      <c r="AI83" s="62"/>
      <c r="AJ83" s="62"/>
      <c r="AK83" s="62"/>
      <c r="AL83" s="62"/>
      <c r="AM83" s="62"/>
      <c r="AN83" s="62"/>
      <c r="AO83" s="62"/>
      <c r="AP83" s="62"/>
      <c r="AQ83" s="62"/>
      <c r="AR83" s="62"/>
      <c r="AS83" s="62"/>
      <c r="AT83" s="62"/>
      <c r="AU83" s="62"/>
      <c r="AV83" s="62"/>
      <c r="AW83" s="62"/>
      <c r="AX83" s="62"/>
      <c r="AY83" s="62"/>
      <c r="AZ83" s="62"/>
      <c r="BA83" s="62"/>
      <c r="BB83" s="62"/>
      <c r="BC83" s="62"/>
      <c r="BD83" s="62"/>
      <c r="BE83" s="62"/>
      <c r="BF83" s="62"/>
      <c r="BG83" s="62"/>
      <c r="BH83" s="62"/>
      <c r="BI83" s="62"/>
      <c r="BJ83" s="62"/>
      <c r="BK83" s="62"/>
      <c r="BL83" s="62"/>
      <c r="BM83" s="62"/>
      <c r="BN83" s="62"/>
      <c r="BO83" s="62"/>
      <c r="BP83" s="62"/>
      <c r="BQ83" s="62"/>
      <c r="BR83" s="62"/>
      <c r="BS83" s="62"/>
      <c r="BT83" s="62"/>
      <c r="BU83" s="62"/>
      <c r="BV83" s="62"/>
      <c r="BW83" s="62"/>
      <c r="BX83" s="62"/>
    </row>
    <row r="84" spans="1:76" ht="63" x14ac:dyDescent="0.25">
      <c r="A84" s="67" t="s">
        <v>738</v>
      </c>
      <c r="B84" s="77" t="s">
        <v>580</v>
      </c>
      <c r="C84" s="77" t="s">
        <v>1025</v>
      </c>
      <c r="D84" s="76" t="s">
        <v>774</v>
      </c>
      <c r="E84" s="81" t="s">
        <v>775</v>
      </c>
      <c r="F84" s="78">
        <v>451040</v>
      </c>
      <c r="G84" s="79">
        <v>451040</v>
      </c>
      <c r="H84" s="78">
        <f>15254.67+4212.51</f>
        <v>19467.18</v>
      </c>
      <c r="I84" s="78">
        <v>45989.35</v>
      </c>
      <c r="J84" s="78">
        <v>44896.53</v>
      </c>
      <c r="K84" s="78">
        <v>43735.11</v>
      </c>
      <c r="L84" s="78">
        <v>42615.850000000006</v>
      </c>
      <c r="M84" s="78">
        <v>41410.730000000003</v>
      </c>
      <c r="N84" s="78">
        <v>40250.11</v>
      </c>
      <c r="O84" s="78">
        <v>366284.34</v>
      </c>
      <c r="P84" s="79">
        <f t="shared" si="5"/>
        <v>644649.19999999995</v>
      </c>
    </row>
    <row r="85" spans="1:76" ht="47.25" x14ac:dyDescent="0.25">
      <c r="A85" s="67" t="s">
        <v>740</v>
      </c>
      <c r="B85" s="77" t="s">
        <v>580</v>
      </c>
      <c r="C85" s="77" t="s">
        <v>1026</v>
      </c>
      <c r="D85" s="76" t="s">
        <v>777</v>
      </c>
      <c r="E85" s="81" t="s">
        <v>778</v>
      </c>
      <c r="F85" s="78">
        <v>296350</v>
      </c>
      <c r="G85" s="79">
        <v>252500.45</v>
      </c>
      <c r="H85" s="78">
        <f>9422.62+3234.06</f>
        <v>12656.68</v>
      </c>
      <c r="I85" s="78">
        <v>27195.629999999997</v>
      </c>
      <c r="J85" s="78">
        <v>26543.34</v>
      </c>
      <c r="K85" s="78">
        <v>25803.34</v>
      </c>
      <c r="L85" s="78">
        <v>25090.67</v>
      </c>
      <c r="M85" s="78">
        <v>24322.32</v>
      </c>
      <c r="N85" s="78">
        <v>23582.82</v>
      </c>
      <c r="O85" s="78">
        <v>214439.14000000004</v>
      </c>
      <c r="P85" s="79">
        <f t="shared" si="5"/>
        <v>379633.94000000006</v>
      </c>
    </row>
    <row r="86" spans="1:76" ht="31.5" x14ac:dyDescent="0.25">
      <c r="A86" s="67" t="s">
        <v>743</v>
      </c>
      <c r="B86" s="77" t="s">
        <v>580</v>
      </c>
      <c r="C86" s="77" t="s">
        <v>1027</v>
      </c>
      <c r="D86" s="76" t="s">
        <v>780</v>
      </c>
      <c r="E86" s="81" t="s">
        <v>781</v>
      </c>
      <c r="F86" s="78">
        <v>587705</v>
      </c>
      <c r="G86" s="79">
        <v>587705</v>
      </c>
      <c r="H86" s="78">
        <f>25908.47+8790.7</f>
        <v>34699.17</v>
      </c>
      <c r="I86" s="78">
        <v>57966.350000000006</v>
      </c>
      <c r="J86" s="78">
        <v>64846.479999999996</v>
      </c>
      <c r="K86" s="78">
        <v>62961.51</v>
      </c>
      <c r="L86" s="78">
        <v>61148.810000000005</v>
      </c>
      <c r="M86" s="78">
        <v>59189.03</v>
      </c>
      <c r="N86" s="78">
        <v>57305.35</v>
      </c>
      <c r="O86" s="78">
        <v>532393.51000000013</v>
      </c>
      <c r="P86" s="79">
        <f>SUM(H86:O86)</f>
        <v>930510.21000000008</v>
      </c>
    </row>
    <row r="87" spans="1:76" ht="31.5" x14ac:dyDescent="0.25">
      <c r="A87" s="67" t="s">
        <v>744</v>
      </c>
      <c r="B87" s="77" t="s">
        <v>580</v>
      </c>
      <c r="C87" s="77" t="s">
        <v>1028</v>
      </c>
      <c r="D87" s="82" t="s">
        <v>783</v>
      </c>
      <c r="E87" s="82" t="s">
        <v>784</v>
      </c>
      <c r="F87" s="78">
        <v>170638</v>
      </c>
      <c r="G87" s="79">
        <v>170637.67</v>
      </c>
      <c r="H87" s="78">
        <f>7471.37+2531.85</f>
        <v>10003.219999999999</v>
      </c>
      <c r="I87" s="78">
        <v>17380.11</v>
      </c>
      <c r="J87" s="78">
        <v>19640.2</v>
      </c>
      <c r="K87" s="78">
        <v>19046.300000000003</v>
      </c>
      <c r="L87" s="78">
        <v>18472.5</v>
      </c>
      <c r="M87" s="78">
        <v>17857.71</v>
      </c>
      <c r="N87" s="78">
        <v>17264.23</v>
      </c>
      <c r="O87" s="78">
        <v>141053.69999999998</v>
      </c>
      <c r="P87" s="79">
        <f>SUM(H87:O87)</f>
        <v>260717.96999999997</v>
      </c>
    </row>
    <row r="88" spans="1:76" ht="47.25" x14ac:dyDescent="0.25">
      <c r="A88" s="67" t="s">
        <v>746</v>
      </c>
      <c r="B88" s="77" t="s">
        <v>580</v>
      </c>
      <c r="C88" s="77" t="s">
        <v>1029</v>
      </c>
      <c r="D88" s="82" t="s">
        <v>783</v>
      </c>
      <c r="E88" s="82" t="s">
        <v>685</v>
      </c>
      <c r="F88" s="78">
        <v>57832</v>
      </c>
      <c r="G88" s="79">
        <v>57832</v>
      </c>
      <c r="H88" s="78">
        <f>2356.1+798.97</f>
        <v>3155.0699999999997</v>
      </c>
      <c r="I88" s="78">
        <v>6909.24</v>
      </c>
      <c r="J88" s="78">
        <v>10665.66</v>
      </c>
      <c r="K88" s="78">
        <v>10258.27</v>
      </c>
      <c r="L88" s="78">
        <v>9855.31</v>
      </c>
      <c r="M88" s="78">
        <v>9442.89</v>
      </c>
      <c r="N88" s="78">
        <v>9035.76</v>
      </c>
      <c r="O88" s="78">
        <v>14849.259999999998</v>
      </c>
      <c r="P88" s="79">
        <f>SUM(H88:O88)</f>
        <v>74171.460000000006</v>
      </c>
    </row>
    <row r="89" spans="1:76" ht="31.5" x14ac:dyDescent="0.25">
      <c r="A89" s="67" t="s">
        <v>747</v>
      </c>
      <c r="B89" s="77" t="s">
        <v>580</v>
      </c>
      <c r="C89" s="77" t="s">
        <v>1030</v>
      </c>
      <c r="D89" s="82" t="s">
        <v>783</v>
      </c>
      <c r="E89" s="82" t="s">
        <v>685</v>
      </c>
      <c r="F89" s="78">
        <v>78399</v>
      </c>
      <c r="G89" s="79">
        <v>78399</v>
      </c>
      <c r="H89" s="78">
        <f>3194.02+1083.11</f>
        <v>4277.13</v>
      </c>
      <c r="I89" s="78">
        <v>9379.56</v>
      </c>
      <c r="J89" s="78">
        <v>14456.12</v>
      </c>
      <c r="K89" s="78">
        <v>13903.91</v>
      </c>
      <c r="L89" s="78">
        <v>13357.77</v>
      </c>
      <c r="M89" s="78">
        <v>12798.769999999999</v>
      </c>
      <c r="N89" s="78">
        <v>12246.960000000001</v>
      </c>
      <c r="O89" s="78">
        <v>20126.509999999998</v>
      </c>
      <c r="P89" s="79">
        <f>SUM(H89:O89)</f>
        <v>100546.73000000001</v>
      </c>
    </row>
    <row r="90" spans="1:76" ht="47.25" x14ac:dyDescent="0.25">
      <c r="A90" s="67" t="s">
        <v>750</v>
      </c>
      <c r="B90" s="77" t="s">
        <v>580</v>
      </c>
      <c r="C90" s="77" t="s">
        <v>1031</v>
      </c>
      <c r="D90" s="82" t="s">
        <v>783</v>
      </c>
      <c r="E90" s="82" t="s">
        <v>685</v>
      </c>
      <c r="F90" s="78">
        <v>105221</v>
      </c>
      <c r="G90" s="79">
        <v>105221</v>
      </c>
      <c r="H90" s="78">
        <f>4286.75+1453.66</f>
        <v>5740.41</v>
      </c>
      <c r="I90" s="78">
        <v>12591.130000000001</v>
      </c>
      <c r="J90" s="78">
        <v>19401.349999999999</v>
      </c>
      <c r="K90" s="78">
        <v>18660.28</v>
      </c>
      <c r="L90" s="78">
        <v>17927.300000000003</v>
      </c>
      <c r="M90" s="78">
        <v>17177.059999999998</v>
      </c>
      <c r="N90" s="78">
        <v>16436.46</v>
      </c>
      <c r="O90" s="78">
        <v>27011.5</v>
      </c>
      <c r="P90" s="79">
        <f t="shared" ref="P90:P106" si="6">SUM(H90:O90)</f>
        <v>134945.49</v>
      </c>
    </row>
    <row r="91" spans="1:76" ht="47.25" x14ac:dyDescent="0.25">
      <c r="A91" s="67" t="s">
        <v>753</v>
      </c>
      <c r="B91" s="77" t="s">
        <v>580</v>
      </c>
      <c r="C91" s="77" t="s">
        <v>1032</v>
      </c>
      <c r="D91" s="82" t="s">
        <v>890</v>
      </c>
      <c r="E91" s="82" t="s">
        <v>891</v>
      </c>
      <c r="F91" s="78">
        <v>75107</v>
      </c>
      <c r="G91" s="79">
        <v>75107</v>
      </c>
      <c r="H91" s="78">
        <f>3445.32+1044.45</f>
        <v>4489.7700000000004</v>
      </c>
      <c r="I91" s="78">
        <v>5890.93</v>
      </c>
      <c r="J91" s="78">
        <v>10321.299999999999</v>
      </c>
      <c r="K91" s="78">
        <v>9972.19</v>
      </c>
      <c r="L91" s="78">
        <v>9626.85</v>
      </c>
      <c r="M91" s="78">
        <v>9263.08</v>
      </c>
      <c r="N91" s="78">
        <v>8908.99</v>
      </c>
      <c r="O91" s="78">
        <v>52465.169999999991</v>
      </c>
      <c r="P91" s="79">
        <f t="shared" si="6"/>
        <v>110938.28</v>
      </c>
    </row>
    <row r="92" spans="1:76" ht="31.5" x14ac:dyDescent="0.25">
      <c r="A92" s="67" t="s">
        <v>756</v>
      </c>
      <c r="B92" s="77" t="s">
        <v>580</v>
      </c>
      <c r="C92" s="77" t="s">
        <v>1033</v>
      </c>
      <c r="D92" s="82" t="s">
        <v>890</v>
      </c>
      <c r="E92" s="82" t="s">
        <v>891</v>
      </c>
      <c r="F92" s="78">
        <v>144778</v>
      </c>
      <c r="G92" s="79">
        <v>144778</v>
      </c>
      <c r="H92" s="78">
        <f>6641.28+2013.3</f>
        <v>8654.58</v>
      </c>
      <c r="I92" s="78">
        <v>11357.7</v>
      </c>
      <c r="J92" s="78">
        <v>19895.29</v>
      </c>
      <c r="K92" s="78">
        <v>19222.309999999998</v>
      </c>
      <c r="L92" s="78">
        <v>18556.629999999997</v>
      </c>
      <c r="M92" s="78">
        <v>17855.440000000002</v>
      </c>
      <c r="N92" s="78">
        <v>17172.939999999999</v>
      </c>
      <c r="O92" s="78">
        <v>101131.45</v>
      </c>
      <c r="P92" s="79">
        <f t="shared" si="6"/>
        <v>213846.34</v>
      </c>
    </row>
    <row r="93" spans="1:76" ht="31.5" x14ac:dyDescent="0.25">
      <c r="A93" s="67" t="s">
        <v>759</v>
      </c>
      <c r="B93" s="77" t="s">
        <v>580</v>
      </c>
      <c r="C93" s="77" t="s">
        <v>1034</v>
      </c>
      <c r="D93" s="82" t="s">
        <v>892</v>
      </c>
      <c r="E93" s="82" t="s">
        <v>713</v>
      </c>
      <c r="F93" s="78">
        <v>85648</v>
      </c>
      <c r="G93" s="79">
        <v>85648</v>
      </c>
      <c r="H93" s="78">
        <f>3769.79+1132.71</f>
        <v>4902.5</v>
      </c>
      <c r="I93" s="78">
        <v>7730.09</v>
      </c>
      <c r="J93" s="78">
        <v>16302.85</v>
      </c>
      <c r="K93" s="78">
        <v>15655.27</v>
      </c>
      <c r="L93" s="78">
        <v>15005.74</v>
      </c>
      <c r="M93" s="78">
        <v>14340</v>
      </c>
      <c r="N93" s="78">
        <v>13683.24</v>
      </c>
      <c r="O93" s="78">
        <v>25409.71</v>
      </c>
      <c r="P93" s="79">
        <f t="shared" si="6"/>
        <v>113029.40000000002</v>
      </c>
    </row>
    <row r="94" spans="1:76" ht="47.25" x14ac:dyDescent="0.25">
      <c r="A94" s="67" t="s">
        <v>761</v>
      </c>
      <c r="B94" s="77" t="s">
        <v>580</v>
      </c>
      <c r="C94" s="77" t="s">
        <v>1035</v>
      </c>
      <c r="D94" s="82" t="s">
        <v>892</v>
      </c>
      <c r="E94" s="82" t="s">
        <v>891</v>
      </c>
      <c r="F94" s="78">
        <v>98623</v>
      </c>
      <c r="G94" s="79">
        <v>98623</v>
      </c>
      <c r="H94" s="78">
        <f>4500.77+1357.99</f>
        <v>5858.76</v>
      </c>
      <c r="I94" s="78">
        <v>9643.08</v>
      </c>
      <c r="J94" s="78">
        <v>13290.390000000001</v>
      </c>
      <c r="K94" s="78">
        <v>12834.380000000001</v>
      </c>
      <c r="L94" s="78">
        <v>12389.939999999999</v>
      </c>
      <c r="M94" s="78">
        <v>11921.75</v>
      </c>
      <c r="N94" s="78">
        <v>11466.07</v>
      </c>
      <c r="O94" s="78">
        <v>67523.66</v>
      </c>
      <c r="P94" s="79">
        <f t="shared" si="6"/>
        <v>144928.03</v>
      </c>
    </row>
    <row r="95" spans="1:76" ht="31.5" x14ac:dyDescent="0.25">
      <c r="A95" s="67" t="s">
        <v>764</v>
      </c>
      <c r="B95" s="77" t="s">
        <v>580</v>
      </c>
      <c r="C95" s="77" t="s">
        <v>1036</v>
      </c>
      <c r="D95" s="82" t="s">
        <v>892</v>
      </c>
      <c r="E95" s="82" t="s">
        <v>891</v>
      </c>
      <c r="F95" s="78">
        <v>134350</v>
      </c>
      <c r="G95" s="79">
        <v>134350</v>
      </c>
      <c r="H95" s="78">
        <f>6131.22+1849.93</f>
        <v>7981.1500000000005</v>
      </c>
      <c r="I95" s="78">
        <v>13171.539999999999</v>
      </c>
      <c r="J95" s="78">
        <v>18099.989999999998</v>
      </c>
      <c r="K95" s="78">
        <v>17478.95</v>
      </c>
      <c r="L95" s="78">
        <v>16873.650000000001</v>
      </c>
      <c r="M95" s="78">
        <v>16236.06</v>
      </c>
      <c r="N95" s="78">
        <v>15615.470000000001</v>
      </c>
      <c r="O95" s="78">
        <v>91959.47</v>
      </c>
      <c r="P95" s="79">
        <f t="shared" si="6"/>
        <v>197416.28</v>
      </c>
    </row>
    <row r="96" spans="1:76" x14ac:dyDescent="0.25">
      <c r="A96" s="67" t="s">
        <v>765</v>
      </c>
      <c r="B96" s="77" t="s">
        <v>580</v>
      </c>
      <c r="C96" s="77" t="s">
        <v>1037</v>
      </c>
      <c r="D96" s="82" t="s">
        <v>893</v>
      </c>
      <c r="E96" s="82" t="s">
        <v>894</v>
      </c>
      <c r="F96" s="78">
        <v>203159</v>
      </c>
      <c r="G96" s="79">
        <v>162528</v>
      </c>
      <c r="H96" s="78">
        <f>86598.45+1979.21</f>
        <v>88577.66</v>
      </c>
      <c r="I96" s="78">
        <v>84624.88</v>
      </c>
      <c r="J96" s="78">
        <v>134.57</v>
      </c>
      <c r="K96" s="78">
        <v>0</v>
      </c>
      <c r="L96" s="78">
        <v>0</v>
      </c>
      <c r="M96" s="78">
        <v>0</v>
      </c>
      <c r="N96" s="78">
        <v>0</v>
      </c>
      <c r="O96" s="78">
        <v>0</v>
      </c>
      <c r="P96" s="79">
        <f t="shared" si="6"/>
        <v>173337.11000000002</v>
      </c>
    </row>
    <row r="97" spans="1:76" ht="31.5" x14ac:dyDescent="0.25">
      <c r="A97" s="67" t="s">
        <v>768</v>
      </c>
      <c r="B97" s="77" t="s">
        <v>580</v>
      </c>
      <c r="C97" s="77" t="s">
        <v>923</v>
      </c>
      <c r="D97" s="82" t="s">
        <v>924</v>
      </c>
      <c r="E97" s="82" t="s">
        <v>587</v>
      </c>
      <c r="F97" s="78">
        <v>326549</v>
      </c>
      <c r="G97" s="79">
        <v>326549</v>
      </c>
      <c r="H97" s="78">
        <f>14502.71+4891.09</f>
        <v>19393.8</v>
      </c>
      <c r="I97" s="78">
        <v>18232.82</v>
      </c>
      <c r="J97" s="78">
        <v>29058.2</v>
      </c>
      <c r="K97" s="78">
        <v>32016.02</v>
      </c>
      <c r="L97" s="78">
        <v>31249.38</v>
      </c>
      <c r="M97" s="78">
        <v>30392.829999999998</v>
      </c>
      <c r="N97" s="78">
        <v>29582.32</v>
      </c>
      <c r="O97" s="78">
        <v>390293.99999999988</v>
      </c>
      <c r="P97" s="79">
        <f>SUM(H97:O97)</f>
        <v>580219.36999999988</v>
      </c>
    </row>
    <row r="98" spans="1:76" ht="31.5" x14ac:dyDescent="0.25">
      <c r="A98" s="67" t="s">
        <v>771</v>
      </c>
      <c r="B98" s="77" t="s">
        <v>580</v>
      </c>
      <c r="C98" s="77" t="s">
        <v>925</v>
      </c>
      <c r="D98" s="82" t="s">
        <v>924</v>
      </c>
      <c r="E98" s="82" t="s">
        <v>926</v>
      </c>
      <c r="F98" s="78">
        <v>470773</v>
      </c>
      <c r="G98" s="79">
        <v>453773.42</v>
      </c>
      <c r="H98" s="135">
        <f>19548.61+2983.73</f>
        <v>22532.34</v>
      </c>
      <c r="I98" s="135">
        <v>24531.25</v>
      </c>
      <c r="J98" s="135">
        <v>50754.710000000006</v>
      </c>
      <c r="K98" s="135">
        <v>49400.35</v>
      </c>
      <c r="L98" s="135">
        <v>48021.880000000005</v>
      </c>
      <c r="M98" s="135">
        <v>46528.630000000005</v>
      </c>
      <c r="N98" s="135">
        <v>45094.720000000001</v>
      </c>
      <c r="O98" s="135">
        <v>432415.86999999994</v>
      </c>
      <c r="P98" s="79">
        <f t="shared" si="6"/>
        <v>719279.75</v>
      </c>
    </row>
    <row r="99" spans="1:76" ht="31.5" x14ac:dyDescent="0.25">
      <c r="A99" s="67" t="s">
        <v>773</v>
      </c>
      <c r="B99" s="77" t="s">
        <v>580</v>
      </c>
      <c r="C99" s="77" t="s">
        <v>927</v>
      </c>
      <c r="D99" s="82" t="s">
        <v>928</v>
      </c>
      <c r="E99" s="82" t="s">
        <v>602</v>
      </c>
      <c r="F99" s="78">
        <v>59796</v>
      </c>
      <c r="G99" s="79">
        <v>59728.08</v>
      </c>
      <c r="H99" s="78">
        <f>2464.65+189.75</f>
        <v>2654.4</v>
      </c>
      <c r="I99" s="78">
        <v>3073.2999999999997</v>
      </c>
      <c r="J99" s="78">
        <v>7714.7000000000007</v>
      </c>
      <c r="K99" s="78">
        <v>7486.66</v>
      </c>
      <c r="L99" s="78">
        <v>7251.68</v>
      </c>
      <c r="M99" s="78">
        <v>7003.15</v>
      </c>
      <c r="N99" s="78">
        <v>6761.73</v>
      </c>
      <c r="O99" s="78">
        <v>44139.380000000005</v>
      </c>
      <c r="P99" s="79">
        <f>SUM(H99:O99)</f>
        <v>86085</v>
      </c>
    </row>
    <row r="100" spans="1:76" ht="63" x14ac:dyDescent="0.25">
      <c r="A100" s="67" t="s">
        <v>776</v>
      </c>
      <c r="B100" s="77" t="s">
        <v>580</v>
      </c>
      <c r="C100" s="77" t="s">
        <v>1040</v>
      </c>
      <c r="D100" s="82" t="s">
        <v>928</v>
      </c>
      <c r="E100" s="82" t="s">
        <v>602</v>
      </c>
      <c r="F100" s="78">
        <v>81508</v>
      </c>
      <c r="G100" s="79">
        <v>77189.990000000005</v>
      </c>
      <c r="H100" s="78">
        <f>3185.22+280.25</f>
        <v>3465.47</v>
      </c>
      <c r="I100" s="78">
        <v>3971.8</v>
      </c>
      <c r="J100" s="78">
        <v>10298.82</v>
      </c>
      <c r="K100" s="78">
        <v>9987.98</v>
      </c>
      <c r="L100" s="78">
        <v>9667.0400000000009</v>
      </c>
      <c r="M100" s="78">
        <v>9328.86</v>
      </c>
      <c r="N100" s="78">
        <v>8999.77</v>
      </c>
      <c r="O100" s="78">
        <v>54260.960000000014</v>
      </c>
      <c r="P100" s="79">
        <f>SUM(H100:O100)</f>
        <v>109980.70000000001</v>
      </c>
    </row>
    <row r="101" spans="1:76" ht="31.5" x14ac:dyDescent="0.25">
      <c r="A101" s="67" t="s">
        <v>779</v>
      </c>
      <c r="B101" s="77" t="s">
        <v>580</v>
      </c>
      <c r="C101" s="77" t="s">
        <v>956</v>
      </c>
      <c r="D101" s="82" t="s">
        <v>928</v>
      </c>
      <c r="E101" s="82" t="s">
        <v>602</v>
      </c>
      <c r="F101" s="78">
        <v>105102</v>
      </c>
      <c r="G101" s="79">
        <v>105102</v>
      </c>
      <c r="H101" s="78">
        <f>4336.99+1001.67</f>
        <v>5338.66</v>
      </c>
      <c r="I101" s="78">
        <v>5408</v>
      </c>
      <c r="J101" s="78">
        <v>13563.099999999999</v>
      </c>
      <c r="K101" s="78">
        <v>13162.439999999999</v>
      </c>
      <c r="L101" s="78">
        <v>12749.59</v>
      </c>
      <c r="M101" s="78">
        <v>12312.900000000001</v>
      </c>
      <c r="N101" s="78">
        <v>11888.7</v>
      </c>
      <c r="O101" s="78">
        <v>77776.210000000021</v>
      </c>
      <c r="P101" s="79">
        <f>SUM(H101:O101)</f>
        <v>152199.60000000003</v>
      </c>
    </row>
    <row r="102" spans="1:76" ht="31.5" x14ac:dyDescent="0.25">
      <c r="A102" s="67" t="s">
        <v>782</v>
      </c>
      <c r="B102" s="77" t="s">
        <v>580</v>
      </c>
      <c r="C102" s="77" t="s">
        <v>1041</v>
      </c>
      <c r="D102" s="82" t="s">
        <v>928</v>
      </c>
      <c r="E102" s="82" t="s">
        <v>602</v>
      </c>
      <c r="F102" s="78">
        <v>187597</v>
      </c>
      <c r="G102" s="79">
        <v>187597</v>
      </c>
      <c r="H102" s="78">
        <f>7741.12+1078.41</f>
        <v>8819.5300000000007</v>
      </c>
      <c r="I102" s="78">
        <v>9652.7800000000007</v>
      </c>
      <c r="J102" s="78">
        <v>24210.079999999998</v>
      </c>
      <c r="K102" s="78">
        <v>23494.880000000001</v>
      </c>
      <c r="L102" s="78">
        <v>22757.89</v>
      </c>
      <c r="M102" s="78">
        <v>21978.39</v>
      </c>
      <c r="N102" s="78">
        <v>21221.17</v>
      </c>
      <c r="O102" s="78">
        <v>138812.52000000002</v>
      </c>
      <c r="P102" s="79">
        <f>SUM(H102:O102)</f>
        <v>270947.24</v>
      </c>
    </row>
    <row r="103" spans="1:76" ht="31.5" x14ac:dyDescent="0.25">
      <c r="A103" s="67" t="s">
        <v>785</v>
      </c>
      <c r="B103" s="77" t="s">
        <v>580</v>
      </c>
      <c r="C103" s="77" t="s">
        <v>932</v>
      </c>
      <c r="D103" s="82" t="s">
        <v>928</v>
      </c>
      <c r="E103" s="82" t="s">
        <v>602</v>
      </c>
      <c r="F103" s="78">
        <v>304135</v>
      </c>
      <c r="G103" s="79">
        <v>65206.76</v>
      </c>
      <c r="H103" s="78">
        <v>11419</v>
      </c>
      <c r="I103" s="78">
        <v>16564</v>
      </c>
      <c r="J103" s="78">
        <v>34564</v>
      </c>
      <c r="K103" s="78">
        <v>39405</v>
      </c>
      <c r="L103" s="78">
        <v>38079</v>
      </c>
      <c r="M103" s="78">
        <v>36754</v>
      </c>
      <c r="N103" s="78">
        <v>35429</v>
      </c>
      <c r="O103" s="78">
        <v>229630</v>
      </c>
      <c r="P103" s="79">
        <f t="shared" si="6"/>
        <v>441844</v>
      </c>
    </row>
    <row r="104" spans="1:76" ht="31.5" x14ac:dyDescent="0.25">
      <c r="A104" s="67" t="s">
        <v>929</v>
      </c>
      <c r="B104" s="77" t="s">
        <v>580</v>
      </c>
      <c r="C104" s="77" t="s">
        <v>964</v>
      </c>
      <c r="D104" s="82" t="s">
        <v>957</v>
      </c>
      <c r="E104" s="82" t="s">
        <v>958</v>
      </c>
      <c r="F104" s="78">
        <v>176958</v>
      </c>
      <c r="G104" s="79">
        <v>87933.93</v>
      </c>
      <c r="H104" s="78">
        <v>8938</v>
      </c>
      <c r="I104" s="78">
        <v>10224</v>
      </c>
      <c r="J104" s="78">
        <v>17595</v>
      </c>
      <c r="K104" s="78">
        <v>19548</v>
      </c>
      <c r="L104" s="78">
        <v>18972</v>
      </c>
      <c r="M104" s="78">
        <v>18396</v>
      </c>
      <c r="N104" s="78">
        <v>17820</v>
      </c>
      <c r="O104" s="78">
        <v>179170</v>
      </c>
      <c r="P104" s="79">
        <f>SUM(H104:O104)</f>
        <v>290663</v>
      </c>
    </row>
    <row r="105" spans="1:76" ht="47.25" x14ac:dyDescent="0.25">
      <c r="A105" s="67" t="s">
        <v>930</v>
      </c>
      <c r="B105" s="77" t="s">
        <v>580</v>
      </c>
      <c r="C105" s="77" t="s">
        <v>965</v>
      </c>
      <c r="D105" s="82" t="s">
        <v>957</v>
      </c>
      <c r="E105" s="82" t="s">
        <v>802</v>
      </c>
      <c r="F105" s="78">
        <v>663880</v>
      </c>
      <c r="G105" s="79">
        <v>100624.08</v>
      </c>
      <c r="H105" s="78">
        <v>24011</v>
      </c>
      <c r="I105" s="78">
        <v>38140</v>
      </c>
      <c r="J105" s="78">
        <v>62658</v>
      </c>
      <c r="K105" s="78">
        <v>69118</v>
      </c>
      <c r="L105" s="78">
        <v>67159</v>
      </c>
      <c r="M105" s="78">
        <v>65201</v>
      </c>
      <c r="N105" s="78">
        <v>63242</v>
      </c>
      <c r="O105" s="78">
        <v>735194</v>
      </c>
      <c r="P105" s="79">
        <f t="shared" si="6"/>
        <v>1124723</v>
      </c>
    </row>
    <row r="106" spans="1:76" ht="63" x14ac:dyDescent="0.25">
      <c r="A106" s="67" t="s">
        <v>931</v>
      </c>
      <c r="B106" s="77" t="s">
        <v>580</v>
      </c>
      <c r="C106" s="77" t="s">
        <v>1048</v>
      </c>
      <c r="D106" s="82" t="s">
        <v>959</v>
      </c>
      <c r="E106" s="82" t="s">
        <v>960</v>
      </c>
      <c r="F106" s="78">
        <v>246022</v>
      </c>
      <c r="G106" s="79">
        <v>245400.82</v>
      </c>
      <c r="H106" s="78">
        <f>7938.03+143.77</f>
        <v>8081.8</v>
      </c>
      <c r="I106" s="78">
        <v>10574.39</v>
      </c>
      <c r="J106" s="78">
        <v>21177.760000000002</v>
      </c>
      <c r="K106" s="78">
        <v>20742.28</v>
      </c>
      <c r="L106" s="78">
        <v>20306.38</v>
      </c>
      <c r="M106" s="78">
        <v>19818.879999999997</v>
      </c>
      <c r="N106" s="78">
        <v>19357.82</v>
      </c>
      <c r="O106" s="78">
        <v>268984.49</v>
      </c>
      <c r="P106" s="79">
        <f t="shared" si="6"/>
        <v>389043.8</v>
      </c>
    </row>
    <row r="107" spans="1:76" x14ac:dyDescent="0.25">
      <c r="A107" s="227" t="s">
        <v>786</v>
      </c>
      <c r="B107" s="227"/>
      <c r="C107" s="227"/>
      <c r="D107" s="227"/>
      <c r="E107" s="227"/>
      <c r="F107" s="130">
        <f>SUM(F9:F106)</f>
        <v>64187285</v>
      </c>
      <c r="G107" s="130">
        <f>SUM(G9:G106)</f>
        <v>45156871.609999992</v>
      </c>
      <c r="H107" s="130">
        <f>SUM(H9:H106)</f>
        <v>4893560.2399999984</v>
      </c>
      <c r="I107" s="130">
        <f t="shared" ref="I107:P107" si="7">SUM(I9:I106)</f>
        <v>5459729.0099999998</v>
      </c>
      <c r="J107" s="130">
        <f t="shared" si="7"/>
        <v>5275805.4300000006</v>
      </c>
      <c r="K107" s="130">
        <f t="shared" si="7"/>
        <v>4936788.9300000006</v>
      </c>
      <c r="L107" s="130">
        <f t="shared" si="7"/>
        <v>4589168.2399999993</v>
      </c>
      <c r="M107" s="130">
        <f t="shared" si="7"/>
        <v>4163142.4099999997</v>
      </c>
      <c r="N107" s="130">
        <f t="shared" si="7"/>
        <v>3976708.0599999996</v>
      </c>
      <c r="O107" s="130">
        <f t="shared" si="7"/>
        <v>29162850.690000001</v>
      </c>
      <c r="P107" s="130">
        <f t="shared" si="7"/>
        <v>62457753.010000005</v>
      </c>
    </row>
    <row r="108" spans="1:76" x14ac:dyDescent="0.25">
      <c r="A108" s="228" t="s">
        <v>787</v>
      </c>
      <c r="B108" s="228"/>
      <c r="C108" s="228"/>
      <c r="D108" s="228"/>
      <c r="E108" s="228"/>
      <c r="F108" s="228"/>
      <c r="G108" s="228"/>
      <c r="H108" s="228"/>
      <c r="I108" s="228"/>
      <c r="J108" s="228"/>
      <c r="K108" s="228"/>
      <c r="L108" s="228"/>
      <c r="M108" s="228"/>
      <c r="N108" s="228"/>
      <c r="O108" s="228"/>
      <c r="P108" s="228"/>
    </row>
    <row r="109" spans="1:76" s="71" customFormat="1" ht="31.5" x14ac:dyDescent="0.25">
      <c r="A109" s="67" t="s">
        <v>579</v>
      </c>
      <c r="B109" s="68" t="s">
        <v>580</v>
      </c>
      <c r="C109" s="68" t="s">
        <v>788</v>
      </c>
      <c r="D109" s="67" t="s">
        <v>789</v>
      </c>
      <c r="E109" s="83" t="s">
        <v>790</v>
      </c>
      <c r="F109" s="84">
        <v>506490</v>
      </c>
      <c r="G109" s="85">
        <v>101287.87</v>
      </c>
      <c r="H109" s="86">
        <v>53775.72</v>
      </c>
      <c r="I109" s="86">
        <v>52517.490000000005</v>
      </c>
      <c r="J109" s="86">
        <v>124.01</v>
      </c>
      <c r="K109" s="86">
        <v>0</v>
      </c>
      <c r="L109" s="86">
        <v>0</v>
      </c>
      <c r="M109" s="86">
        <v>0</v>
      </c>
      <c r="N109" s="86">
        <v>0</v>
      </c>
      <c r="O109" s="86">
        <v>0</v>
      </c>
      <c r="P109" s="70">
        <f>SUM(H109:O109)</f>
        <v>106417.22</v>
      </c>
      <c r="Q109" s="62"/>
      <c r="R109" s="62"/>
      <c r="S109" s="62"/>
      <c r="T109" s="62"/>
      <c r="U109" s="62"/>
      <c r="V109" s="62"/>
      <c r="W109" s="62"/>
      <c r="X109" s="62"/>
      <c r="Y109" s="62"/>
      <c r="Z109" s="62"/>
      <c r="AA109" s="62"/>
      <c r="AB109" s="62"/>
      <c r="AC109" s="62"/>
      <c r="AD109" s="62"/>
      <c r="AE109" s="62"/>
      <c r="AF109" s="62"/>
      <c r="AG109" s="62"/>
      <c r="AH109" s="62"/>
      <c r="AI109" s="62"/>
      <c r="AJ109" s="62"/>
      <c r="AK109" s="62"/>
      <c r="AL109" s="62"/>
      <c r="AM109" s="62"/>
      <c r="AN109" s="62"/>
      <c r="AO109" s="62"/>
      <c r="AP109" s="62"/>
      <c r="AQ109" s="62"/>
      <c r="AR109" s="62"/>
      <c r="AS109" s="62"/>
      <c r="AT109" s="62"/>
      <c r="AU109" s="62"/>
      <c r="AV109" s="62"/>
      <c r="AW109" s="62"/>
      <c r="AX109" s="62"/>
      <c r="AY109" s="62"/>
      <c r="AZ109" s="62"/>
      <c r="BA109" s="62"/>
      <c r="BB109" s="62"/>
      <c r="BC109" s="62"/>
      <c r="BD109" s="62"/>
      <c r="BE109" s="62"/>
      <c r="BF109" s="62"/>
      <c r="BG109" s="62"/>
      <c r="BH109" s="62"/>
      <c r="BI109" s="62"/>
      <c r="BJ109" s="62"/>
      <c r="BK109" s="62"/>
      <c r="BL109" s="62"/>
      <c r="BM109" s="62"/>
      <c r="BN109" s="62"/>
      <c r="BO109" s="62"/>
      <c r="BP109" s="62"/>
      <c r="BQ109" s="62"/>
      <c r="BR109" s="62"/>
      <c r="BS109" s="62"/>
      <c r="BT109" s="62"/>
      <c r="BU109" s="62"/>
      <c r="BV109" s="62"/>
      <c r="BW109" s="62"/>
      <c r="BX109" s="62"/>
    </row>
    <row r="110" spans="1:76" s="71" customFormat="1" ht="47.25" x14ac:dyDescent="0.25">
      <c r="A110" s="67" t="s">
        <v>581</v>
      </c>
      <c r="B110" s="68" t="s">
        <v>580</v>
      </c>
      <c r="C110" s="68" t="s">
        <v>1042</v>
      </c>
      <c r="D110" s="67" t="s">
        <v>791</v>
      </c>
      <c r="E110" s="83" t="s">
        <v>792</v>
      </c>
      <c r="F110" s="84">
        <v>249000</v>
      </c>
      <c r="G110" s="85">
        <v>66258</v>
      </c>
      <c r="H110" s="86">
        <v>16831.239999999998</v>
      </c>
      <c r="I110" s="86">
        <v>16964.809999999998</v>
      </c>
      <c r="J110" s="86">
        <v>16296.18</v>
      </c>
      <c r="K110" s="86">
        <v>15625.75</v>
      </c>
      <c r="L110" s="86">
        <v>7597.88</v>
      </c>
      <c r="M110" s="86">
        <v>0</v>
      </c>
      <c r="N110" s="86">
        <v>0</v>
      </c>
      <c r="O110" s="69">
        <v>0</v>
      </c>
      <c r="P110" s="70">
        <f>SUM(H110:O110)</f>
        <v>73315.86</v>
      </c>
      <c r="Q110" s="62"/>
      <c r="R110" s="62"/>
      <c r="S110" s="62"/>
      <c r="T110" s="62"/>
      <c r="U110" s="62"/>
      <c r="V110" s="62"/>
      <c r="W110" s="62"/>
      <c r="X110" s="62"/>
      <c r="Y110" s="62"/>
      <c r="Z110" s="62"/>
      <c r="AA110" s="62"/>
      <c r="AB110" s="62"/>
      <c r="AC110" s="62"/>
      <c r="AD110" s="62"/>
      <c r="AE110" s="62"/>
      <c r="AF110" s="62"/>
      <c r="AG110" s="62"/>
      <c r="AH110" s="62"/>
      <c r="AI110" s="62"/>
      <c r="AJ110" s="62"/>
      <c r="AK110" s="62"/>
      <c r="AL110" s="62"/>
      <c r="AM110" s="62"/>
      <c r="AN110" s="62"/>
      <c r="AO110" s="62"/>
      <c r="AP110" s="62"/>
      <c r="AQ110" s="62"/>
      <c r="AR110" s="62"/>
      <c r="AS110" s="62"/>
      <c r="AT110" s="62"/>
      <c r="AU110" s="62"/>
      <c r="AV110" s="62"/>
      <c r="AW110" s="62"/>
      <c r="AX110" s="62"/>
      <c r="AY110" s="62"/>
      <c r="AZ110" s="62"/>
      <c r="BA110" s="62"/>
      <c r="BB110" s="62"/>
      <c r="BC110" s="62"/>
      <c r="BD110" s="62"/>
      <c r="BE110" s="62"/>
      <c r="BF110" s="62"/>
      <c r="BG110" s="62"/>
      <c r="BH110" s="62"/>
      <c r="BI110" s="62"/>
      <c r="BJ110" s="62"/>
      <c r="BK110" s="62"/>
      <c r="BL110" s="62"/>
      <c r="BM110" s="62"/>
      <c r="BN110" s="62"/>
      <c r="BO110" s="62"/>
      <c r="BP110" s="62"/>
      <c r="BQ110" s="62"/>
      <c r="BR110" s="62"/>
      <c r="BS110" s="62"/>
      <c r="BT110" s="62"/>
      <c r="BU110" s="62"/>
      <c r="BV110" s="62"/>
      <c r="BW110" s="62"/>
      <c r="BX110" s="62"/>
    </row>
    <row r="111" spans="1:76" s="71" customFormat="1" ht="135" customHeight="1" x14ac:dyDescent="0.25">
      <c r="A111" s="67" t="s">
        <v>582</v>
      </c>
      <c r="B111" s="68" t="s">
        <v>580</v>
      </c>
      <c r="C111" s="68" t="s">
        <v>1043</v>
      </c>
      <c r="D111" s="67" t="s">
        <v>793</v>
      </c>
      <c r="E111" s="83" t="s">
        <v>794</v>
      </c>
      <c r="F111" s="84">
        <v>67400</v>
      </c>
      <c r="G111" s="85">
        <v>49194</v>
      </c>
      <c r="H111" s="86">
        <v>8987.7199999999993</v>
      </c>
      <c r="I111" s="86">
        <v>9247.4700000000012</v>
      </c>
      <c r="J111" s="86">
        <v>8897.9500000000007</v>
      </c>
      <c r="K111" s="86">
        <v>8547.4700000000012</v>
      </c>
      <c r="L111" s="86">
        <v>8198.89</v>
      </c>
      <c r="M111" s="86">
        <v>7845.9900000000007</v>
      </c>
      <c r="N111" s="86">
        <v>5659.3700000000008</v>
      </c>
      <c r="O111" s="69">
        <v>0</v>
      </c>
      <c r="P111" s="70">
        <f t="shared" ref="P111:P119" si="8">SUM(H111:O111)</f>
        <v>57384.86</v>
      </c>
      <c r="Q111" s="62"/>
      <c r="R111" s="62"/>
      <c r="S111" s="62"/>
      <c r="T111" s="62"/>
      <c r="U111" s="62"/>
      <c r="V111" s="62"/>
      <c r="W111" s="62"/>
      <c r="X111" s="62"/>
      <c r="Y111" s="62"/>
      <c r="Z111" s="62"/>
      <c r="AA111" s="62"/>
      <c r="AB111" s="62"/>
      <c r="AC111" s="62"/>
      <c r="AD111" s="62"/>
      <c r="AE111" s="62"/>
      <c r="AF111" s="62"/>
      <c r="AG111" s="62"/>
      <c r="AH111" s="62"/>
      <c r="AI111" s="62"/>
      <c r="AJ111" s="62"/>
      <c r="AK111" s="62"/>
      <c r="AL111" s="62"/>
      <c r="AM111" s="62"/>
      <c r="AN111" s="62"/>
      <c r="AO111" s="62"/>
      <c r="AP111" s="62"/>
      <c r="AQ111" s="62"/>
      <c r="AR111" s="62"/>
      <c r="AS111" s="62"/>
      <c r="AT111" s="62"/>
      <c r="AU111" s="62"/>
      <c r="AV111" s="62"/>
      <c r="AW111" s="62"/>
      <c r="AX111" s="62"/>
      <c r="AY111" s="62"/>
      <c r="AZ111" s="62"/>
      <c r="BA111" s="62"/>
      <c r="BB111" s="62"/>
      <c r="BC111" s="62"/>
      <c r="BD111" s="62"/>
      <c r="BE111" s="62"/>
      <c r="BF111" s="62"/>
      <c r="BG111" s="62"/>
      <c r="BH111" s="62"/>
      <c r="BI111" s="62"/>
      <c r="BJ111" s="62"/>
      <c r="BK111" s="62"/>
      <c r="BL111" s="62"/>
      <c r="BM111" s="62"/>
      <c r="BN111" s="62"/>
      <c r="BO111" s="62"/>
      <c r="BP111" s="62"/>
      <c r="BQ111" s="62"/>
      <c r="BR111" s="62"/>
      <c r="BS111" s="62"/>
      <c r="BT111" s="62"/>
      <c r="BU111" s="62"/>
      <c r="BV111" s="62"/>
      <c r="BW111" s="62"/>
      <c r="BX111" s="62"/>
    </row>
    <row r="112" spans="1:76" s="71" customFormat="1" ht="47.25" x14ac:dyDescent="0.25">
      <c r="A112" s="67" t="s">
        <v>585</v>
      </c>
      <c r="B112" s="68" t="s">
        <v>580</v>
      </c>
      <c r="C112" s="68" t="s">
        <v>1049</v>
      </c>
      <c r="D112" s="67" t="s">
        <v>793</v>
      </c>
      <c r="E112" s="83" t="s">
        <v>794</v>
      </c>
      <c r="F112" s="84">
        <v>69210</v>
      </c>
      <c r="G112" s="85">
        <v>50517</v>
      </c>
      <c r="H112" s="86">
        <v>9229.44</v>
      </c>
      <c r="I112" s="86">
        <v>9496.18</v>
      </c>
      <c r="J112" s="86">
        <v>9137.25</v>
      </c>
      <c r="K112" s="86">
        <v>8777.34</v>
      </c>
      <c r="L112" s="86">
        <v>8419.39</v>
      </c>
      <c r="M112" s="86">
        <v>8057.0099999999993</v>
      </c>
      <c r="N112" s="86">
        <v>5811.56</v>
      </c>
      <c r="O112" s="69">
        <v>0</v>
      </c>
      <c r="P112" s="70">
        <f t="shared" si="8"/>
        <v>58928.170000000006</v>
      </c>
      <c r="Q112" s="62"/>
      <c r="R112" s="62"/>
      <c r="S112" s="62"/>
      <c r="T112" s="62"/>
      <c r="U112" s="62"/>
      <c r="V112" s="62"/>
      <c r="W112" s="62"/>
      <c r="X112" s="62"/>
      <c r="Y112" s="62"/>
      <c r="Z112" s="62"/>
      <c r="AA112" s="62"/>
      <c r="AB112" s="62"/>
      <c r="AC112" s="62"/>
      <c r="AD112" s="62"/>
      <c r="AE112" s="62"/>
      <c r="AF112" s="62"/>
      <c r="AG112" s="62"/>
      <c r="AH112" s="62"/>
      <c r="AI112" s="62"/>
      <c r="AJ112" s="62"/>
      <c r="AK112" s="62"/>
      <c r="AL112" s="62"/>
      <c r="AM112" s="62"/>
      <c r="AN112" s="62"/>
      <c r="AO112" s="62"/>
      <c r="AP112" s="62"/>
      <c r="AQ112" s="62"/>
      <c r="AR112" s="62"/>
      <c r="AS112" s="62"/>
      <c r="AT112" s="62"/>
      <c r="AU112" s="62"/>
      <c r="AV112" s="62"/>
      <c r="AW112" s="62"/>
      <c r="AX112" s="62"/>
      <c r="AY112" s="62"/>
      <c r="AZ112" s="62"/>
      <c r="BA112" s="62"/>
      <c r="BB112" s="62"/>
      <c r="BC112" s="62"/>
      <c r="BD112" s="62"/>
      <c r="BE112" s="62"/>
      <c r="BF112" s="62"/>
      <c r="BG112" s="62"/>
      <c r="BH112" s="62"/>
      <c r="BI112" s="62"/>
      <c r="BJ112" s="62"/>
      <c r="BK112" s="62"/>
      <c r="BL112" s="62"/>
      <c r="BM112" s="62"/>
      <c r="BN112" s="62"/>
      <c r="BO112" s="62"/>
      <c r="BP112" s="62"/>
      <c r="BQ112" s="62"/>
      <c r="BR112" s="62"/>
      <c r="BS112" s="62"/>
      <c r="BT112" s="62"/>
      <c r="BU112" s="62"/>
      <c r="BV112" s="62"/>
      <c r="BW112" s="62"/>
      <c r="BX112" s="62"/>
    </row>
    <row r="113" spans="1:116" s="71" customFormat="1" ht="31.5" x14ac:dyDescent="0.25">
      <c r="A113" s="67" t="s">
        <v>588</v>
      </c>
      <c r="B113" s="68" t="s">
        <v>580</v>
      </c>
      <c r="C113" s="68" t="s">
        <v>961</v>
      </c>
      <c r="D113" s="67" t="s">
        <v>795</v>
      </c>
      <c r="E113" s="83" t="s">
        <v>796</v>
      </c>
      <c r="F113" s="84">
        <v>373233</v>
      </c>
      <c r="G113" s="85">
        <v>325622</v>
      </c>
      <c r="H113" s="86">
        <f>26328.02+2589.38</f>
        <v>28917.4</v>
      </c>
      <c r="I113" s="86">
        <v>29119.32</v>
      </c>
      <c r="J113" s="86">
        <v>28399.31</v>
      </c>
      <c r="K113" s="86">
        <v>27677.35</v>
      </c>
      <c r="L113" s="86">
        <v>26984.51</v>
      </c>
      <c r="M113" s="86">
        <v>26232.390000000003</v>
      </c>
      <c r="N113" s="86">
        <v>25510.909999999996</v>
      </c>
      <c r="O113" s="69">
        <v>258107.21</v>
      </c>
      <c r="P113" s="70">
        <f t="shared" si="8"/>
        <v>450948.4</v>
      </c>
      <c r="Q113" s="62"/>
      <c r="R113" s="62"/>
      <c r="S113" s="62"/>
      <c r="T113" s="62"/>
      <c r="U113" s="62"/>
      <c r="V113" s="62"/>
      <c r="W113" s="62"/>
      <c r="X113" s="62"/>
      <c r="Y113" s="62"/>
      <c r="Z113" s="62"/>
      <c r="AA113" s="62"/>
      <c r="AB113" s="62"/>
      <c r="AC113" s="62"/>
      <c r="AD113" s="62"/>
      <c r="AE113" s="62"/>
      <c r="AF113" s="62"/>
      <c r="AG113" s="62"/>
      <c r="AH113" s="62"/>
      <c r="AI113" s="62"/>
      <c r="AJ113" s="62"/>
      <c r="AK113" s="62"/>
      <c r="AL113" s="62"/>
      <c r="AM113" s="62"/>
      <c r="AN113" s="62"/>
      <c r="AO113" s="62"/>
      <c r="AP113" s="62"/>
      <c r="AQ113" s="62"/>
      <c r="AR113" s="62"/>
      <c r="AS113" s="62"/>
      <c r="AT113" s="62"/>
      <c r="AU113" s="62"/>
      <c r="AV113" s="62"/>
      <c r="AW113" s="62"/>
      <c r="AX113" s="62"/>
      <c r="AY113" s="62"/>
      <c r="AZ113" s="62"/>
      <c r="BA113" s="62"/>
      <c r="BB113" s="62"/>
      <c r="BC113" s="62"/>
      <c r="BD113" s="62"/>
      <c r="BE113" s="62"/>
      <c r="BF113" s="62"/>
      <c r="BG113" s="62"/>
      <c r="BH113" s="62"/>
      <c r="BI113" s="62"/>
      <c r="BJ113" s="62"/>
      <c r="BK113" s="62"/>
      <c r="BL113" s="62"/>
      <c r="BM113" s="62"/>
      <c r="BN113" s="62"/>
      <c r="BO113" s="62"/>
      <c r="BP113" s="62"/>
      <c r="BQ113" s="62"/>
      <c r="BR113" s="62"/>
      <c r="BS113" s="62"/>
      <c r="BT113" s="62"/>
      <c r="BU113" s="62"/>
      <c r="BV113" s="62"/>
      <c r="BW113" s="62"/>
      <c r="BX113" s="62"/>
    </row>
    <row r="114" spans="1:116" s="71" customFormat="1" ht="31.5" x14ac:dyDescent="0.25">
      <c r="A114" s="67" t="s">
        <v>590</v>
      </c>
      <c r="B114" s="68" t="s">
        <v>580</v>
      </c>
      <c r="C114" s="68" t="s">
        <v>962</v>
      </c>
      <c r="D114" s="67" t="s">
        <v>797</v>
      </c>
      <c r="E114" s="83" t="s">
        <v>798</v>
      </c>
      <c r="F114" s="84">
        <v>272598</v>
      </c>
      <c r="G114" s="85">
        <v>239252</v>
      </c>
      <c r="H114" s="86">
        <f>18759.34+3494.1</f>
        <v>22253.439999999999</v>
      </c>
      <c r="I114" s="86">
        <v>20905.84</v>
      </c>
      <c r="J114" s="86">
        <v>20401.43</v>
      </c>
      <c r="K114" s="86">
        <v>19895.62</v>
      </c>
      <c r="L114" s="86">
        <v>19411.62</v>
      </c>
      <c r="M114" s="86">
        <v>18883.339999999997</v>
      </c>
      <c r="N114" s="86">
        <v>18377.88</v>
      </c>
      <c r="O114" s="69">
        <v>198702.86</v>
      </c>
      <c r="P114" s="70">
        <f t="shared" si="8"/>
        <v>338832.02999999997</v>
      </c>
      <c r="Q114" s="62"/>
      <c r="R114" s="62"/>
      <c r="S114" s="62"/>
      <c r="T114" s="62"/>
      <c r="U114" s="62"/>
      <c r="V114" s="62"/>
      <c r="W114" s="62"/>
      <c r="X114" s="62"/>
      <c r="Y114" s="62"/>
      <c r="Z114" s="62"/>
      <c r="AA114" s="62"/>
      <c r="AB114" s="62"/>
      <c r="AC114" s="62"/>
      <c r="AD114" s="62"/>
      <c r="AE114" s="62"/>
      <c r="AF114" s="62"/>
      <c r="AG114" s="62"/>
      <c r="AH114" s="62"/>
      <c r="AI114" s="62"/>
      <c r="AJ114" s="62"/>
      <c r="AK114" s="62"/>
      <c r="AL114" s="62"/>
      <c r="AM114" s="62"/>
      <c r="AN114" s="62"/>
      <c r="AO114" s="62"/>
      <c r="AP114" s="62"/>
      <c r="AQ114" s="62"/>
      <c r="AR114" s="62"/>
      <c r="AS114" s="62"/>
      <c r="AT114" s="62"/>
      <c r="AU114" s="62"/>
      <c r="AV114" s="62"/>
      <c r="AW114" s="62"/>
      <c r="AX114" s="62"/>
      <c r="AY114" s="62"/>
      <c r="AZ114" s="62"/>
      <c r="BA114" s="62"/>
      <c r="BB114" s="62"/>
      <c r="BC114" s="62"/>
      <c r="BD114" s="62"/>
      <c r="BE114" s="62"/>
      <c r="BF114" s="62"/>
      <c r="BG114" s="62"/>
      <c r="BH114" s="62"/>
      <c r="BI114" s="62"/>
      <c r="BJ114" s="62"/>
      <c r="BK114" s="62"/>
      <c r="BL114" s="62"/>
      <c r="BM114" s="62"/>
      <c r="BN114" s="62"/>
      <c r="BO114" s="62"/>
      <c r="BP114" s="62"/>
      <c r="BQ114" s="62"/>
      <c r="BR114" s="62"/>
      <c r="BS114" s="62"/>
      <c r="BT114" s="62"/>
      <c r="BU114" s="62"/>
      <c r="BV114" s="62"/>
      <c r="BW114" s="62"/>
      <c r="BX114" s="62"/>
    </row>
    <row r="115" spans="1:116" s="71" customFormat="1" ht="31.5" x14ac:dyDescent="0.25">
      <c r="A115" s="67" t="s">
        <v>591</v>
      </c>
      <c r="B115" s="68" t="s">
        <v>580</v>
      </c>
      <c r="C115" s="68" t="s">
        <v>963</v>
      </c>
      <c r="D115" s="67" t="s">
        <v>799</v>
      </c>
      <c r="E115" s="83" t="s">
        <v>800</v>
      </c>
      <c r="F115" s="84">
        <v>150209</v>
      </c>
      <c r="G115" s="85">
        <v>102000</v>
      </c>
      <c r="H115" s="86">
        <f>9379.75+1174.2</f>
        <v>10553.95</v>
      </c>
      <c r="I115" s="86">
        <v>9835.2300000000014</v>
      </c>
      <c r="J115" s="86">
        <v>9577.4</v>
      </c>
      <c r="K115" s="86">
        <v>9318.86</v>
      </c>
      <c r="L115" s="86">
        <v>9068.2800000000007</v>
      </c>
      <c r="M115" s="86">
        <v>8801.44</v>
      </c>
      <c r="N115" s="86">
        <v>8543.07</v>
      </c>
      <c r="O115" s="69">
        <v>65287.689999999995</v>
      </c>
      <c r="P115" s="70">
        <f t="shared" si="8"/>
        <v>130985.92000000001</v>
      </c>
      <c r="Q115" s="62"/>
      <c r="R115" s="62"/>
      <c r="S115" s="62"/>
      <c r="T115" s="62"/>
      <c r="U115" s="62"/>
      <c r="V115" s="62"/>
      <c r="W115" s="62"/>
      <c r="X115" s="62"/>
      <c r="Y115" s="62"/>
      <c r="Z115" s="62"/>
      <c r="AA115" s="62"/>
      <c r="AB115" s="62"/>
      <c r="AC115" s="62"/>
      <c r="AD115" s="62"/>
      <c r="AE115" s="62"/>
      <c r="AF115" s="62"/>
      <c r="AG115" s="62"/>
      <c r="AH115" s="62"/>
      <c r="AI115" s="62"/>
      <c r="AJ115" s="62"/>
      <c r="AK115" s="62"/>
      <c r="AL115" s="62"/>
      <c r="AM115" s="62"/>
      <c r="AN115" s="62"/>
      <c r="AO115" s="62"/>
      <c r="AP115" s="62"/>
      <c r="AQ115" s="62"/>
      <c r="AR115" s="62"/>
      <c r="AS115" s="62"/>
      <c r="AT115" s="62"/>
      <c r="AU115" s="62"/>
      <c r="AV115" s="62"/>
      <c r="AW115" s="62"/>
      <c r="AX115" s="62"/>
      <c r="AY115" s="62"/>
      <c r="AZ115" s="62"/>
      <c r="BA115" s="62"/>
      <c r="BB115" s="62"/>
      <c r="BC115" s="62"/>
      <c r="BD115" s="62"/>
      <c r="BE115" s="62"/>
      <c r="BF115" s="62"/>
      <c r="BG115" s="62"/>
      <c r="BH115" s="62"/>
      <c r="BI115" s="62"/>
      <c r="BJ115" s="62"/>
      <c r="BK115" s="62"/>
      <c r="BL115" s="62"/>
      <c r="BM115" s="62"/>
      <c r="BN115" s="62"/>
      <c r="BO115" s="62"/>
      <c r="BP115" s="62"/>
      <c r="BQ115" s="62"/>
      <c r="BR115" s="62"/>
      <c r="BS115" s="62"/>
      <c r="BT115" s="62"/>
      <c r="BU115" s="62"/>
      <c r="BV115" s="62"/>
      <c r="BW115" s="62"/>
      <c r="BX115" s="62"/>
    </row>
    <row r="116" spans="1:116" s="71" customFormat="1" x14ac:dyDescent="0.25">
      <c r="A116" s="67" t="s">
        <v>592</v>
      </c>
      <c r="B116" s="68" t="s">
        <v>580</v>
      </c>
      <c r="C116" s="131" t="s">
        <v>897</v>
      </c>
      <c r="D116" s="67" t="s">
        <v>805</v>
      </c>
      <c r="E116" s="83" t="s">
        <v>806</v>
      </c>
      <c r="F116" s="84">
        <v>422549</v>
      </c>
      <c r="G116" s="85">
        <v>222768</v>
      </c>
      <c r="H116" s="86">
        <f>18381.27+2227.61</f>
        <v>20608.88</v>
      </c>
      <c r="I116" s="86">
        <v>19803.839999999997</v>
      </c>
      <c r="J116" s="86">
        <v>19216.73</v>
      </c>
      <c r="K116" s="86">
        <v>18759.629999999997</v>
      </c>
      <c r="L116" s="86">
        <v>18322.89</v>
      </c>
      <c r="M116" s="86">
        <v>17844.84</v>
      </c>
      <c r="N116" s="86">
        <v>17388.04</v>
      </c>
      <c r="O116" s="69">
        <v>195539.93000000008</v>
      </c>
      <c r="P116" s="70">
        <f>SUM(H116:O116)</f>
        <v>327484.78000000003</v>
      </c>
      <c r="Q116" s="62"/>
      <c r="R116" s="62"/>
      <c r="S116" s="62"/>
      <c r="T116" s="62"/>
      <c r="U116" s="62"/>
      <c r="V116" s="62"/>
      <c r="W116" s="62"/>
      <c r="X116" s="62"/>
      <c r="Y116" s="62"/>
      <c r="Z116" s="62"/>
      <c r="AA116" s="62"/>
      <c r="AB116" s="62"/>
      <c r="AC116" s="62"/>
      <c r="AD116" s="62"/>
      <c r="AE116" s="62"/>
      <c r="AF116" s="62"/>
      <c r="AG116" s="62"/>
      <c r="AH116" s="62"/>
      <c r="AI116" s="62"/>
      <c r="AJ116" s="62"/>
      <c r="AK116" s="62"/>
      <c r="AL116" s="62"/>
      <c r="AM116" s="62"/>
      <c r="AN116" s="62"/>
      <c r="AO116" s="62"/>
      <c r="AP116" s="62"/>
      <c r="AQ116" s="62"/>
      <c r="AR116" s="62"/>
      <c r="AS116" s="62"/>
      <c r="AT116" s="62"/>
      <c r="AU116" s="62"/>
      <c r="AV116" s="62"/>
      <c r="AW116" s="62"/>
      <c r="AX116" s="62"/>
      <c r="AY116" s="62"/>
      <c r="AZ116" s="62"/>
      <c r="BA116" s="62"/>
      <c r="BB116" s="62"/>
      <c r="BC116" s="62"/>
      <c r="BD116" s="62"/>
      <c r="BE116" s="62"/>
      <c r="BF116" s="62"/>
      <c r="BG116" s="62"/>
      <c r="BH116" s="62"/>
      <c r="BI116" s="62"/>
      <c r="BJ116" s="62"/>
      <c r="BK116" s="62"/>
      <c r="BL116" s="62"/>
      <c r="BM116" s="62"/>
      <c r="BN116" s="62"/>
      <c r="BO116" s="62"/>
      <c r="BP116" s="62"/>
      <c r="BQ116" s="62"/>
      <c r="BR116" s="62"/>
      <c r="BS116" s="62"/>
      <c r="BT116" s="62"/>
      <c r="BU116" s="62"/>
      <c r="BV116" s="62"/>
      <c r="BW116" s="62"/>
      <c r="BX116" s="62"/>
    </row>
    <row r="117" spans="1:116" s="71" customFormat="1" x14ac:dyDescent="0.25">
      <c r="A117" s="67" t="s">
        <v>593</v>
      </c>
      <c r="B117" s="68" t="s">
        <v>580</v>
      </c>
      <c r="C117" s="131" t="s">
        <v>896</v>
      </c>
      <c r="D117" s="67" t="s">
        <v>803</v>
      </c>
      <c r="E117" s="83" t="s">
        <v>804</v>
      </c>
      <c r="F117" s="84">
        <v>387000</v>
      </c>
      <c r="G117" s="85">
        <v>294203</v>
      </c>
      <c r="H117" s="86">
        <f>23073.71+3497.63</f>
        <v>26571.34</v>
      </c>
      <c r="I117" s="86">
        <v>24956.93</v>
      </c>
      <c r="J117" s="86">
        <v>24401.199999999997</v>
      </c>
      <c r="K117" s="86">
        <v>23844</v>
      </c>
      <c r="L117" s="86">
        <v>23314.190000000002</v>
      </c>
      <c r="M117" s="86">
        <v>22728.75</v>
      </c>
      <c r="N117" s="86">
        <v>22171.909999999996</v>
      </c>
      <c r="O117" s="69">
        <v>275850.26</v>
      </c>
      <c r="P117" s="70">
        <f>SUM(H117:O117)</f>
        <v>443838.58</v>
      </c>
      <c r="Q117" s="62"/>
      <c r="R117" s="62"/>
      <c r="S117" s="62"/>
      <c r="T117" s="62"/>
      <c r="U117" s="62"/>
      <c r="V117" s="62"/>
      <c r="W117" s="62"/>
      <c r="X117" s="62"/>
      <c r="Y117" s="62"/>
      <c r="Z117" s="62"/>
      <c r="AA117" s="62"/>
      <c r="AB117" s="62"/>
      <c r="AC117" s="62"/>
      <c r="AD117" s="62"/>
      <c r="AE117" s="62"/>
      <c r="AF117" s="62"/>
      <c r="AG117" s="62"/>
      <c r="AH117" s="62"/>
      <c r="AI117" s="62"/>
      <c r="AJ117" s="62"/>
      <c r="AK117" s="62"/>
      <c r="AL117" s="62"/>
      <c r="AM117" s="62"/>
      <c r="AN117" s="62"/>
      <c r="AO117" s="62"/>
      <c r="AP117" s="62"/>
      <c r="AQ117" s="62"/>
      <c r="AR117" s="62"/>
      <c r="AS117" s="62"/>
      <c r="AT117" s="62"/>
      <c r="AU117" s="62"/>
      <c r="AV117" s="62"/>
      <c r="AW117" s="62"/>
      <c r="AX117" s="62"/>
      <c r="AY117" s="62"/>
      <c r="AZ117" s="62"/>
      <c r="BA117" s="62"/>
      <c r="BB117" s="62"/>
      <c r="BC117" s="62"/>
      <c r="BD117" s="62"/>
      <c r="BE117" s="62"/>
      <c r="BF117" s="62"/>
      <c r="BG117" s="62"/>
      <c r="BH117" s="62"/>
      <c r="BI117" s="62"/>
      <c r="BJ117" s="62"/>
      <c r="BK117" s="62"/>
      <c r="BL117" s="62"/>
      <c r="BM117" s="62"/>
      <c r="BN117" s="62"/>
      <c r="BO117" s="62"/>
      <c r="BP117" s="62"/>
      <c r="BQ117" s="62"/>
      <c r="BR117" s="62"/>
      <c r="BS117" s="62"/>
      <c r="BT117" s="62"/>
      <c r="BU117" s="62"/>
      <c r="BV117" s="62"/>
      <c r="BW117" s="62"/>
      <c r="BX117" s="62"/>
    </row>
    <row r="118" spans="1:116" s="71" customFormat="1" x14ac:dyDescent="0.25">
      <c r="A118" s="67" t="s">
        <v>594</v>
      </c>
      <c r="B118" s="68" t="s">
        <v>580</v>
      </c>
      <c r="C118" s="131" t="s">
        <v>895</v>
      </c>
      <c r="D118" s="67" t="s">
        <v>801</v>
      </c>
      <c r="E118" s="83" t="s">
        <v>802</v>
      </c>
      <c r="F118" s="84">
        <v>554574</v>
      </c>
      <c r="G118" s="85">
        <v>490800</v>
      </c>
      <c r="H118" s="86">
        <f>36839.58+5112.19</f>
        <v>41951.770000000004</v>
      </c>
      <c r="I118" s="86">
        <v>40039.619999999995</v>
      </c>
      <c r="J118" s="86">
        <v>38945.39</v>
      </c>
      <c r="K118" s="86">
        <v>38099.449999999997</v>
      </c>
      <c r="L118" s="86">
        <v>37300.42</v>
      </c>
      <c r="M118" s="86">
        <v>36406.44</v>
      </c>
      <c r="N118" s="86">
        <v>35561.100000000006</v>
      </c>
      <c r="O118" s="69">
        <v>495696.13000000012</v>
      </c>
      <c r="P118" s="70">
        <f t="shared" si="8"/>
        <v>764000.32000000007</v>
      </c>
      <c r="Q118" s="62"/>
      <c r="R118" s="62"/>
      <c r="S118" s="62"/>
      <c r="T118" s="62"/>
      <c r="U118" s="62"/>
      <c r="V118" s="62"/>
      <c r="W118" s="62"/>
      <c r="X118" s="62"/>
      <c r="Y118" s="62"/>
      <c r="Z118" s="62"/>
      <c r="AA118" s="62"/>
      <c r="AB118" s="62"/>
      <c r="AC118" s="62"/>
      <c r="AD118" s="62"/>
      <c r="AE118" s="62"/>
      <c r="AF118" s="62"/>
      <c r="AG118" s="62"/>
      <c r="AH118" s="62"/>
      <c r="AI118" s="62"/>
      <c r="AJ118" s="62"/>
      <c r="AK118" s="62"/>
      <c r="AL118" s="62"/>
      <c r="AM118" s="62"/>
      <c r="AN118" s="62"/>
      <c r="AO118" s="62"/>
      <c r="AP118" s="62"/>
      <c r="AQ118" s="62"/>
      <c r="AR118" s="62"/>
      <c r="AS118" s="62"/>
      <c r="AT118" s="62"/>
      <c r="AU118" s="62"/>
      <c r="AV118" s="62"/>
      <c r="AW118" s="62"/>
      <c r="AX118" s="62"/>
      <c r="AY118" s="62"/>
      <c r="AZ118" s="62"/>
      <c r="BA118" s="62"/>
      <c r="BB118" s="62"/>
      <c r="BC118" s="62"/>
      <c r="BD118" s="62"/>
      <c r="BE118" s="62"/>
      <c r="BF118" s="62"/>
      <c r="BG118" s="62"/>
      <c r="BH118" s="62"/>
      <c r="BI118" s="62"/>
      <c r="BJ118" s="62"/>
      <c r="BK118" s="62"/>
      <c r="BL118" s="62"/>
      <c r="BM118" s="62"/>
      <c r="BN118" s="62"/>
      <c r="BO118" s="62"/>
      <c r="BP118" s="62"/>
      <c r="BQ118" s="62"/>
      <c r="BR118" s="62"/>
      <c r="BS118" s="62"/>
      <c r="BT118" s="62"/>
      <c r="BU118" s="62"/>
      <c r="BV118" s="62"/>
      <c r="BW118" s="62"/>
      <c r="BX118" s="62"/>
    </row>
    <row r="119" spans="1:116" s="71" customFormat="1" ht="31.5" x14ac:dyDescent="0.25">
      <c r="A119" s="67" t="s">
        <v>595</v>
      </c>
      <c r="B119" s="68" t="s">
        <v>580</v>
      </c>
      <c r="C119" s="68" t="s">
        <v>1044</v>
      </c>
      <c r="D119" s="67" t="s">
        <v>807</v>
      </c>
      <c r="E119" s="83" t="s">
        <v>808</v>
      </c>
      <c r="F119" s="84">
        <v>2279588</v>
      </c>
      <c r="G119" s="85">
        <v>930468</v>
      </c>
      <c r="H119" s="86">
        <f>87798.38+20778.4</f>
        <v>108576.78</v>
      </c>
      <c r="I119" s="86">
        <v>95696.22</v>
      </c>
      <c r="J119" s="86">
        <v>93140.05</v>
      </c>
      <c r="K119" s="86">
        <v>90576.82</v>
      </c>
      <c r="L119" s="86">
        <v>88096.08</v>
      </c>
      <c r="M119" s="86">
        <v>85446.9</v>
      </c>
      <c r="N119" s="86">
        <v>82885.460000000006</v>
      </c>
      <c r="O119" s="69">
        <v>659875.32999999996</v>
      </c>
      <c r="P119" s="70">
        <f t="shared" si="8"/>
        <v>1304293.6399999999</v>
      </c>
      <c r="Q119" s="62"/>
      <c r="R119" s="62"/>
      <c r="S119" s="62"/>
      <c r="T119" s="62"/>
      <c r="U119" s="62"/>
      <c r="V119" s="62"/>
      <c r="W119" s="62"/>
      <c r="X119" s="62"/>
      <c r="Y119" s="62"/>
      <c r="Z119" s="62"/>
      <c r="AA119" s="62"/>
      <c r="AB119" s="62"/>
      <c r="AC119" s="62"/>
      <c r="AD119" s="62"/>
      <c r="AE119" s="62"/>
      <c r="AF119" s="62"/>
      <c r="AG119" s="62"/>
      <c r="AH119" s="62"/>
      <c r="AI119" s="62"/>
      <c r="AJ119" s="62"/>
      <c r="AK119" s="62"/>
      <c r="AL119" s="62"/>
      <c r="AM119" s="62"/>
      <c r="AN119" s="62"/>
      <c r="AO119" s="62"/>
      <c r="AP119" s="62"/>
      <c r="AQ119" s="62"/>
      <c r="AR119" s="62"/>
      <c r="AS119" s="62"/>
      <c r="AT119" s="62"/>
      <c r="AU119" s="62"/>
      <c r="AV119" s="62"/>
      <c r="AW119" s="62"/>
      <c r="AX119" s="62"/>
      <c r="AY119" s="62"/>
      <c r="AZ119" s="62"/>
      <c r="BA119" s="62"/>
      <c r="BB119" s="62"/>
      <c r="BC119" s="62"/>
      <c r="BD119" s="62"/>
      <c r="BE119" s="62"/>
      <c r="BF119" s="62"/>
      <c r="BG119" s="62"/>
      <c r="BH119" s="62"/>
      <c r="BI119" s="62"/>
      <c r="BJ119" s="62"/>
      <c r="BK119" s="62"/>
      <c r="BL119" s="62"/>
      <c r="BM119" s="62"/>
      <c r="BN119" s="62"/>
      <c r="BO119" s="62"/>
      <c r="BP119" s="62"/>
      <c r="BQ119" s="62"/>
      <c r="BR119" s="62"/>
      <c r="BS119" s="62"/>
      <c r="BT119" s="62"/>
      <c r="BU119" s="62"/>
      <c r="BV119" s="62"/>
      <c r="BW119" s="62"/>
      <c r="BX119" s="62"/>
    </row>
    <row r="120" spans="1:116" x14ac:dyDescent="0.25">
      <c r="A120" s="229" t="s">
        <v>809</v>
      </c>
      <c r="B120" s="229"/>
      <c r="C120" s="229"/>
      <c r="D120" s="229"/>
      <c r="E120" s="229"/>
      <c r="F120" s="87">
        <f t="shared" ref="F120:P120" si="9">SUM(F109:F119)</f>
        <v>5331851</v>
      </c>
      <c r="G120" s="87">
        <f t="shared" si="9"/>
        <v>2872369.87</v>
      </c>
      <c r="H120" s="87">
        <f t="shared" si="9"/>
        <v>348257.68000000005</v>
      </c>
      <c r="I120" s="87">
        <f t="shared" si="9"/>
        <v>328582.95</v>
      </c>
      <c r="J120" s="87">
        <f t="shared" si="9"/>
        <v>268536.89999999997</v>
      </c>
      <c r="K120" s="87">
        <f t="shared" si="9"/>
        <v>261122.28999999998</v>
      </c>
      <c r="L120" s="87">
        <f t="shared" si="9"/>
        <v>246714.15000000002</v>
      </c>
      <c r="M120" s="87">
        <f t="shared" si="9"/>
        <v>232247.1</v>
      </c>
      <c r="N120" s="87">
        <f t="shared" si="9"/>
        <v>221909.3</v>
      </c>
      <c r="O120" s="87">
        <f t="shared" si="9"/>
        <v>2149059.41</v>
      </c>
      <c r="P120" s="87">
        <f t="shared" si="9"/>
        <v>4056429.7800000003</v>
      </c>
    </row>
    <row r="123" spans="1:116" x14ac:dyDescent="0.25">
      <c r="A123" s="198" t="s">
        <v>810</v>
      </c>
      <c r="B123" s="199"/>
      <c r="C123" s="199"/>
      <c r="D123" s="199"/>
      <c r="E123" s="199"/>
      <c r="F123" s="199"/>
      <c r="G123" s="200"/>
      <c r="H123" s="89">
        <f t="shared" ref="H123:P123" si="10">SUM(H120,H107)</f>
        <v>5241817.9199999981</v>
      </c>
      <c r="I123" s="89">
        <f t="shared" si="10"/>
        <v>5788311.96</v>
      </c>
      <c r="J123" s="89">
        <f t="shared" si="10"/>
        <v>5544342.330000001</v>
      </c>
      <c r="K123" s="89">
        <f t="shared" si="10"/>
        <v>5197911.2200000007</v>
      </c>
      <c r="L123" s="89">
        <f t="shared" si="10"/>
        <v>4835882.3899999997</v>
      </c>
      <c r="M123" s="89">
        <f t="shared" si="10"/>
        <v>4395389.51</v>
      </c>
      <c r="N123" s="89">
        <f t="shared" si="10"/>
        <v>4198617.3599999994</v>
      </c>
      <c r="O123" s="89">
        <f t="shared" si="10"/>
        <v>31311910.100000001</v>
      </c>
      <c r="P123" s="89">
        <f t="shared" si="10"/>
        <v>66514182.790000007</v>
      </c>
    </row>
    <row r="126" spans="1:116" x14ac:dyDescent="0.25">
      <c r="A126" s="201" t="s">
        <v>811</v>
      </c>
      <c r="B126" s="202"/>
      <c r="C126" s="202"/>
      <c r="D126" s="202"/>
      <c r="E126" s="202"/>
      <c r="F126" s="202"/>
      <c r="G126" s="203"/>
      <c r="H126" s="90">
        <f t="shared" ref="H126:N126" si="11">H123/$O$128</f>
        <v>0.1183819315344737</v>
      </c>
      <c r="I126" s="90">
        <f t="shared" si="11"/>
        <v>0.1307240275428902</v>
      </c>
      <c r="J126" s="90">
        <f t="shared" si="11"/>
        <v>0.12521418411148183</v>
      </c>
      <c r="K126" s="90">
        <f t="shared" si="11"/>
        <v>0.11739033662739527</v>
      </c>
      <c r="L126" s="90">
        <f t="shared" si="11"/>
        <v>0.10921422810537974</v>
      </c>
      <c r="M126" s="90">
        <f t="shared" si="11"/>
        <v>9.9266076766009459E-2</v>
      </c>
      <c r="N126" s="90">
        <f t="shared" si="11"/>
        <v>9.4822147666466974E-2</v>
      </c>
      <c r="O126" s="91" t="s">
        <v>812</v>
      </c>
      <c r="P126" s="91" t="s">
        <v>812</v>
      </c>
    </row>
    <row r="127" spans="1:116" x14ac:dyDescent="0.25">
      <c r="A127" s="92"/>
      <c r="B127" s="93"/>
      <c r="C127" s="93"/>
      <c r="D127" s="93"/>
    </row>
    <row r="128" spans="1:116" x14ac:dyDescent="0.25">
      <c r="A128" s="204" t="s">
        <v>813</v>
      </c>
      <c r="B128" s="205"/>
      <c r="C128" s="205"/>
      <c r="D128" s="205"/>
      <c r="E128" s="205"/>
      <c r="F128" s="205"/>
      <c r="G128" s="206"/>
      <c r="O128" s="213">
        <v>44278868</v>
      </c>
      <c r="P128" s="214"/>
      <c r="DL128" s="88" t="s">
        <v>814</v>
      </c>
    </row>
    <row r="129" spans="1:16" x14ac:dyDescent="0.25">
      <c r="A129" s="207"/>
      <c r="B129" s="208"/>
      <c r="C129" s="208"/>
      <c r="D129" s="208"/>
      <c r="E129" s="208"/>
      <c r="F129" s="208"/>
      <c r="G129" s="209"/>
      <c r="M129" s="94"/>
      <c r="N129" s="95"/>
      <c r="O129" s="215"/>
      <c r="P129" s="216"/>
    </row>
    <row r="130" spans="1:16" x14ac:dyDescent="0.25">
      <c r="A130" s="210"/>
      <c r="B130" s="211"/>
      <c r="C130" s="211"/>
      <c r="D130" s="211"/>
      <c r="E130" s="211"/>
      <c r="F130" s="211"/>
      <c r="G130" s="212"/>
      <c r="M130" s="94"/>
      <c r="N130" s="95"/>
      <c r="O130" s="217"/>
      <c r="P130" s="218"/>
    </row>
    <row r="131" spans="1:16" x14ac:dyDescent="0.25">
      <c r="M131" s="94"/>
      <c r="N131" s="94"/>
    </row>
    <row r="133" spans="1:16" s="121" customFormat="1" x14ac:dyDescent="0.25">
      <c r="A133" s="115" t="s">
        <v>951</v>
      </c>
      <c r="B133" s="116"/>
      <c r="C133" s="117"/>
      <c r="D133" s="117"/>
      <c r="E133" s="118"/>
      <c r="F133" s="119"/>
      <c r="G133" s="120"/>
    </row>
    <row r="134" spans="1:16" s="121" customFormat="1" x14ac:dyDescent="0.25">
      <c r="A134" s="117"/>
      <c r="B134" s="117"/>
      <c r="C134" s="122"/>
      <c r="D134" s="117"/>
      <c r="E134" s="118"/>
      <c r="F134" s="119"/>
      <c r="G134" s="197" t="s">
        <v>1045</v>
      </c>
      <c r="H134" s="197"/>
      <c r="I134" s="197"/>
      <c r="J134" s="197"/>
      <c r="K134" s="197"/>
      <c r="L134" s="197"/>
      <c r="M134" s="197"/>
      <c r="N134" s="197"/>
      <c r="O134" s="197"/>
      <c r="P134" s="197"/>
    </row>
    <row r="135" spans="1:16" s="128" customFormat="1" ht="18.75" x14ac:dyDescent="0.3">
      <c r="A135" s="123"/>
      <c r="B135" s="124"/>
      <c r="C135" s="123"/>
      <c r="D135" s="123"/>
      <c r="E135" s="124"/>
      <c r="F135" s="125"/>
      <c r="G135" s="125"/>
      <c r="H135" s="126"/>
      <c r="I135" s="125"/>
      <c r="J135" s="125"/>
      <c r="K135" s="127"/>
    </row>
    <row r="136" spans="1:16" x14ac:dyDescent="0.25">
      <c r="A136" s="96"/>
      <c r="B136" s="96"/>
      <c r="C136" s="97"/>
      <c r="D136" s="96"/>
      <c r="E136" s="71"/>
      <c r="F136" s="98"/>
      <c r="G136" s="99"/>
    </row>
    <row r="137" spans="1:16" ht="18.75" x14ac:dyDescent="0.25">
      <c r="A137" s="100"/>
      <c r="B137" s="101"/>
      <c r="C137" s="100"/>
      <c r="D137" s="102"/>
      <c r="E137" s="103"/>
      <c r="F137" s="102"/>
      <c r="K137" s="104"/>
    </row>
  </sheetData>
  <mergeCells count="21">
    <mergeCell ref="A120:E120"/>
    <mergeCell ref="I1:P2"/>
    <mergeCell ref="A4:P4"/>
    <mergeCell ref="A5:P5"/>
    <mergeCell ref="A6:A7"/>
    <mergeCell ref="B6:B7"/>
    <mergeCell ref="C6:C7"/>
    <mergeCell ref="D6:D7"/>
    <mergeCell ref="E6:E7"/>
    <mergeCell ref="F6:F7"/>
    <mergeCell ref="G6:G7"/>
    <mergeCell ref="H6:O6"/>
    <mergeCell ref="P6:P7"/>
    <mergeCell ref="A8:P8"/>
    <mergeCell ref="A107:E107"/>
    <mergeCell ref="A108:P108"/>
    <mergeCell ref="G134:P134"/>
    <mergeCell ref="A123:G123"/>
    <mergeCell ref="A126:G126"/>
    <mergeCell ref="A128:G130"/>
    <mergeCell ref="O128:P130"/>
  </mergeCells>
  <pageMargins left="0.7" right="0.7" top="0.75" bottom="0.75" header="0.3" footer="0.3"/>
  <pageSetup paperSize="9" scale="10" orientation="landscape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1.pielikums_kopsavilkums</vt:lpstr>
      <vt:lpstr>2.pielikums_izdevumi_pa_EKK</vt:lpstr>
      <vt:lpstr>3.pielikums_Saistību apmērs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SD1059</dc:creator>
  <cp:lastModifiedBy>Uldis Ervalds</cp:lastModifiedBy>
  <cp:lastPrinted>2023-03-31T08:54:59Z</cp:lastPrinted>
  <dcterms:created xsi:type="dcterms:W3CDTF">2000-12-02T14:17:49Z</dcterms:created>
  <dcterms:modified xsi:type="dcterms:W3CDTF">2024-04-05T07:51:42Z</dcterms:modified>
</cp:coreProperties>
</file>