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6_pielikums" sheetId="1" r:id="rId1"/>
  </sheets>
  <definedNames>
    <definedName name="Excel_BuiltIn_Print_Titles_1" localSheetId="0">'6_pielikums'!$A$4:$II$6</definedName>
    <definedName name="Excel_BuiltIn_Print_Titles_1">#REF!</definedName>
    <definedName name="_xlnm.Print_Area" localSheetId="0">'6_pielikums'!$A:$Q</definedName>
    <definedName name="_xlnm.Print_Titles" localSheetId="0">'6_pielikums'!$4:$6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Q159" i="1"/>
  <c r="O157" i="1"/>
  <c r="N157" i="1"/>
  <c r="M157" i="1"/>
  <c r="L157" i="1"/>
  <c r="K157" i="1"/>
  <c r="J157" i="1"/>
  <c r="I157" i="1"/>
  <c r="Q155" i="1"/>
  <c r="P155" i="1"/>
  <c r="O155" i="1"/>
  <c r="N155" i="1"/>
  <c r="M155" i="1"/>
  <c r="L155" i="1"/>
  <c r="K155" i="1"/>
  <c r="J155" i="1"/>
  <c r="I155" i="1"/>
  <c r="H155" i="1"/>
  <c r="G155" i="1"/>
  <c r="Q152" i="1"/>
  <c r="P152" i="1"/>
  <c r="O152" i="1"/>
  <c r="N152" i="1"/>
  <c r="M152" i="1"/>
  <c r="L152" i="1"/>
  <c r="K152" i="1"/>
  <c r="J152" i="1"/>
  <c r="I152" i="1"/>
  <c r="H152" i="1"/>
  <c r="G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AL137" i="1"/>
  <c r="AK137" i="1"/>
  <c r="AJ137" i="1"/>
  <c r="AI137" i="1"/>
  <c r="AH137" i="1"/>
  <c r="AG137" i="1"/>
  <c r="AF137" i="1"/>
  <c r="AE137" i="1"/>
  <c r="AD137" i="1"/>
  <c r="AC137" i="1"/>
  <c r="AB137" i="1"/>
  <c r="AA137" i="1"/>
  <c r="Z137" i="1"/>
  <c r="Y137" i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H120" i="1"/>
  <c r="Q119" i="1"/>
  <c r="H119" i="1"/>
  <c r="Q118" i="1"/>
  <c r="Q117" i="1"/>
  <c r="H117" i="1"/>
  <c r="Q116" i="1"/>
  <c r="H116" i="1"/>
  <c r="Q115" i="1"/>
  <c r="Q114" i="1"/>
  <c r="Q113" i="1"/>
  <c r="Q112" i="1"/>
  <c r="Q111" i="1"/>
  <c r="H111" i="1"/>
  <c r="Q110" i="1"/>
  <c r="H110" i="1"/>
  <c r="Q109" i="1"/>
  <c r="H109" i="1"/>
  <c r="Q108" i="1"/>
  <c r="H108" i="1"/>
  <c r="Q107" i="1"/>
  <c r="H107" i="1"/>
  <c r="Q106" i="1"/>
  <c r="H106" i="1"/>
  <c r="Q105" i="1"/>
  <c r="H105" i="1"/>
  <c r="Q104" i="1"/>
  <c r="Q103" i="1"/>
  <c r="H103" i="1"/>
  <c r="Q102" i="1"/>
  <c r="H102" i="1"/>
  <c r="Q101" i="1"/>
  <c r="H101" i="1"/>
  <c r="Q100" i="1"/>
  <c r="H100" i="1"/>
  <c r="Q99" i="1"/>
  <c r="H99" i="1"/>
  <c r="Q98" i="1"/>
  <c r="H98" i="1"/>
  <c r="Q97" i="1"/>
  <c r="H97" i="1"/>
  <c r="Q96" i="1"/>
  <c r="H96" i="1"/>
  <c r="Q95" i="1"/>
  <c r="H95" i="1"/>
  <c r="Q94" i="1"/>
  <c r="Q93" i="1"/>
  <c r="H93" i="1"/>
  <c r="Q92" i="1"/>
  <c r="H92" i="1"/>
  <c r="Q91" i="1"/>
  <c r="H91" i="1"/>
  <c r="Q90" i="1"/>
  <c r="H90" i="1"/>
  <c r="Q89" i="1"/>
  <c r="H89" i="1"/>
  <c r="Q88" i="1"/>
  <c r="H88" i="1"/>
  <c r="Q87" i="1"/>
  <c r="H87" i="1"/>
  <c r="Q86" i="1"/>
  <c r="H86" i="1"/>
  <c r="Q85" i="1"/>
  <c r="H85" i="1"/>
  <c r="Q84" i="1"/>
  <c r="H84" i="1"/>
  <c r="Q83" i="1"/>
  <c r="H83" i="1"/>
  <c r="Q82" i="1"/>
  <c r="H82" i="1"/>
  <c r="Q81" i="1"/>
  <c r="H81" i="1"/>
  <c r="Q80" i="1"/>
  <c r="H80" i="1"/>
  <c r="Q79" i="1"/>
  <c r="H79" i="1"/>
  <c r="Q78" i="1"/>
  <c r="H78" i="1"/>
  <c r="Q77" i="1"/>
  <c r="H77" i="1"/>
  <c r="Q76" i="1"/>
  <c r="H76" i="1"/>
  <c r="Q75" i="1"/>
  <c r="H75" i="1"/>
  <c r="Q74" i="1"/>
  <c r="H74" i="1"/>
  <c r="Q73" i="1"/>
  <c r="H73" i="1"/>
  <c r="Q72" i="1"/>
  <c r="H72" i="1"/>
  <c r="Q71" i="1"/>
  <c r="H71" i="1"/>
  <c r="Q70" i="1"/>
  <c r="H70" i="1"/>
  <c r="Q69" i="1"/>
  <c r="H69" i="1"/>
  <c r="Q68" i="1"/>
  <c r="H68" i="1"/>
  <c r="Q67" i="1"/>
  <c r="H67" i="1"/>
  <c r="Q66" i="1"/>
  <c r="H66" i="1"/>
  <c r="Q65" i="1"/>
  <c r="Q64" i="1"/>
  <c r="H64" i="1"/>
  <c r="Q63" i="1"/>
  <c r="H63" i="1"/>
  <c r="Q62" i="1"/>
  <c r="H62" i="1"/>
  <c r="Q61" i="1"/>
  <c r="H61" i="1"/>
  <c r="Q60" i="1"/>
  <c r="H60" i="1"/>
  <c r="Q59" i="1"/>
  <c r="H59" i="1"/>
  <c r="Q58" i="1"/>
  <c r="H58" i="1"/>
  <c r="Q57" i="1"/>
  <c r="H57" i="1"/>
  <c r="Q56" i="1"/>
  <c r="H56" i="1"/>
  <c r="Q55" i="1"/>
  <c r="H55" i="1"/>
  <c r="Q54" i="1"/>
  <c r="H54" i="1"/>
  <c r="Q53" i="1"/>
  <c r="H53" i="1"/>
  <c r="Q52" i="1"/>
  <c r="H52" i="1"/>
  <c r="Q51" i="1"/>
  <c r="H51" i="1"/>
  <c r="Q50" i="1"/>
  <c r="H50" i="1"/>
  <c r="Q49" i="1"/>
  <c r="H49" i="1"/>
  <c r="Q48" i="1"/>
  <c r="H48" i="1"/>
  <c r="Q47" i="1"/>
  <c r="H47" i="1"/>
  <c r="Q46" i="1"/>
  <c r="H46" i="1"/>
  <c r="Q45" i="1"/>
  <c r="H45" i="1"/>
  <c r="Q44" i="1"/>
  <c r="H44" i="1"/>
  <c r="Q43" i="1"/>
  <c r="H43" i="1"/>
  <c r="Q42" i="1"/>
  <c r="H42" i="1"/>
  <c r="Q41" i="1"/>
  <c r="H41" i="1"/>
  <c r="Q40" i="1"/>
  <c r="H40" i="1"/>
  <c r="Q39" i="1"/>
  <c r="H39" i="1"/>
  <c r="Q38" i="1"/>
  <c r="H38" i="1"/>
  <c r="Q37" i="1"/>
  <c r="H37" i="1"/>
  <c r="Q36" i="1"/>
  <c r="H36" i="1"/>
  <c r="Q35" i="1"/>
  <c r="H35" i="1"/>
  <c r="Q34" i="1"/>
  <c r="H34" i="1"/>
  <c r="Q33" i="1"/>
  <c r="H33" i="1"/>
  <c r="Q32" i="1"/>
  <c r="H32" i="1"/>
  <c r="Q31" i="1"/>
  <c r="H31" i="1"/>
  <c r="Q30" i="1"/>
  <c r="H30" i="1"/>
  <c r="Q29" i="1"/>
  <c r="H29" i="1"/>
  <c r="Q28" i="1"/>
  <c r="H28" i="1"/>
  <c r="Q27" i="1"/>
  <c r="H27" i="1"/>
  <c r="Q26" i="1"/>
  <c r="H26" i="1"/>
  <c r="Q25" i="1"/>
  <c r="H25" i="1"/>
  <c r="Q24" i="1"/>
  <c r="H24" i="1"/>
  <c r="Q23" i="1"/>
  <c r="H23" i="1"/>
  <c r="Q22" i="1"/>
  <c r="H22" i="1"/>
  <c r="Q21" i="1"/>
  <c r="H21" i="1"/>
  <c r="Q20" i="1"/>
  <c r="H20" i="1"/>
  <c r="Q19" i="1"/>
  <c r="H19" i="1"/>
  <c r="Q18" i="1"/>
  <c r="H18" i="1"/>
  <c r="Q17" i="1"/>
  <c r="H17" i="1"/>
  <c r="Q16" i="1"/>
  <c r="H16" i="1"/>
  <c r="Q15" i="1"/>
  <c r="Q14" i="1"/>
  <c r="H14" i="1"/>
  <c r="Q13" i="1"/>
  <c r="Q12" i="1"/>
  <c r="Q11" i="1"/>
  <c r="Q10" i="1"/>
  <c r="H10" i="1"/>
  <c r="Q9" i="1"/>
  <c r="Q8" i="1"/>
</calcChain>
</file>

<file path=xl/sharedStrings.xml><?xml version="1.0" encoding="utf-8"?>
<sst xmlns="http://schemas.openxmlformats.org/spreadsheetml/2006/main" count="748" uniqueCount="518">
  <si>
    <t>Nr.p.k.</t>
  </si>
  <si>
    <t>Aizdevējs</t>
  </si>
  <si>
    <t>Mērķis</t>
  </si>
  <si>
    <t>Līguma Nr.</t>
  </si>
  <si>
    <t>Līguma noslēgšanas datums</t>
  </si>
  <si>
    <t>Atmaksas termiņš</t>
  </si>
  <si>
    <t>Aizņēmuma summa</t>
  </si>
  <si>
    <t>Saistību apmērs (pamatsumma+procenti)</t>
  </si>
  <si>
    <t>turpmākajos gados</t>
  </si>
  <si>
    <t>kopā</t>
  </si>
  <si>
    <t>Aizņēmumi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</si>
  <si>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</si>
  <si>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</si>
  <si>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</si>
  <si>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</si>
  <si>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</si>
  <si>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</si>
  <si>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</si>
  <si>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</si>
  <si>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</si>
  <si>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</si>
  <si>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</si>
  <si>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</si>
  <si>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</si>
  <si>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</si>
  <si>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</si>
  <si>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20.03.2027.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</si>
  <si>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</si>
  <si>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</si>
  <si>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</si>
  <si>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</si>
  <si>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</si>
  <si>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</si>
  <si>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</si>
  <si>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</si>
  <si>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</si>
  <si>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</si>
  <si>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</si>
  <si>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</si>
  <si>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</si>
  <si>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</si>
  <si>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</si>
  <si>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</si>
  <si>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>20.05.2023.</t>
  </si>
  <si>
    <t xml:space="preserve">A2/1/14/158   </t>
  </si>
  <si>
    <t>20.03.2014.</t>
  </si>
  <si>
    <t>20.03.2024.</t>
  </si>
  <si>
    <t>A2/1/14/271</t>
  </si>
  <si>
    <t>23.04.2014.</t>
  </si>
  <si>
    <t>20.03.2034.</t>
  </si>
  <si>
    <t xml:space="preserve">A2/1/14/595   </t>
  </si>
  <si>
    <t>26.08.2014.</t>
  </si>
  <si>
    <t>20.08.2024.</t>
  </si>
  <si>
    <t xml:space="preserve">A2/1/14/596   </t>
  </si>
  <si>
    <t>A2/1/14/732</t>
  </si>
  <si>
    <t>30.09.2014.</t>
  </si>
  <si>
    <t>20.09.2029.</t>
  </si>
  <si>
    <t>A2/1/15/114</t>
  </si>
  <si>
    <t>18.03.2015.</t>
  </si>
  <si>
    <t>20.03.2025.</t>
  </si>
  <si>
    <t>A2/1/15/195</t>
  </si>
  <si>
    <t>07.05.2015.</t>
  </si>
  <si>
    <t>23.04.2030.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</si>
  <si>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</si>
  <si>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</si>
  <si>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</si>
  <si>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</si>
  <si>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Projekta "Ūdensvada un kanalizācijas tīklu remontdarbi Bauskas novada pašvaldības izglītības iestādēs" īstenošanai</t>
  </si>
  <si>
    <t>A2/1/15/221</t>
  </si>
  <si>
    <t>20.05.2015.</t>
  </si>
  <si>
    <t xml:space="preserve">A2/1/15/252   </t>
  </si>
  <si>
    <t>21.05.2015.</t>
  </si>
  <si>
    <t>Projekta "Remontdarbu veikšana Bauskas novada pašvaldības izglītības iestādēs" īstenošanai</t>
  </si>
  <si>
    <t>A2/1/15/297</t>
  </si>
  <si>
    <t>12.06.2015.</t>
  </si>
  <si>
    <t>20.05.2035.</t>
  </si>
  <si>
    <t xml:space="preserve">A2/1/15/303   </t>
  </si>
  <si>
    <t>17.06.2015.</t>
  </si>
  <si>
    <t>20.06.2025.</t>
  </si>
  <si>
    <t xml:space="preserve">A2/1/15/370   </t>
  </si>
  <si>
    <t>21.07.2015.</t>
  </si>
  <si>
    <t>20.07.2025.</t>
  </si>
  <si>
    <t xml:space="preserve">Projekta "Bauskas pilsētas pamatskolas sporta zāles renovācija" īstenošanai </t>
  </si>
  <si>
    <t>A2/1/15/454</t>
  </si>
  <si>
    <t>20.08.2015.</t>
  </si>
  <si>
    <t>20.08.2035.</t>
  </si>
  <si>
    <t xml:space="preserve">Projekta "Zemgaļu ielas, Bauskā seguma rekonstrukcija" īstenošanai </t>
  </si>
  <si>
    <t>A2/1/15/524</t>
  </si>
  <si>
    <t>16.09.2015.</t>
  </si>
  <si>
    <t>20.09.2025.</t>
  </si>
  <si>
    <t>Projekta "Gājēju un veloceliņa uz Rītausmām, Īslīces pagastā būvniecība" īstenošanai</t>
  </si>
  <si>
    <t>A2/1/15/526</t>
  </si>
  <si>
    <t>18.09.2015.</t>
  </si>
  <si>
    <t>20.09.2040.</t>
  </si>
  <si>
    <t>Projekta "Ēkas rekonstrukcija un funkcijas maiņa-Iecavas mākslas un mūzikas skola" īstenošanai</t>
  </si>
  <si>
    <t>A2/1/15/570</t>
  </si>
  <si>
    <t>02.10.2015.</t>
  </si>
  <si>
    <t>20.12.2035.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</si>
  <si>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</si>
  <si>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</si>
  <si>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</si>
  <si>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</si>
  <si>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</si>
  <si>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>20.02.2041.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</si>
  <si>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</si>
  <si>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</si>
  <si>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</si>
  <si>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</si>
  <si>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 xml:space="preserve">Projekta "Bauskas Mūzikas skolas rekonstrukcijas 1.kārta" īstenošanai </t>
  </si>
  <si>
    <t>A2/1/16/108</t>
  </si>
  <si>
    <t>20.04.2031.</t>
  </si>
  <si>
    <t xml:space="preserve">Projekta "Dreņģerkalna un Torņa ielas pārbūve" īstenošanai </t>
  </si>
  <si>
    <t>A2/1/16/141</t>
  </si>
  <si>
    <t>18.05.2016.</t>
  </si>
  <si>
    <t>20.05.2031.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</si>
  <si>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</si>
  <si>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</si>
  <si>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</si>
  <si>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</si>
  <si>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 xml:space="preserve">Projekta "Gājēju tilta pār Mūsu būvniecība" īstenošanai </t>
  </si>
  <si>
    <t>A2/1/16/313</t>
  </si>
  <si>
    <t>17.08.2016.</t>
  </si>
  <si>
    <t>20.08.2046.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</si>
  <si>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</si>
  <si>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</si>
  <si>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</si>
  <si>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</si>
  <si>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</si>
  <si>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</si>
  <si>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</si>
  <si>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 xml:space="preserve">Projekta "Miera ielas un Mūsas ielas, Bauskā seguma pārbūve" īstenošanai </t>
  </si>
  <si>
    <t>A2/1/16/453</t>
  </si>
  <si>
    <t>25.10.2016.</t>
  </si>
  <si>
    <t>20.10.2031.</t>
  </si>
  <si>
    <t>Prioritārā investīciju projekta "Multifunkcionālā centra 1. un 3. kārtas būvniecība" īstenošanai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</si>
  <si>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</si>
  <si>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</si>
  <si>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</si>
  <si>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</si>
  <si>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</si>
  <si>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</si>
  <si>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</si>
  <si>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A2/1/16/512</t>
  </si>
  <si>
    <t>ELFLA projekta (Nr.16-06-AL07-A019.2201-000006) "Viļa Plūdoņa muzeja ratnīcas restaurācija" īstenošanai</t>
  </si>
  <si>
    <t>A2/1/17/92</t>
  </si>
  <si>
    <t>01.03.2017.</t>
  </si>
  <si>
    <t>20.12.2026.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</si>
  <si>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</si>
  <si>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</si>
  <si>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</si>
  <si>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</si>
  <si>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</si>
  <si>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</si>
  <si>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</si>
  <si>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</si>
  <si>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</si>
  <si>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</si>
  <si>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</si>
  <si>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</si>
  <si>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22.04.2047.</t>
  </si>
  <si>
    <t>Ceļu un to kompleksa investīciju projekta "Skolas ielas rekonstrukcija, Iecavā, Iecavas novadā" īstenošanai</t>
  </si>
  <si>
    <t>A2/1/17/398</t>
  </si>
  <si>
    <t>22.06.2017.</t>
  </si>
  <si>
    <t xml:space="preserve">Projekta " Bauskas Mūzikas skolas rekonstrukcijas 2. kārta" īstenošanai </t>
  </si>
  <si>
    <t>A2/1/17/423</t>
  </si>
  <si>
    <t>28.06.2017.</t>
  </si>
  <si>
    <t>20.06.2042.</t>
  </si>
  <si>
    <t>Projekta "Mežotnes pamatskolas pārbūve " īstenošanai</t>
  </si>
  <si>
    <t>A2/1/17/424</t>
  </si>
  <si>
    <t>20.06.2047.</t>
  </si>
  <si>
    <t>Projekta "Remontdarbu veikšana Bauskas novada pašvaldības izglītības iestādēs"īstenošanai (atbilstoši iepirkumu komisijas lēmumos minētajām izglītības iestādēm)</t>
  </si>
  <si>
    <t>A2/1/17/425</t>
  </si>
  <si>
    <t>22.06.2037.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</si>
  <si>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</si>
  <si>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</si>
  <si>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</si>
  <si>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</si>
  <si>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</si>
  <si>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>22.07.2047.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</si>
  <si>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</si>
  <si>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</si>
  <si>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</si>
  <si>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</si>
  <si>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 xml:space="preserve">Pašvaldības autonomo funkciju veikšanai nepieciešamā transporta (automašīnu un autobusu) iegādei </t>
  </si>
  <si>
    <t>A2/1/17/626</t>
  </si>
  <si>
    <t xml:space="preserve">Projekta "Gājēju un veloceliņa gar Ziedoņu ielu izbūve" īstenošanai </t>
  </si>
  <si>
    <t>A2/1/17/767</t>
  </si>
  <si>
    <t>19.10.2017.</t>
  </si>
  <si>
    <t>20.10.2032.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</si>
  <si>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</si>
  <si>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</si>
  <si>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</si>
  <si>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</si>
  <si>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Projekta "Ielu seguma pārbūve Bauskas novada Codes un Ceraukstes pagastā" īstenošanai</t>
  </si>
  <si>
    <t>A2/1/17/894</t>
  </si>
  <si>
    <t>14.12.2017.</t>
  </si>
  <si>
    <t>ELFLA projekta (Nr.17-06+A00702-000105) "Pašvaldības ceļa "Pilsrundāle-Svitene" pārbūve"  īstenošanai</t>
  </si>
  <si>
    <t>A2/1/18/68</t>
  </si>
  <si>
    <t>02.03.2018.</t>
  </si>
  <si>
    <t>20.02.2043.</t>
  </si>
  <si>
    <t>A2/1/18/180</t>
  </si>
  <si>
    <t>25.04.2018.</t>
  </si>
  <si>
    <t>20.04.2048.</t>
  </si>
  <si>
    <t>Prioritārā investīciju projekta "Multifunkcionālā centra 4. kārtas būvniecība" īstenošanai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</si>
  <si>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</si>
  <si>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</si>
  <si>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</si>
  <si>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</si>
  <si>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</si>
  <si>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25.05.2018.</t>
  </si>
  <si>
    <t>A2/1/18/271</t>
  </si>
  <si>
    <t>30.05.2018.</t>
  </si>
  <si>
    <t>20.12.2024.</t>
  </si>
  <si>
    <t>A2/1/18/272</t>
  </si>
  <si>
    <t>20.05.2033.</t>
  </si>
  <si>
    <t>A2/1/18/273</t>
  </si>
  <si>
    <t>A2/1/18/274</t>
  </si>
  <si>
    <t>20.12.2030.</t>
  </si>
  <si>
    <t>A2/1/18/275</t>
  </si>
  <si>
    <t>22.12.2025.</t>
  </si>
  <si>
    <t>A2/1/18/276</t>
  </si>
  <si>
    <t>22.05.2034.</t>
  </si>
  <si>
    <t>A2/1/18/277</t>
  </si>
  <si>
    <t>20.05.2038.</t>
  </si>
  <si>
    <t xml:space="preserve">Investīciju projektu īstenošanai (saistību pārjaunojums) _x000D_
</t>
  </si>
  <si>
    <t>A2/1/18/353</t>
  </si>
  <si>
    <t>26.06.2018.</t>
  </si>
  <si>
    <t>20.05.2044.</t>
  </si>
  <si>
    <t>Projekta "Remontdarbu veikšana Bauskas novada pašvaldības izglītības iestādēs"' īstenošanai</t>
  </si>
  <si>
    <t>A2/1/18/407</t>
  </si>
  <si>
    <t>04.07.2018.</t>
  </si>
  <si>
    <t>20.06.2028.</t>
  </si>
  <si>
    <t>31.07.2018.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</si>
  <si>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</si>
  <si>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</si>
  <si>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20.07.2048.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</si>
  <si>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</si>
  <si>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</si>
  <si>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</si>
  <si>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</si>
  <si>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</si>
  <si>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</si>
  <si>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>A2/1/18/590</t>
  </si>
  <si>
    <t>30.08.2018.</t>
  </si>
  <si>
    <t>20.09.2023.</t>
  </si>
  <si>
    <t>A2/1/18/739</t>
  </si>
  <si>
    <t>23.10.2018.</t>
  </si>
  <si>
    <t>20.10.2043.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</si>
  <si>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</si>
  <si>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</si>
  <si>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</si>
  <si>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</si>
  <si>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</si>
  <si>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</si>
  <si>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</si>
  <si>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</si>
  <si>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</si>
  <si>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</si>
  <si>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</si>
  <si>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</si>
  <si>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</si>
  <si>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</si>
  <si>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</si>
  <si>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</si>
  <si>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</si>
  <si>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</si>
  <si>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</si>
  <si>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</si>
  <si>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ELFLA projekta (Nr.18-06-A00702-000061) "Bauskas novada pašvaldības grants ceļu pārbūve Īslīces pagastā" īstenošanai</t>
  </si>
  <si>
    <t>A2/1/19/312</t>
  </si>
  <si>
    <t>20.12.2027.</t>
  </si>
  <si>
    <t>ELFLA projekta (Nr.-18-06-A00702-000040) "Bauskas novada pašvaldības grants ceļu pārbūve Codes pagastā" īstenošanai</t>
  </si>
  <si>
    <t>A2/1/19/313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</si>
  <si>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</si>
  <si>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</si>
  <si>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</si>
  <si>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</si>
  <si>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</si>
  <si>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</si>
  <si>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</si>
  <si>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</si>
  <si>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</si>
  <si>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</si>
  <si>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</si>
  <si>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</si>
  <si>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A2/1/20/43</t>
  </si>
  <si>
    <t>18.02.2020.</t>
  </si>
  <si>
    <t>20.01.2050.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</si>
  <si>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</si>
  <si>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</si>
  <si>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</si>
  <si>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</si>
  <si>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A2/1/20/373</t>
  </si>
  <si>
    <t>02.07.2020.</t>
  </si>
  <si>
    <t>Projekta "Bauskas novada pašvaldības grants ceļu pārbūve Dāviņu pagastā" īstenošanai</t>
  </si>
  <si>
    <t>A2/1/20/481</t>
  </si>
  <si>
    <t>03.08.2020.</t>
  </si>
  <si>
    <t>20.07.2050.</t>
  </si>
  <si>
    <t xml:space="preserve">Latvijas-Lietuvas pārrobežu sadarbības programmas projekta (Nr.LLI-425) "Daudzfunkcionālo centru kā vietējās kopienas sociālās iekļaušanas un attīstības virzītājspēka attīstība" investīciju daļas īstenošanai </t>
  </si>
  <si>
    <t xml:space="preserve">A2/1/20/580        </t>
  </si>
  <si>
    <t>26.08.2020.</t>
  </si>
  <si>
    <t>20.08.2025.</t>
  </si>
  <si>
    <t>Projekta "Pilskalna ielas pārbūve Bauskā " īstenošanai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</si>
  <si>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</si>
  <si>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</si>
  <si>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</si>
  <si>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</si>
  <si>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</si>
  <si>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</si>
  <si>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</si>
  <si>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</si>
  <si>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</si>
  <si>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</si>
  <si>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</si>
  <si>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</si>
  <si>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</si>
  <si>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</si>
  <si>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</si>
  <si>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</si>
  <si>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20.09.2035.</t>
  </si>
  <si>
    <t>A2/1/20/795</t>
  </si>
  <si>
    <t>02.11.2020.</t>
  </si>
  <si>
    <t>20.10.2027.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</si>
  <si>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</si>
  <si>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</si>
  <si>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</si>
  <si>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</si>
  <si>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</si>
  <si>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</si>
  <si>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</si>
  <si>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</si>
  <si>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</si>
  <si>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</si>
  <si>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</si>
  <si>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</si>
  <si>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</si>
  <si>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</si>
  <si>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</si>
  <si>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</si>
  <si>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</si>
  <si>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A2/1/21/510</t>
  </si>
  <si>
    <t>27.08.2021.</t>
  </si>
  <si>
    <t>Prioritārā investīciju projekta "Mēmeles gaisa tiltiņa rekonstrukcija" īstenošanai</t>
  </si>
  <si>
    <t>A2/1/21/511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</si>
  <si>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</si>
  <si>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</si>
  <si>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</si>
  <si>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</si>
  <si>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</si>
  <si>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Projekta "Autoceļa "V1040-Roņi-Tāmas-Renceles-A7" pārbūves 2.kārta" īstenošanai</t>
  </si>
  <si>
    <t>A2/1/21/631</t>
  </si>
  <si>
    <t>14.10.2021.</t>
  </si>
  <si>
    <t>A2/1/21/725</t>
  </si>
  <si>
    <t>30.11.2021.</t>
  </si>
  <si>
    <t>20.11.2031.</t>
  </si>
  <si>
    <t>A2/1/22/106</t>
  </si>
  <si>
    <t>26.05.2022.</t>
  </si>
  <si>
    <t>20.05.2052.</t>
  </si>
  <si>
    <t>A2/1/22/107</t>
  </si>
  <si>
    <t>20.05.2042.</t>
  </si>
  <si>
    <t>A2/1/22/196</t>
  </si>
  <si>
    <t>07.07.2022.</t>
  </si>
  <si>
    <t>A2/1/22/197</t>
  </si>
  <si>
    <t>21.06.2032.</t>
  </si>
  <si>
    <t>A2/1/22/277</t>
  </si>
  <si>
    <t>12.08.2022.</t>
  </si>
  <si>
    <t>A2/1/22/279</t>
  </si>
  <si>
    <t>20.07.2032.</t>
  </si>
  <si>
    <t>A2/1/22/280</t>
  </si>
  <si>
    <t>A2/1/22/281</t>
  </si>
  <si>
    <t>A2/1/22/282</t>
  </si>
  <si>
    <t>A2/1/22/285</t>
  </si>
  <si>
    <t>A2/1/22/485</t>
  </si>
  <si>
    <t>04.11.2022.</t>
  </si>
  <si>
    <t>20.10.2042.</t>
  </si>
  <si>
    <t>ERAF projekta (Nr.4.2.2.0/21/A/055) "Energoefektivitātes paaugstināšana sabiedrībā balstītu sociālo pakalpojumu ēkai Bauskā, Slimnīcas ielā 4" īstenošanai</t>
  </si>
  <si>
    <t>A2/1/22/486</t>
  </si>
  <si>
    <t>ERAF projekta (Nr.4.2.2.0/21/A/056) "Energoefektivitātes paaugstināšana veselības aprūpes pakalpojumu ēkai Bauskā, Slimnīcas ielā 4" īstenošanai</t>
  </si>
  <si>
    <t>A2/1/22/487</t>
  </si>
  <si>
    <t>A2/1/23/22</t>
  </si>
  <si>
    <t>20.02.2023.</t>
  </si>
  <si>
    <t>20.01.2043.</t>
  </si>
  <si>
    <t>A2/1/23/98</t>
  </si>
  <si>
    <t>03.05.2023.</t>
  </si>
  <si>
    <t>A2/1/23/142</t>
  </si>
  <si>
    <t>19.06.2023.</t>
  </si>
  <si>
    <t>A2/1/23/200</t>
  </si>
  <si>
    <t>12.07.2023.</t>
  </si>
  <si>
    <t>A2/1/23/201</t>
  </si>
  <si>
    <t>A2/1/23/242</t>
  </si>
  <si>
    <t>03.08.2023.</t>
  </si>
  <si>
    <t>20.07.2043.</t>
  </si>
  <si>
    <t>14.08.2023.</t>
  </si>
  <si>
    <t>A2/1/23/297</t>
  </si>
  <si>
    <t>06.09.2023.</t>
  </si>
  <si>
    <t>20.08.2038.</t>
  </si>
  <si>
    <t>A2/1/23/298</t>
  </si>
  <si>
    <t>A2/1/23/299</t>
  </si>
  <si>
    <t>A2/1/23/404</t>
  </si>
  <si>
    <t>26.09.2023.</t>
  </si>
  <si>
    <t>20.09.2053.</t>
  </si>
  <si>
    <t>Transporta iegāde skolēnu pārvadāšanai</t>
  </si>
  <si>
    <t>A2/1/23/405</t>
  </si>
  <si>
    <t>KOPĀ:</t>
  </si>
  <si>
    <t>x</t>
  </si>
  <si>
    <t>1</t>
  </si>
  <si>
    <t>Ūdenssaimniecības pakalpojumu attīstība Iecavas novadā</t>
  </si>
  <si>
    <t>G/12/496</t>
  </si>
  <si>
    <t>10.09.2012.</t>
  </si>
  <si>
    <t>20.10.2034.</t>
  </si>
  <si>
    <t>2</t>
  </si>
  <si>
    <t>Ūdenssaimniecības pakalpojumu attīstība Iecavas novada Zorģu ciemā</t>
  </si>
  <si>
    <t>G/12/498</t>
  </si>
  <si>
    <t>20.04.2032.</t>
  </si>
  <si>
    <t>3</t>
  </si>
  <si>
    <t>Ūdenssaimniecības pakalpojumu attīstība Iecavas novada Zālītes ciemā</t>
  </si>
  <si>
    <t>G/12/500</t>
  </si>
  <si>
    <t>4</t>
  </si>
  <si>
    <t>Kohēzijas fonda projekta "Ūdenssaimniecības pakalpojuma attīstība Bauskā" īstenošanai</t>
  </si>
  <si>
    <t>G/12/820</t>
  </si>
  <si>
    <t>21.12.2012.</t>
  </si>
  <si>
    <t>5</t>
  </si>
  <si>
    <t>G/14/25</t>
  </si>
  <si>
    <t>27.01.2014.</t>
  </si>
  <si>
    <t>20.01.2034.</t>
  </si>
  <si>
    <t>6</t>
  </si>
  <si>
    <t>G/14/27</t>
  </si>
  <si>
    <t>20.12.2033.</t>
  </si>
  <si>
    <t>7</t>
  </si>
  <si>
    <t>Kohēzijas fonda projekta "Siltuma ražošanas efektivitātes paaugstināšana Bauskā" īstenošanai</t>
  </si>
  <si>
    <t>G/15/623</t>
  </si>
  <si>
    <t>20.11.2015.</t>
  </si>
  <si>
    <t>20.11.2032.</t>
  </si>
  <si>
    <t>8</t>
  </si>
  <si>
    <t>Kohēzijas fonda projekta "Ūdenssaimniecības pakalpojumu attīstība Iecavā, 2.kārta" īstenošanai</t>
  </si>
  <si>
    <t>G/18/727</t>
  </si>
  <si>
    <t>15.10.2018.</t>
  </si>
  <si>
    <t>22.09.2039.</t>
  </si>
  <si>
    <t>9</t>
  </si>
  <si>
    <t>10</t>
  </si>
  <si>
    <t>Kohēzijas fonda projekta Nr.4.3.1.0/17/A/078 "Esošā siltumavota pārbūve Iecavā, uzstādot jaunu biomasas katlu" īstenošanai</t>
  </si>
  <si>
    <t>G/20/309</t>
  </si>
  <si>
    <t>04.06.2020.</t>
  </si>
  <si>
    <t>11</t>
  </si>
  <si>
    <t>G/20/311</t>
  </si>
  <si>
    <t>12</t>
  </si>
  <si>
    <t>G/20/773</t>
  </si>
  <si>
    <t>27.10.2020.</t>
  </si>
  <si>
    <t>G/22/520</t>
  </si>
  <si>
    <t>16.11.2022.</t>
  </si>
  <si>
    <t>21.10.2024.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</si>
  <si>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</si>
  <si>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</si>
  <si>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</si>
  <si>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Bauskas novada pašvaldības saistību apmērs 2024. gadā un turpmākajos gados (EUR)</t>
  </si>
  <si>
    <t>Saistību pamatsummas parāds uz 01.01.2024.</t>
  </si>
  <si>
    <t>A2/1/23/262</t>
  </si>
  <si>
    <t>25.01.2029.</t>
  </si>
  <si>
    <t>21.06.2038.</t>
  </si>
  <si>
    <t>25.04.2024.</t>
  </si>
  <si>
    <t>20.03.2029.</t>
  </si>
  <si>
    <t>22.06.2026.</t>
  </si>
  <si>
    <t xml:space="preserve">Galvojumi </t>
  </si>
  <si>
    <t>Projekta "Siltumtrašu rekonstrukcija Vecumnieku novada Vecumniekos" īstenošanai</t>
  </si>
  <si>
    <t>Projekta "Ūdenssaimniecības  pakalpojumu attīstība Vecumnieku pagasta Vecumniekos" realizācija</t>
  </si>
  <si>
    <t>Kurināmā iegādei</t>
  </si>
  <si>
    <t xml:space="preserve"> </t>
  </si>
  <si>
    <t>6. pielikums</t>
  </si>
  <si>
    <t>Bauskas novada domes 22.02.2024.
    saistošajiem noteikumiem Nr. 1</t>
  </si>
  <si>
    <t>ERAF projekta (Nr.3DP/3.4.1.1.0/13/APIA/CFLA/048/075) "Ūdenssaimniecības attīstība Rundāles novada Svitenes pagasta Svitenes ciemā" īstenošanai</t>
  </si>
  <si>
    <t xml:space="preserve">Projekta "Rātsnama vēsturiskā interjera izveide" īstenošanai </t>
  </si>
  <si>
    <t>Projekta "Vecumnieku centralizētās siltumapgādes sistēmas rekonstrukcija" īstenošanai</t>
  </si>
  <si>
    <t xml:space="preserve">KPFI projekta (Nr.KPFI-15.2/11) "Energoefektivitātes uzlabošana Skaistkalnes vidusskolas sākumskolas korpusā" īstenošanai </t>
  </si>
  <si>
    <t xml:space="preserve">ERAF projekta (Nr.3DP/3.4.1.1.0/13/APIA/CFLA/137/112) "Ūdenssaimniecības attīstība Vecumnieku novada Valles ciemā" īstenošanai </t>
  </si>
  <si>
    <t xml:space="preserve">KPFI projekta (Nr.KPFI-15.3/149) "Kompleksi risinājumi siltumnīcefekta gāzu emisijas samazināšanai Misas vidusskolā" īstenošanai </t>
  </si>
  <si>
    <t xml:space="preserve">Prioritārā investīciju projekta "Bērnu laukuma un sadzīves atkritumu konteineru laukumu izbūves II-III kārta" īstenošanai </t>
  </si>
  <si>
    <t xml:space="preserve">Projekta "Celtnieku ielas, Līdumnieku ielas posma no Celtnieku ielas līdz Rudzu ielai, Ainavu ielas posma no Celtnieku ielas līdz Pārupes ielai pārbūve" īstenošanai </t>
  </si>
  <si>
    <t>Projekta "Seguma maiņa Zemgaļu ielas posmam no Skolas ielas līdz Lauku ielai un Lauku ielai Bauskas pilsētā" īstenošanai</t>
  </si>
  <si>
    <t>ERAF projekta (Nr.9.3.1.1/19/I/046) "Deinstitucionalizācijas plāna īstenošana Bauskas novadā" īstenošanai</t>
  </si>
  <si>
    <t>KPFI projekta (Nr.KPFI-15.2/33) "Kompleksi risinājumi siltumnīcefekta gāzu emisiju samazināšanai Pilsrundāles vidusskolas un Pilsrundāles vidusskolas Bērsteles struktūrvienības ēkā" īstenošanai</t>
  </si>
  <si>
    <t>ERAF projekta (Nr.3DP/3.4.1.1.0/13APIA/CFLA/045/054) "Ūdenssaimniecības attīstība Rundāles novada Rundāles pagasta Pilsrundāles ciemā" īstenošanai</t>
  </si>
  <si>
    <t>ELFLA projekta (Nr.16-06-AL07-A019.2201-000004) "Atklātas daudzfunkcionālas arēnas būvniecība Svitenē" īstenošanai</t>
  </si>
  <si>
    <t xml:space="preserve">Projekta "Vecumnieku novada izglītības iestāžu remontdarbi" īstenošanai </t>
  </si>
  <si>
    <t>Projekta "Labiekārtošana un remontdarbi Vecumnieku novada izglītības iestādēs" īstenošanai</t>
  </si>
  <si>
    <t>Projekta "Ēkas Liepu ielā 2, Vecumniekos, Vecumnieku pagastā, Vecumnieku novadā pārbūve atbilstoši pirmsskolas izglītības iestādes prasībām" īstenošanai</t>
  </si>
  <si>
    <t>ELFLA projekta (Nr.17-06-AL07-A019.2202-000007) "Ceraukstes tautas nama fasādes atjaunošana pakalpojumu nodrošināšanai" īstenošanai</t>
  </si>
  <si>
    <t>ELFLA projekta (Nr.17-06-A00702-000046) "Bauskas novada pašvaldības grants ceļu pārbūve Gailīšu pagastā" īstenošanai</t>
  </si>
  <si>
    <t>ELFLA projekta (Nr.17-06-AL07-A019.2201-000009) "Garozas muižas parka labiekārtošana" īstenošanai</t>
  </si>
  <si>
    <t>ERAF projekta (Nr.5.6.2.0/17/I/011) "Teritorijas revitalizācija Codes pagastā, rekonstruējot vietējā autoceļa posmu" īstenošanai</t>
  </si>
  <si>
    <t>ERAF projekta (Nr.5.6.2.0/17/I/010)"Teritorijas revitalizācija Gailīšu pagastā, rekonstruējot vietējā autoceļa posmu" īstenošanai</t>
  </si>
  <si>
    <t>ELFLA projekta (Nr.17-06-AL07-A019.2201-000008) "Rītausmu ciema sporta un atpūtas parka izveide" īstenošanai</t>
  </si>
  <si>
    <t>ERAF projekta (Nr.5.6.2.0/17/I/009) "Brīvības bulvāra revitalizācija uzņēmējdarbības veicināšanai" īstenošanai</t>
  </si>
  <si>
    <t xml:space="preserve">ELFLA projekta (Nr.18-06-A00702-000026) "Vecumnieku novada pašvaldības autoceļa A10 (Mednieki-Gali), autoceļa posma A1 (Ķekavas šoseja-Dzeguzes) un autoceļa posma B2 (Spodras-Krieviņi) pārbūve Vecumnieku novadā" īstenošanai </t>
  </si>
  <si>
    <t xml:space="preserve">Prioritārā investīciju projekta "Videonovērošanas sistēmas Bauskā izbūves 2. un 3.kārta" īstenošanai </t>
  </si>
  <si>
    <t>Latvijas – Lietuvas pārrobežu sadarbības programmas projekta (Nr. LLI-498) "Vēsturiskais ceļš: Raudondvaris-Bauska" investīciju daļas īstenošanai</t>
  </si>
  <si>
    <t>ERAF projekta (Nr.5.6.2.0/21/I/001) "Privāto investīciju palielināšana Gailīšu pagastā uzņēmējdarbības veicināšanai" īstenošanai</t>
  </si>
  <si>
    <t>Prioritārā investīciju projekta  "Liepu ielas Brunavas pagastā pārbūve" īstenošanai</t>
  </si>
  <si>
    <t>Projekta "Pašvaldības autoceļa B7 "Priedītes–Mežotnes stacija" pārbūve (1806 m) posmā no 0,0 km līdz 1,806 km" investīciju īstenošanai</t>
  </si>
  <si>
    <t>Latvijas – Lietuvas pārrobežu sadarbības programmas projekta (Nr.LLI-498) "Vēsturiskais ceļš: Raudondvaris-Bauska" investīciju daļas īstenošanai</t>
  </si>
  <si>
    <t>Projekta "Seguma atjaunošana objektā Mežotnes pagasta autoceļa B2 "Jumpravu kapi - Tomi" posmam" investīciju īstenošanai</t>
  </si>
  <si>
    <t>Projekta "Piebraucamā ceļa izbūve posmā no Valsts reģionālā autoceļa P92 Iecava - Stelpe" investīciju īstenošanai</t>
  </si>
  <si>
    <t>Projekta "Autoceļa A18 "Plūdoņi- Bērziņi" pārbūve" investīciju īstenošanai</t>
  </si>
  <si>
    <t>Projekta "Seguma maiņa objektā "Bauskas pilsētas Krasta ielas posms no Skolas ielas līdz Mūsas tiltam"" investīciju īstenošanai</t>
  </si>
  <si>
    <t>Prioritārā investīciju projekta "Liepu ielas Brunavas pagastā pārbūve" īstenošanai</t>
  </si>
  <si>
    <t>ERAF projekta (Nr.4.2.2.0/22/A/005) "Energoefektivitātes paaugstināšana sporta namam "Dartija"" īstenošanai</t>
  </si>
  <si>
    <t>Investīciju projekta "Autoceļa "Dārza iela – Cielavas – Bružas – P93" un Dārza ielas posma no Dzintaru ielas līdz autoceļam
A9 "Dārza iela – Cielavas –Bružas – P93" pārbūve" īstenošanai</t>
  </si>
  <si>
    <t>Investīciju projekta "Autoceļa A10 "V 1040-Smiltaiņi-Audrupi-Jaunsvirkaļi" pārbūve" īstenošanai</t>
  </si>
  <si>
    <t>Projekts "Autoceļa A18 "Plūdoņi- Bērziņi" pārbūves 2. kārta" īstenošanai</t>
  </si>
  <si>
    <t>Projekta "Seguma maiņa objektā "Ceriņu ielas posms no Dārza ielas līdz Biržu ielai", Bauskā, Bauskas novadā" īstenošanai</t>
  </si>
  <si>
    <t>Projekta "Seguma maiņa objektā "Bauskas pilsētas Biržu iela no Dārza ielas līdz Biržu 23", Bauskā, Bauskas novadā" īstenošanai</t>
  </si>
  <si>
    <t>Prioritārā investīciju projekta
"Pilsrundāles vidusskolas fasādes atjaunošana" īstenošanai</t>
  </si>
  <si>
    <t>ERAF projekts (Nr.8.1.2.0/17/I/011) "Bauskas Valsts ģimnāzijas un Bauskas 2. vidusskolas infrastruktūras sakārtošana" īstenošanai</t>
  </si>
  <si>
    <t>Latvijas-Lietuvas-Baltkrievijas pārrobežu sadarbības programmas projekta (Nr.ENI-LLB-2-340) "Inovatīvs kultūras tūrisms: atslēga Rundāles un Svisločas pievilcības un konkurētspējas uzlabošanai" investīciju daļas īstenošanai</t>
  </si>
  <si>
    <t>ERAF projekta (Nr.8.1.2.0/17/I/011) "Bauskas Valsts ģimnāzijas un Bauskas 2. vidusskolas infrastruktūras sakārtošana" īstenošanai</t>
  </si>
  <si>
    <t>ERAF projekta (Nr.9.3.1.1/18/I/023) "Dienas aprūpes centra izveide Iecavā, Bauskas novadā" īstenošanai</t>
  </si>
  <si>
    <t>Projekta "Seguma maiņa objektā Vecsaules pagasta autoceļa A6 "Kalte-Cīruļi" posms" investīciju īstenošanai</t>
  </si>
  <si>
    <t>Kohēzijas fonda projekta Nr.4.3.1.0/17/A077 "Siltumtīklu pārbūve Iecavā" īstenošanai</t>
  </si>
  <si>
    <t>Kohēzijas fonda projekta Nr.5.3.1.0/17/I/020 "Bauskas ūdenssaimniecības attīstība III kārta"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</si>
</sst>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sz val="10"/>
      <name val="Times New Roman"/>
      <family val="1"/>
      <charset val="186"/>
    </font>
    <font>
      <i/>
      <sz val="10"/>
      <name val="Arial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/>
      <top/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68108157597583"/>
      </left>
      <right style="thin">
        <color theme="0" tint="-0.34968108157597583"/>
      </right>
      <top style="thin">
        <color theme="0" tint="-0.34968108157597583"/>
      </top>
      <bottom style="thin">
        <color theme="0" tint="-0.34968108157597583"/>
      </bottom>
      <diagonal/>
    </border>
    <border>
      <left style="thin">
        <color theme="0" tint="-0.34968108157597583"/>
      </left>
      <right style="thin">
        <color theme="0" tint="-0.34968108157597583"/>
      </right>
      <top style="thin">
        <color theme="0" tint="-0.34968108157597583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</borders>
  <cellStyleXfs count="7">
    <xf numFmtId="0" fontId="0" fillId="0" borderId="0"/>
    <xf numFmtId="164" fontId="10" fillId="0" borderId="0" applyFont="0" applyFill="0" applyBorder="0" applyAlignment="0" applyProtection="0"/>
    <xf numFmtId="0" fontId="1" fillId="0" borderId="0"/>
    <xf numFmtId="0" fontId="1" fillId="0" borderId="0"/>
    <xf numFmtId="164" fontId="10" fillId="0" borderId="0" applyFont="0" applyFill="0" applyBorder="0" applyAlignment="0" applyProtection="0"/>
    <xf numFmtId="0" fontId="1" fillId="0" borderId="0"/>
    <xf numFmtId="0" fontId="1" fillId="0" borderId="0"/>
  </cellStyleXfs>
  <cellXfs count="154">
    <xf numFmtId="0" fontId="0" fillId="0" borderId="0" xfId="0"/>
    <xf numFmtId="0" fontId="2" fillId="0" borderId="0" xfId="2" applyFont="1" applyProtection="1">
      <protection locked="0"/>
    </xf>
    <xf numFmtId="0" fontId="2" fillId="0" borderId="0" xfId="2" applyFont="1"/>
    <xf numFmtId="0" fontId="2" fillId="2" borderId="0" xfId="2" applyFont="1" applyFill="1"/>
    <xf numFmtId="0" fontId="4" fillId="0" borderId="0" xfId="2" applyFont="1" applyAlignment="1" applyProtection="1">
      <alignment horizontal="right"/>
      <protection locked="0"/>
    </xf>
    <xf numFmtId="0" fontId="5" fillId="0" borderId="1" xfId="2" applyFont="1" applyBorder="1" applyAlignment="1">
      <alignment horizontal="center" vertical="center" wrapText="1"/>
    </xf>
    <xf numFmtId="0" fontId="6" fillId="0" borderId="0" xfId="2" applyFont="1" applyAlignment="1">
      <alignment horizontal="center" wrapText="1"/>
    </xf>
    <xf numFmtId="0" fontId="6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wrapText="1"/>
    </xf>
    <xf numFmtId="49" fontId="5" fillId="0" borderId="0" xfId="2" applyNumberFormat="1" applyFont="1" applyAlignment="1">
      <alignment horizontal="left" wrapText="1"/>
    </xf>
    <xf numFmtId="0" fontId="2" fillId="0" borderId="0" xfId="2" applyFont="1" applyAlignment="1">
      <alignment horizontal="center"/>
    </xf>
    <xf numFmtId="165" fontId="1" fillId="2" borderId="1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165" fontId="5" fillId="0" borderId="1" xfId="1" applyNumberFormat="1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wrapText="1"/>
    </xf>
    <xf numFmtId="49" fontId="1" fillId="0" borderId="5" xfId="0" applyNumberFormat="1" applyFont="1" applyBorder="1" applyAlignment="1">
      <alignment horizontal="center" vertical="center"/>
    </xf>
    <xf numFmtId="165" fontId="1" fillId="2" borderId="5" xfId="1" applyNumberFormat="1" applyFont="1" applyFill="1" applyBorder="1" applyAlignment="1">
      <alignment horizontal="center" vertical="center"/>
    </xf>
    <xf numFmtId="165" fontId="1" fillId="0" borderId="5" xfId="1" applyNumberFormat="1" applyFont="1" applyFill="1" applyBorder="1" applyAlignment="1">
      <alignment horizontal="center" vertical="center"/>
    </xf>
    <xf numFmtId="165" fontId="1" fillId="0" borderId="5" xfId="1" applyNumberFormat="1" applyFont="1" applyFill="1" applyBorder="1" applyAlignment="1" applyProtection="1">
      <alignment horizontal="center" vertical="center"/>
      <protection locked="0"/>
    </xf>
    <xf numFmtId="165" fontId="5" fillId="0" borderId="5" xfId="1" applyNumberFormat="1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wrapText="1"/>
    </xf>
    <xf numFmtId="49" fontId="1" fillId="0" borderId="6" xfId="0" applyNumberFormat="1" applyFont="1" applyBorder="1" applyAlignment="1">
      <alignment horizontal="center" vertical="center"/>
    </xf>
    <xf numFmtId="165" fontId="1" fillId="2" borderId="6" xfId="1" applyNumberFormat="1" applyFont="1" applyFill="1" applyBorder="1" applyAlignment="1">
      <alignment horizontal="center" vertical="center"/>
    </xf>
    <xf numFmtId="165" fontId="1" fillId="0" borderId="6" xfId="1" applyNumberFormat="1" applyFont="1" applyFill="1" applyBorder="1" applyAlignment="1">
      <alignment horizontal="center" vertical="center"/>
    </xf>
    <xf numFmtId="165" fontId="5" fillId="0" borderId="6" xfId="1" applyNumberFormat="1" applyFont="1" applyFill="1" applyBorder="1" applyAlignment="1">
      <alignment horizontal="center" vertical="center" wrapText="1"/>
    </xf>
    <xf numFmtId="165" fontId="1" fillId="2" borderId="2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2" xfId="1" applyNumberFormat="1" applyFont="1" applyFill="1" applyBorder="1" applyAlignment="1" applyProtection="1">
      <alignment horizontal="center" vertical="center"/>
      <protection locked="0"/>
    </xf>
    <xf numFmtId="165" fontId="5" fillId="0" borderId="2" xfId="1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/>
    </xf>
    <xf numFmtId="165" fontId="1" fillId="2" borderId="8" xfId="1" applyNumberFormat="1" applyFont="1" applyFill="1" applyBorder="1" applyAlignment="1">
      <alignment horizontal="center" vertical="center"/>
    </xf>
    <xf numFmtId="165" fontId="1" fillId="0" borderId="8" xfId="1" applyNumberFormat="1" applyFont="1" applyFill="1" applyBorder="1" applyAlignment="1">
      <alignment horizontal="center" vertical="center"/>
    </xf>
    <xf numFmtId="165" fontId="5" fillId="0" borderId="8" xfId="1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wrapText="1"/>
    </xf>
    <xf numFmtId="0" fontId="2" fillId="0" borderId="9" xfId="2" applyFont="1" applyBorder="1" applyAlignment="1">
      <alignment horizontal="center"/>
    </xf>
    <xf numFmtId="0" fontId="2" fillId="0" borderId="5" xfId="2" applyFont="1" applyBorder="1" applyAlignment="1">
      <alignment horizontal="center"/>
    </xf>
    <xf numFmtId="0" fontId="2" fillId="0" borderId="5" xfId="2" applyFont="1" applyBorder="1" applyAlignment="1">
      <alignment horizontal="center" wrapText="1"/>
    </xf>
    <xf numFmtId="0" fontId="2" fillId="0" borderId="10" xfId="2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49" fontId="5" fillId="0" borderId="11" xfId="2" applyNumberFormat="1" applyFont="1" applyBorder="1" applyAlignment="1" applyProtection="1">
      <alignment horizontal="left" vertical="center" wrapText="1"/>
      <protection locked="0"/>
    </xf>
    <xf numFmtId="0" fontId="7" fillId="0" borderId="12" xfId="0" applyFont="1" applyBorder="1"/>
    <xf numFmtId="165" fontId="5" fillId="2" borderId="2" xfId="1" applyNumberFormat="1" applyFont="1" applyFill="1" applyBorder="1" applyAlignment="1" applyProtection="1">
      <alignment horizontal="center" vertical="center" wrapText="1"/>
      <protection locked="0"/>
    </xf>
    <xf numFmtId="165" fontId="1" fillId="2" borderId="0" xfId="1" applyNumberFormat="1" applyFont="1" applyFill="1" applyAlignment="1" applyProtection="1">
      <alignment horizontal="center" vertical="center" wrapText="1"/>
      <protection locked="0"/>
    </xf>
    <xf numFmtId="165" fontId="1" fillId="0" borderId="0" xfId="1" applyNumberFormat="1" applyFont="1" applyFill="1" applyAlignment="1" applyProtection="1">
      <alignment horizontal="center" vertical="center" wrapText="1"/>
      <protection locked="0"/>
    </xf>
    <xf numFmtId="165" fontId="1" fillId="0" borderId="0" xfId="1" applyNumberFormat="1" applyFont="1" applyAlignment="1" applyProtection="1">
      <alignment horizontal="center" vertical="center" wrapText="1"/>
      <protection locked="0"/>
    </xf>
    <xf numFmtId="165" fontId="1" fillId="0" borderId="0" xfId="1" applyNumberFormat="1" applyFont="1" applyAlignment="1">
      <alignment horizontal="center" vertical="center" wrapText="1"/>
    </xf>
    <xf numFmtId="0" fontId="2" fillId="0" borderId="0" xfId="2" applyFont="1" applyAlignment="1" applyProtection="1">
      <alignment horizontal="center" vertical="center" wrapText="1"/>
      <protection locked="0"/>
    </xf>
    <xf numFmtId="0" fontId="2" fillId="0" borderId="0" xfId="2" applyFont="1" applyAlignment="1">
      <alignment horizontal="center" vertical="center" wrapText="1"/>
    </xf>
    <xf numFmtId="49" fontId="5" fillId="0" borderId="0" xfId="2" applyNumberFormat="1" applyFont="1" applyAlignment="1" applyProtection="1">
      <alignment horizontal="left" wrapText="1"/>
      <protection locked="0"/>
    </xf>
    <xf numFmtId="49" fontId="5" fillId="0" borderId="0" xfId="2" applyNumberFormat="1" applyFont="1" applyAlignment="1" applyProtection="1">
      <alignment wrapText="1"/>
      <protection locked="0"/>
    </xf>
    <xf numFmtId="49" fontId="5" fillId="0" borderId="0" xfId="2" applyNumberFormat="1" applyFont="1" applyAlignment="1" applyProtection="1">
      <alignment horizontal="center" vertical="center" wrapText="1"/>
      <protection locked="0"/>
    </xf>
    <xf numFmtId="165" fontId="5" fillId="2" borderId="0" xfId="1" applyNumberFormat="1" applyFont="1" applyFill="1" applyAlignment="1" applyProtection="1">
      <alignment horizontal="center" vertical="center" wrapText="1"/>
      <protection locked="0"/>
    </xf>
    <xf numFmtId="165" fontId="1" fillId="2" borderId="1" xfId="1" applyNumberFormat="1" applyFont="1" applyFill="1" applyBorder="1" applyAlignment="1" applyProtection="1">
      <alignment horizontal="center" vertical="center"/>
      <protection locked="0"/>
    </xf>
    <xf numFmtId="165" fontId="1" fillId="2" borderId="1" xfId="4" applyNumberFormat="1" applyFont="1" applyFill="1" applyBorder="1" applyAlignment="1" applyProtection="1">
      <alignment horizontal="center" vertical="center"/>
      <protection locked="0"/>
    </xf>
    <xf numFmtId="165" fontId="1" fillId="2" borderId="3" xfId="1" applyNumberFormat="1" applyFont="1" applyFill="1" applyBorder="1" applyAlignment="1" applyProtection="1">
      <alignment horizontal="center" vertical="center" wrapText="1"/>
      <protection locked="0"/>
    </xf>
    <xf numFmtId="165" fontId="1" fillId="2" borderId="3" xfId="1" applyNumberFormat="1" applyFont="1" applyFill="1" applyBorder="1" applyAlignment="1" applyProtection="1">
      <alignment horizontal="center" vertical="center"/>
      <protection locked="0"/>
    </xf>
    <xf numFmtId="165" fontId="5" fillId="0" borderId="3" xfId="1" applyNumberFormat="1" applyFont="1" applyFill="1" applyBorder="1" applyAlignment="1">
      <alignment horizontal="center" vertical="center" wrapText="1"/>
    </xf>
    <xf numFmtId="49" fontId="5" fillId="0" borderId="5" xfId="2" applyNumberFormat="1" applyFont="1" applyBorder="1" applyAlignment="1" applyProtection="1">
      <alignment vertical="center" wrapText="1"/>
      <protection locked="0"/>
    </xf>
    <xf numFmtId="165" fontId="5" fillId="2" borderId="5" xfId="1" applyNumberFormat="1" applyFont="1" applyFill="1" applyBorder="1" applyAlignment="1" applyProtection="1">
      <alignment horizontal="center" vertical="center" wrapText="1"/>
      <protection locked="0"/>
    </xf>
    <xf numFmtId="165" fontId="5" fillId="0" borderId="5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0" xfId="1" applyNumberFormat="1" applyFont="1" applyFill="1" applyBorder="1" applyAlignment="1">
      <alignment horizontal="center" vertical="center" wrapText="1"/>
    </xf>
    <xf numFmtId="49" fontId="5" fillId="0" borderId="13" xfId="2" applyNumberFormat="1" applyFont="1" applyBorder="1" applyAlignment="1" applyProtection="1">
      <alignment vertical="center" wrapText="1"/>
      <protection locked="0"/>
    </xf>
    <xf numFmtId="49" fontId="5" fillId="0" borderId="0" xfId="2" applyNumberFormat="1" applyFont="1" applyAlignment="1" applyProtection="1">
      <alignment vertical="center" wrapText="1"/>
      <protection locked="0"/>
    </xf>
    <xf numFmtId="165" fontId="1" fillId="0" borderId="4" xfId="1" applyNumberFormat="1" applyFont="1" applyFill="1" applyBorder="1" applyAlignment="1">
      <alignment horizontal="center" vertical="center" wrapText="1"/>
    </xf>
    <xf numFmtId="165" fontId="5" fillId="2" borderId="14" xfId="1" applyNumberFormat="1" applyFont="1" applyFill="1" applyBorder="1" applyAlignment="1">
      <alignment horizontal="center" vertical="center" wrapText="1"/>
    </xf>
    <xf numFmtId="165" fontId="5" fillId="0" borderId="14" xfId="1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>
      <alignment horizontal="center" vertical="center" wrapText="1"/>
    </xf>
    <xf numFmtId="165" fontId="1" fillId="0" borderId="1" xfId="1" applyNumberFormat="1" applyFont="1" applyBorder="1" applyAlignment="1">
      <alignment horizontal="center" vertical="center" wrapText="1"/>
    </xf>
    <xf numFmtId="49" fontId="8" fillId="0" borderId="0" xfId="2" applyNumberFormat="1" applyFont="1" applyAlignment="1">
      <alignment vertical="center" wrapText="1"/>
    </xf>
    <xf numFmtId="49" fontId="8" fillId="2" borderId="0" xfId="2" applyNumberFormat="1" applyFont="1" applyFill="1" applyAlignment="1">
      <alignment vertical="center" wrapText="1"/>
    </xf>
    <xf numFmtId="0" fontId="8" fillId="0" borderId="15" xfId="2" applyFont="1" applyBorder="1" applyAlignment="1" applyProtection="1">
      <alignment vertical="center"/>
      <protection locked="0"/>
    </xf>
    <xf numFmtId="0" fontId="2" fillId="0" borderId="0" xfId="6" applyFont="1"/>
    <xf numFmtId="0" fontId="2" fillId="2" borderId="0" xfId="2" applyFont="1" applyFill="1" applyAlignment="1">
      <alignment horizontal="center" wrapText="1"/>
    </xf>
    <xf numFmtId="165" fontId="1" fillId="2" borderId="5" xfId="1" applyNumberFormat="1" applyFont="1" applyFill="1" applyBorder="1" applyAlignment="1" applyProtection="1">
      <alignment horizontal="center" vertical="center"/>
      <protection locked="0"/>
    </xf>
    <xf numFmtId="165" fontId="1" fillId="2" borderId="5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2" applyFont="1" applyAlignment="1" applyProtection="1">
      <alignment wrapText="1"/>
      <protection locked="0"/>
    </xf>
    <xf numFmtId="165" fontId="2" fillId="0" borderId="0" xfId="2" applyNumberFormat="1" applyFont="1" applyAlignment="1" applyProtection="1">
      <alignment wrapText="1"/>
      <protection locked="0"/>
    </xf>
    <xf numFmtId="165" fontId="5" fillId="2" borderId="1" xfId="1" applyNumberFormat="1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center"/>
    </xf>
    <xf numFmtId="165" fontId="5" fillId="2" borderId="5" xfId="1" applyNumberFormat="1" applyFont="1" applyFill="1" applyBorder="1" applyAlignment="1">
      <alignment horizontal="center" vertical="center" wrapText="1"/>
    </xf>
    <xf numFmtId="164" fontId="1" fillId="0" borderId="1" xfId="1" applyFont="1" applyBorder="1" applyAlignment="1">
      <alignment horizontal="center" vertical="center" wrapText="1"/>
    </xf>
    <xf numFmtId="49" fontId="1" fillId="0" borderId="0" xfId="2" applyNumberFormat="1" applyAlignment="1" applyProtection="1">
      <alignment horizontal="center" vertical="center" wrapText="1"/>
      <protection locked="0"/>
    </xf>
    <xf numFmtId="0" fontId="1" fillId="0" borderId="1" xfId="2" applyBorder="1" applyAlignment="1" applyProtection="1">
      <alignment horizontal="center" vertical="center" wrapText="1"/>
      <protection locked="0"/>
    </xf>
    <xf numFmtId="0" fontId="1" fillId="0" borderId="1" xfId="2" applyBorder="1" applyAlignment="1">
      <alignment horizontal="center" vertical="center" wrapText="1"/>
    </xf>
    <xf numFmtId="0" fontId="1" fillId="0" borderId="0" xfId="2" applyAlignment="1">
      <alignment horizontal="center" wrapText="1"/>
    </xf>
    <xf numFmtId="49" fontId="6" fillId="2" borderId="0" xfId="2" applyNumberFormat="1" applyFont="1" applyFill="1" applyAlignment="1">
      <alignment horizontal="left" wrapText="1"/>
    </xf>
    <xf numFmtId="0" fontId="1" fillId="0" borderId="0" xfId="2" applyAlignment="1">
      <alignment horizontal="center"/>
    </xf>
    <xf numFmtId="49" fontId="1" fillId="0" borderId="1" xfId="2" applyNumberFormat="1" applyBorder="1" applyAlignment="1" applyProtection="1">
      <alignment horizontal="center" vertical="center" wrapText="1"/>
      <protection locked="0"/>
    </xf>
    <xf numFmtId="49" fontId="1" fillId="0" borderId="1" xfId="2" applyNumberFormat="1" applyBorder="1" applyAlignment="1" applyProtection="1">
      <alignment horizontal="left" vertical="center" wrapText="1"/>
      <protection locked="0"/>
    </xf>
    <xf numFmtId="0" fontId="1" fillId="0" borderId="3" xfId="2" applyBorder="1" applyAlignment="1" applyProtection="1">
      <alignment horizontal="center" vertical="center" wrapText="1"/>
      <protection locked="0"/>
    </xf>
    <xf numFmtId="165" fontId="1" fillId="0" borderId="6" xfId="1" applyNumberFormat="1" applyFont="1" applyFill="1" applyBorder="1" applyAlignment="1" applyProtection="1">
      <alignment horizontal="center" vertical="center"/>
      <protection locked="0"/>
    </xf>
    <xf numFmtId="49" fontId="1" fillId="0" borderId="2" xfId="2" applyNumberFormat="1" applyBorder="1" applyAlignment="1" applyProtection="1">
      <alignment horizontal="center" vertical="center" wrapText="1"/>
      <protection locked="0"/>
    </xf>
    <xf numFmtId="49" fontId="1" fillId="0" borderId="2" xfId="2" applyNumberFormat="1" applyBorder="1" applyAlignment="1" applyProtection="1">
      <alignment horizontal="left" vertical="center" wrapText="1"/>
      <protection locked="0"/>
    </xf>
    <xf numFmtId="49" fontId="1" fillId="2" borderId="1" xfId="2" applyNumberFormat="1" applyFill="1" applyBorder="1" applyAlignment="1" applyProtection="1">
      <alignment horizontal="center" vertical="center" wrapText="1"/>
      <protection locked="0"/>
    </xf>
    <xf numFmtId="0" fontId="1" fillId="2" borderId="3" xfId="2" applyFill="1" applyBorder="1" applyAlignment="1" applyProtection="1">
      <alignment horizontal="center" vertical="center" wrapText="1"/>
      <protection locked="0"/>
    </xf>
    <xf numFmtId="49" fontId="1" fillId="2" borderId="1" xfId="2" applyNumberFormat="1" applyFill="1" applyBorder="1" applyAlignment="1" applyProtection="1">
      <alignment horizontal="left" vertical="center" wrapText="1"/>
      <protection locked="0"/>
    </xf>
    <xf numFmtId="0" fontId="1" fillId="2" borderId="1" xfId="2" applyFill="1" applyBorder="1" applyAlignment="1" applyProtection="1">
      <alignment horizontal="center" vertical="center" wrapText="1"/>
      <protection locked="0"/>
    </xf>
    <xf numFmtId="49" fontId="1" fillId="0" borderId="5" xfId="2" applyNumberFormat="1" applyBorder="1" applyAlignment="1" applyProtection="1">
      <alignment horizontal="left" vertical="center" wrapText="1"/>
      <protection locked="0"/>
    </xf>
    <xf numFmtId="49" fontId="1" fillId="0" borderId="5" xfId="2" applyNumberFormat="1" applyBorder="1" applyAlignment="1" applyProtection="1">
      <alignment horizontal="center" vertical="center" wrapText="1"/>
      <protection locked="0"/>
    </xf>
    <xf numFmtId="49" fontId="1" fillId="0" borderId="5" xfId="2" applyNumberFormat="1" applyBorder="1" applyAlignment="1" applyProtection="1">
      <alignment horizontal="left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8" xfId="2" applyNumberFormat="1" applyBorder="1" applyAlignment="1" applyProtection="1">
      <alignment horizontal="left" wrapText="1"/>
      <protection locked="0"/>
    </xf>
    <xf numFmtId="49" fontId="1" fillId="0" borderId="16" xfId="2" applyNumberFormat="1" applyBorder="1" applyAlignment="1" applyProtection="1">
      <alignment horizontal="center" vertical="center" wrapText="1"/>
      <protection locked="0"/>
    </xf>
    <xf numFmtId="165" fontId="1" fillId="0" borderId="8" xfId="1" applyNumberFormat="1" applyFont="1" applyFill="1" applyBorder="1" applyAlignment="1" applyProtection="1">
      <alignment horizontal="center" vertical="center"/>
      <protection locked="0"/>
    </xf>
    <xf numFmtId="49" fontId="1" fillId="0" borderId="17" xfId="2" applyNumberFormat="1" applyBorder="1" applyAlignment="1" applyProtection="1">
      <alignment horizontal="center" vertical="center" wrapText="1"/>
      <protection locked="0"/>
    </xf>
    <xf numFmtId="49" fontId="1" fillId="0" borderId="6" xfId="2" applyNumberFormat="1" applyBorder="1" applyAlignment="1" applyProtection="1">
      <alignment horizontal="left" wrapText="1"/>
      <protection locked="0"/>
    </xf>
    <xf numFmtId="49" fontId="1" fillId="0" borderId="6" xfId="2" applyNumberForma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>
      <alignment horizontal="left" wrapText="1"/>
    </xf>
    <xf numFmtId="0" fontId="1" fillId="0" borderId="12" xfId="0" applyFont="1" applyBorder="1" applyAlignment="1">
      <alignment wrapText="1"/>
    </xf>
    <xf numFmtId="49" fontId="1" fillId="2" borderId="5" xfId="0" applyNumberFormat="1" applyFont="1" applyFill="1" applyBorder="1" applyAlignment="1">
      <alignment horizontal="center" vertical="center"/>
    </xf>
    <xf numFmtId="0" fontId="1" fillId="0" borderId="5" xfId="2" applyBorder="1" applyAlignment="1">
      <alignment horizontal="left" wrapText="1"/>
    </xf>
    <xf numFmtId="0" fontId="1" fillId="0" borderId="5" xfId="2" applyBorder="1" applyAlignment="1">
      <alignment horizontal="center" vertical="center" wrapText="1"/>
    </xf>
    <xf numFmtId="165" fontId="1" fillId="2" borderId="5" xfId="1" applyNumberFormat="1" applyFont="1" applyFill="1" applyBorder="1" applyAlignment="1">
      <alignment horizontal="center" vertical="center" wrapText="1"/>
    </xf>
    <xf numFmtId="3" fontId="1" fillId="0" borderId="5" xfId="2" applyNumberFormat="1" applyBorder="1" applyAlignment="1">
      <alignment horizontal="right" vertical="center" wrapText="1"/>
    </xf>
    <xf numFmtId="165" fontId="1" fillId="0" borderId="5" xfId="1" applyNumberFormat="1" applyFont="1" applyBorder="1" applyAlignment="1">
      <alignment horizontal="center" vertical="center" wrapText="1"/>
    </xf>
    <xf numFmtId="165" fontId="1" fillId="0" borderId="5" xfId="1" applyNumberFormat="1" applyFont="1" applyBorder="1" applyAlignment="1">
      <alignment horizontal="right" vertical="center" wrapText="1"/>
    </xf>
    <xf numFmtId="165" fontId="1" fillId="0" borderId="5" xfId="1" applyNumberFormat="1" applyFont="1" applyFill="1" applyBorder="1" applyAlignment="1">
      <alignment horizontal="right" vertical="center"/>
    </xf>
    <xf numFmtId="165" fontId="1" fillId="0" borderId="5" xfId="1" applyNumberFormat="1" applyFont="1" applyFill="1" applyBorder="1" applyAlignment="1" applyProtection="1">
      <alignment horizontal="right" vertical="center"/>
      <protection locked="0"/>
    </xf>
    <xf numFmtId="49" fontId="1" fillId="0" borderId="18" xfId="2" applyNumberFormat="1" applyBorder="1" applyAlignment="1" applyProtection="1">
      <alignment horizontal="center" vertical="center" wrapText="1"/>
      <protection locked="0"/>
    </xf>
    <xf numFmtId="49" fontId="1" fillId="0" borderId="0" xfId="2" applyNumberFormat="1" applyAlignment="1" applyProtection="1">
      <alignment wrapText="1"/>
      <protection locked="0"/>
    </xf>
    <xf numFmtId="49" fontId="1" fillId="0" borderId="5" xfId="3" applyNumberFormat="1" applyBorder="1" applyAlignment="1">
      <alignment horizontal="left" wrapText="1"/>
    </xf>
    <xf numFmtId="49" fontId="1" fillId="0" borderId="19" xfId="3" applyNumberFormat="1" applyBorder="1" applyAlignment="1">
      <alignment horizontal="center" vertical="center" wrapText="1"/>
    </xf>
    <xf numFmtId="49" fontId="1" fillId="2" borderId="5" xfId="3" applyNumberFormat="1" applyFill="1" applyBorder="1" applyAlignment="1">
      <alignment horizontal="center" vertical="center"/>
    </xf>
    <xf numFmtId="49" fontId="1" fillId="0" borderId="5" xfId="3" applyNumberFormat="1" applyBorder="1" applyAlignment="1">
      <alignment horizontal="center" vertical="center"/>
    </xf>
    <xf numFmtId="49" fontId="1" fillId="0" borderId="3" xfId="2" applyNumberFormat="1" applyBorder="1" applyAlignment="1" applyProtection="1">
      <alignment horizontal="center" vertical="center" wrapText="1"/>
      <protection locked="0"/>
    </xf>
    <xf numFmtId="49" fontId="1" fillId="0" borderId="3" xfId="2" applyNumberFormat="1" applyBorder="1" applyAlignment="1" applyProtection="1">
      <alignment horizontal="left" vertical="center" wrapText="1"/>
      <protection locked="0"/>
    </xf>
    <xf numFmtId="49" fontId="1" fillId="0" borderId="20" xfId="3" applyNumberFormat="1" applyBorder="1" applyAlignment="1">
      <alignment horizontal="center" vertical="center" wrapText="1"/>
    </xf>
    <xf numFmtId="49" fontId="1" fillId="0" borderId="5" xfId="3" applyNumberFormat="1" applyBorder="1" applyAlignment="1">
      <alignment horizontal="center" vertical="center" wrapText="1"/>
    </xf>
    <xf numFmtId="49" fontId="1" fillId="0" borderId="21" xfId="5" applyNumberFormat="1" applyBorder="1" applyAlignment="1">
      <alignment vertical="center" wrapText="1"/>
    </xf>
    <xf numFmtId="49" fontId="1" fillId="0" borderId="14" xfId="5" applyNumberFormat="1" applyBorder="1" applyAlignment="1">
      <alignment horizontal="center" vertical="center" wrapText="1"/>
    </xf>
    <xf numFmtId="49" fontId="1" fillId="0" borderId="0" xfId="2" applyNumberFormat="1" applyAlignment="1" applyProtection="1">
      <alignment vertical="center" wrapText="1"/>
      <protection locked="0"/>
    </xf>
    <xf numFmtId="0" fontId="1" fillId="0" borderId="4" xfId="2" applyBorder="1" applyAlignment="1" applyProtection="1">
      <alignment vertical="center"/>
      <protection locked="0"/>
    </xf>
    <xf numFmtId="49" fontId="1" fillId="0" borderId="22" xfId="2" applyNumberFormat="1" applyBorder="1" applyAlignment="1">
      <alignment horizontal="left" vertical="center" wrapText="1"/>
    </xf>
    <xf numFmtId="49" fontId="1" fillId="2" borderId="0" xfId="2" applyNumberFormat="1" applyFill="1" applyAlignment="1">
      <alignment horizontal="left" vertical="center" wrapText="1"/>
    </xf>
    <xf numFmtId="0" fontId="1" fillId="0" borderId="0" xfId="2" applyAlignment="1">
      <alignment vertical="center"/>
    </xf>
    <xf numFmtId="0" fontId="1" fillId="0" borderId="23" xfId="2" applyBorder="1" applyAlignment="1">
      <alignment horizontal="right" vertical="center"/>
    </xf>
    <xf numFmtId="3" fontId="1" fillId="3" borderId="18" xfId="2" applyNumberFormat="1" applyFill="1" applyBorder="1" applyAlignment="1" applyProtection="1">
      <alignment horizontal="right" vertical="center"/>
      <protection locked="0"/>
    </xf>
    <xf numFmtId="0" fontId="9" fillId="0" borderId="0" xfId="0" applyFont="1" applyAlignment="1">
      <alignment horizontal="center" wrapText="1"/>
    </xf>
    <xf numFmtId="49" fontId="3" fillId="0" borderId="4" xfId="2" applyNumberFormat="1" applyFont="1" applyBorder="1" applyAlignment="1">
      <alignment horizontal="center" vertical="center" wrapText="1"/>
    </xf>
    <xf numFmtId="49" fontId="3" fillId="0" borderId="4" xfId="2" applyNumberFormat="1" applyFont="1" applyBorder="1" applyAlignment="1" applyProtection="1">
      <alignment horizontal="center" vertical="center" wrapText="1"/>
      <protection locked="0"/>
    </xf>
    <xf numFmtId="49" fontId="1" fillId="0" borderId="1" xfId="2" applyNumberFormat="1" applyBorder="1" applyAlignment="1" applyProtection="1">
      <alignment horizontal="left" vertical="center" wrapText="1"/>
      <protection locked="0"/>
    </xf>
    <xf numFmtId="49" fontId="1" fillId="0" borderId="1" xfId="2" applyNumberFormat="1" applyBorder="1" applyAlignment="1">
      <alignment horizontal="left" vertical="center" wrapText="1"/>
    </xf>
    <xf numFmtId="0" fontId="2" fillId="0" borderId="0" xfId="2" applyFont="1" applyAlignment="1" applyProtection="1">
      <alignment horizontal="right"/>
      <protection locked="0"/>
    </xf>
    <xf numFmtId="0" fontId="2" fillId="0" borderId="0" xfId="2" applyFont="1" applyAlignment="1" applyProtection="1">
      <alignment horizontal="right" wrapText="1"/>
      <protection locked="0"/>
    </xf>
    <xf numFmtId="0" fontId="3" fillId="0" borderId="0" xfId="2" applyFont="1" applyAlignment="1" applyProtection="1">
      <alignment horizontal="center"/>
      <protection locked="0"/>
    </xf>
    <xf numFmtId="49" fontId="1" fillId="0" borderId="1" xfId="2" applyNumberFormat="1" applyBorder="1" applyAlignment="1">
      <alignment horizontal="center" vertical="center" wrapText="1"/>
    </xf>
    <xf numFmtId="49" fontId="1" fillId="0" borderId="3" xfId="2" applyNumberFormat="1" applyBorder="1" applyAlignment="1">
      <alignment horizontal="center" vertical="center" wrapText="1"/>
    </xf>
    <xf numFmtId="49" fontId="1" fillId="0" borderId="2" xfId="2" applyNumberFormat="1" applyBorder="1" applyAlignment="1">
      <alignment horizontal="center" vertical="center" wrapText="1"/>
    </xf>
    <xf numFmtId="49" fontId="1" fillId="2" borderId="3" xfId="2" applyNumberFormat="1" applyFill="1" applyBorder="1" applyAlignment="1">
      <alignment horizontal="center" vertical="center" wrapText="1"/>
    </xf>
    <xf numFmtId="49" fontId="1" fillId="2" borderId="2" xfId="2" applyNumberFormat="1" applyFill="1" applyBorder="1" applyAlignment="1">
      <alignment horizontal="center" vertical="center" wrapText="1"/>
    </xf>
    <xf numFmtId="0" fontId="1" fillId="0" borderId="1" xfId="2" applyBorder="1" applyAlignment="1" applyProtection="1">
      <alignment horizontal="center" vertical="center" wrapText="1"/>
      <protection locked="0"/>
    </xf>
  </cellXfs>
  <cellStyles count="7">
    <cellStyle name="Comma" xfId="1" builtinId="3"/>
    <cellStyle name="Comma 2" xfId="4"/>
    <cellStyle name="Normal" xfId="0" builtinId="0"/>
    <cellStyle name="Normal 2 2" xfId="6"/>
    <cellStyle name="Normal_Pamatformas" xfId="2"/>
    <cellStyle name="Normal_Veidlapa_2008_oktobris_(4.piel)" xfId="3"/>
    <cellStyle name="Normal_Veidlapa_2008_oktobris_(5.piel)_(2)" xf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J160"/>
  <sheetViews>
    <sheetView showGridLines="0" tabSelected="1" zoomScale="95" zoomScaleNormal="95" zoomScaleSheetLayoutView="100" workbookViewId="0">
      <selection activeCell="AN1" sqref="AN1"/>
    </sheetView>
  </sheetViews>
  <sheetFormatPr defaultRowHeight="12" x14ac:dyDescent="0.2"/>
  <cols>
    <col min="1" max="1" width="7.42578125" style="1" customWidth="1"/>
    <col min="2" max="2" width="11.42578125" style="2" customWidth="1"/>
    <col min="3" max="3" width="28.85546875" style="2" customWidth="1"/>
    <col min="4" max="4" width="12.85546875" style="2" customWidth="1"/>
    <col min="5" max="6" width="12.28515625" style="2" customWidth="1"/>
    <col min="7" max="7" width="12.28515625" style="3" customWidth="1"/>
    <col min="8" max="8" width="13.5703125" style="3" customWidth="1"/>
    <col min="9" max="17" width="13.28515625" style="1" customWidth="1"/>
    <col min="18" max="21" width="0" style="1" hidden="1" customWidth="1"/>
    <col min="22" max="22" width="0" style="2" hidden="1" customWidth="1"/>
    <col min="23" max="24" width="0" style="1" hidden="1" customWidth="1"/>
    <col min="25" max="25" width="0" style="2" hidden="1" customWidth="1"/>
    <col min="26" max="38" width="0" style="1" hidden="1" customWidth="1"/>
    <col min="39" max="244" width="8.85546875" style="1"/>
    <col min="245" max="254" width="8.85546875" style="74"/>
    <col min="255" max="255" width="11.140625" style="74" customWidth="1"/>
    <col min="256" max="256" width="29.7109375" style="74" customWidth="1"/>
    <col min="257" max="257" width="12.42578125" style="74" customWidth="1"/>
    <col min="258" max="258" width="25" style="74" customWidth="1"/>
    <col min="259" max="259" width="12.28515625" style="74" customWidth="1"/>
    <col min="260" max="268" width="13.28515625" style="74" customWidth="1"/>
    <col min="269" max="289" width="0" style="74" hidden="1" customWidth="1"/>
    <col min="290" max="510" width="8.85546875" style="74"/>
    <col min="511" max="511" width="11.140625" style="74" customWidth="1"/>
    <col min="512" max="512" width="29.7109375" style="74" customWidth="1"/>
    <col min="513" max="513" width="12.42578125" style="74" customWidth="1"/>
    <col min="514" max="514" width="25" style="74" customWidth="1"/>
    <col min="515" max="515" width="12.28515625" style="74" customWidth="1"/>
    <col min="516" max="524" width="13.28515625" style="74" customWidth="1"/>
    <col min="525" max="545" width="0" style="74" hidden="1" customWidth="1"/>
    <col min="546" max="766" width="8.85546875" style="74"/>
    <col min="767" max="767" width="11.140625" style="74" customWidth="1"/>
    <col min="768" max="768" width="29.7109375" style="74" customWidth="1"/>
    <col min="769" max="769" width="12.42578125" style="74" customWidth="1"/>
    <col min="770" max="770" width="25" style="74" customWidth="1"/>
    <col min="771" max="771" width="12.28515625" style="74" customWidth="1"/>
    <col min="772" max="780" width="13.28515625" style="74" customWidth="1"/>
    <col min="781" max="801" width="0" style="74" hidden="1" customWidth="1"/>
    <col min="802" max="1022" width="8.85546875" style="74"/>
    <col min="1023" max="1023" width="11.140625" style="74" customWidth="1"/>
    <col min="1024" max="1024" width="29.7109375" style="74" customWidth="1"/>
    <col min="1025" max="1025" width="12.42578125" style="74" customWidth="1"/>
    <col min="1026" max="1026" width="25" style="74" customWidth="1"/>
    <col min="1027" max="1027" width="12.28515625" style="74" customWidth="1"/>
    <col min="1028" max="1036" width="13.28515625" style="74" customWidth="1"/>
    <col min="1037" max="1057" width="0" style="74" hidden="1" customWidth="1"/>
    <col min="1058" max="1278" width="8.85546875" style="74"/>
    <col min="1279" max="1279" width="11.140625" style="74" customWidth="1"/>
    <col min="1280" max="1280" width="29.7109375" style="74" customWidth="1"/>
    <col min="1281" max="1281" width="12.42578125" style="74" customWidth="1"/>
    <col min="1282" max="1282" width="25" style="74" customWidth="1"/>
    <col min="1283" max="1283" width="12.28515625" style="74" customWidth="1"/>
    <col min="1284" max="1292" width="13.28515625" style="74" customWidth="1"/>
    <col min="1293" max="1313" width="0" style="74" hidden="1" customWidth="1"/>
    <col min="1314" max="1534" width="8.85546875" style="74"/>
    <col min="1535" max="1535" width="11.140625" style="74" customWidth="1"/>
    <col min="1536" max="1536" width="29.7109375" style="74" customWidth="1"/>
    <col min="1537" max="1537" width="12.42578125" style="74" customWidth="1"/>
    <col min="1538" max="1538" width="25" style="74" customWidth="1"/>
    <col min="1539" max="1539" width="12.28515625" style="74" customWidth="1"/>
    <col min="1540" max="1548" width="13.28515625" style="74" customWidth="1"/>
    <col min="1549" max="1569" width="0" style="74" hidden="1" customWidth="1"/>
    <col min="1570" max="1790" width="8.85546875" style="74"/>
    <col min="1791" max="1791" width="11.140625" style="74" customWidth="1"/>
    <col min="1792" max="1792" width="29.7109375" style="74" customWidth="1"/>
    <col min="1793" max="1793" width="12.42578125" style="74" customWidth="1"/>
    <col min="1794" max="1794" width="25" style="74" customWidth="1"/>
    <col min="1795" max="1795" width="12.28515625" style="74" customWidth="1"/>
    <col min="1796" max="1804" width="13.28515625" style="74" customWidth="1"/>
    <col min="1805" max="1825" width="0" style="74" hidden="1" customWidth="1"/>
    <col min="1826" max="2046" width="8.85546875" style="74"/>
    <col min="2047" max="2047" width="11.140625" style="74" customWidth="1"/>
    <col min="2048" max="2048" width="29.7109375" style="74" customWidth="1"/>
    <col min="2049" max="2049" width="12.42578125" style="74" customWidth="1"/>
    <col min="2050" max="2050" width="25" style="74" customWidth="1"/>
    <col min="2051" max="2051" width="12.28515625" style="74" customWidth="1"/>
    <col min="2052" max="2060" width="13.28515625" style="74" customWidth="1"/>
    <col min="2061" max="2081" width="0" style="74" hidden="1" customWidth="1"/>
    <col min="2082" max="2302" width="8.85546875" style="74"/>
    <col min="2303" max="2303" width="11.140625" style="74" customWidth="1"/>
    <col min="2304" max="2304" width="29.7109375" style="74" customWidth="1"/>
    <col min="2305" max="2305" width="12.42578125" style="74" customWidth="1"/>
    <col min="2306" max="2306" width="25" style="74" customWidth="1"/>
    <col min="2307" max="2307" width="12.28515625" style="74" customWidth="1"/>
    <col min="2308" max="2316" width="13.28515625" style="74" customWidth="1"/>
    <col min="2317" max="2337" width="0" style="74" hidden="1" customWidth="1"/>
    <col min="2338" max="2558" width="8.85546875" style="74"/>
    <col min="2559" max="2559" width="11.140625" style="74" customWidth="1"/>
    <col min="2560" max="2560" width="29.7109375" style="74" customWidth="1"/>
    <col min="2561" max="2561" width="12.42578125" style="74" customWidth="1"/>
    <col min="2562" max="2562" width="25" style="74" customWidth="1"/>
    <col min="2563" max="2563" width="12.28515625" style="74" customWidth="1"/>
    <col min="2564" max="2572" width="13.28515625" style="74" customWidth="1"/>
    <col min="2573" max="2593" width="0" style="74" hidden="1" customWidth="1"/>
    <col min="2594" max="2814" width="8.85546875" style="74"/>
    <col min="2815" max="2815" width="11.140625" style="74" customWidth="1"/>
    <col min="2816" max="2816" width="29.7109375" style="74" customWidth="1"/>
    <col min="2817" max="2817" width="12.42578125" style="74" customWidth="1"/>
    <col min="2818" max="2818" width="25" style="74" customWidth="1"/>
    <col min="2819" max="2819" width="12.28515625" style="74" customWidth="1"/>
    <col min="2820" max="2828" width="13.28515625" style="74" customWidth="1"/>
    <col min="2829" max="2849" width="0" style="74" hidden="1" customWidth="1"/>
    <col min="2850" max="3070" width="8.85546875" style="74"/>
    <col min="3071" max="3071" width="11.140625" style="74" customWidth="1"/>
    <col min="3072" max="3072" width="29.7109375" style="74" customWidth="1"/>
    <col min="3073" max="3073" width="12.42578125" style="74" customWidth="1"/>
    <col min="3074" max="3074" width="25" style="74" customWidth="1"/>
    <col min="3075" max="3075" width="12.28515625" style="74" customWidth="1"/>
    <col min="3076" max="3084" width="13.28515625" style="74" customWidth="1"/>
    <col min="3085" max="3105" width="0" style="74" hidden="1" customWidth="1"/>
    <col min="3106" max="3326" width="8.85546875" style="74"/>
    <col min="3327" max="3327" width="11.140625" style="74" customWidth="1"/>
    <col min="3328" max="3328" width="29.7109375" style="74" customWidth="1"/>
    <col min="3329" max="3329" width="12.42578125" style="74" customWidth="1"/>
    <col min="3330" max="3330" width="25" style="74" customWidth="1"/>
    <col min="3331" max="3331" width="12.28515625" style="74" customWidth="1"/>
    <col min="3332" max="3340" width="13.28515625" style="74" customWidth="1"/>
    <col min="3341" max="3361" width="0" style="74" hidden="1" customWidth="1"/>
    <col min="3362" max="3582" width="8.85546875" style="74"/>
    <col min="3583" max="3583" width="11.140625" style="74" customWidth="1"/>
    <col min="3584" max="3584" width="29.7109375" style="74" customWidth="1"/>
    <col min="3585" max="3585" width="12.42578125" style="74" customWidth="1"/>
    <col min="3586" max="3586" width="25" style="74" customWidth="1"/>
    <col min="3587" max="3587" width="12.28515625" style="74" customWidth="1"/>
    <col min="3588" max="3596" width="13.28515625" style="74" customWidth="1"/>
    <col min="3597" max="3617" width="0" style="74" hidden="1" customWidth="1"/>
    <col min="3618" max="3838" width="8.85546875" style="74"/>
    <col min="3839" max="3839" width="11.140625" style="74" customWidth="1"/>
    <col min="3840" max="3840" width="29.7109375" style="74" customWidth="1"/>
    <col min="3841" max="3841" width="12.42578125" style="74" customWidth="1"/>
    <col min="3842" max="3842" width="25" style="74" customWidth="1"/>
    <col min="3843" max="3843" width="12.28515625" style="74" customWidth="1"/>
    <col min="3844" max="3852" width="13.28515625" style="74" customWidth="1"/>
    <col min="3853" max="3873" width="0" style="74" hidden="1" customWidth="1"/>
    <col min="3874" max="4094" width="8.85546875" style="74"/>
    <col min="4095" max="4095" width="11.140625" style="74" customWidth="1"/>
    <col min="4096" max="4096" width="29.7109375" style="74" customWidth="1"/>
    <col min="4097" max="4097" width="12.42578125" style="74" customWidth="1"/>
    <col min="4098" max="4098" width="25" style="74" customWidth="1"/>
    <col min="4099" max="4099" width="12.28515625" style="74" customWidth="1"/>
    <col min="4100" max="4108" width="13.28515625" style="74" customWidth="1"/>
    <col min="4109" max="4129" width="0" style="74" hidden="1" customWidth="1"/>
    <col min="4130" max="4350" width="8.85546875" style="74"/>
    <col min="4351" max="4351" width="11.140625" style="74" customWidth="1"/>
    <col min="4352" max="4352" width="29.7109375" style="74" customWidth="1"/>
    <col min="4353" max="4353" width="12.42578125" style="74" customWidth="1"/>
    <col min="4354" max="4354" width="25" style="74" customWidth="1"/>
    <col min="4355" max="4355" width="12.28515625" style="74" customWidth="1"/>
    <col min="4356" max="4364" width="13.28515625" style="74" customWidth="1"/>
    <col min="4365" max="4385" width="0" style="74" hidden="1" customWidth="1"/>
    <col min="4386" max="4606" width="8.85546875" style="74"/>
    <col min="4607" max="4607" width="11.140625" style="74" customWidth="1"/>
    <col min="4608" max="4608" width="29.7109375" style="74" customWidth="1"/>
    <col min="4609" max="4609" width="12.42578125" style="74" customWidth="1"/>
    <col min="4610" max="4610" width="25" style="74" customWidth="1"/>
    <col min="4611" max="4611" width="12.28515625" style="74" customWidth="1"/>
    <col min="4612" max="4620" width="13.28515625" style="74" customWidth="1"/>
    <col min="4621" max="4641" width="0" style="74" hidden="1" customWidth="1"/>
    <col min="4642" max="4862" width="8.85546875" style="74"/>
    <col min="4863" max="4863" width="11.140625" style="74" customWidth="1"/>
    <col min="4864" max="4864" width="29.7109375" style="74" customWidth="1"/>
    <col min="4865" max="4865" width="12.42578125" style="74" customWidth="1"/>
    <col min="4866" max="4866" width="25" style="74" customWidth="1"/>
    <col min="4867" max="4867" width="12.28515625" style="74" customWidth="1"/>
    <col min="4868" max="4876" width="13.28515625" style="74" customWidth="1"/>
    <col min="4877" max="4897" width="0" style="74" hidden="1" customWidth="1"/>
    <col min="4898" max="5118" width="8.85546875" style="74"/>
    <col min="5119" max="5119" width="11.140625" style="74" customWidth="1"/>
    <col min="5120" max="5120" width="29.7109375" style="74" customWidth="1"/>
    <col min="5121" max="5121" width="12.42578125" style="74" customWidth="1"/>
    <col min="5122" max="5122" width="25" style="74" customWidth="1"/>
    <col min="5123" max="5123" width="12.28515625" style="74" customWidth="1"/>
    <col min="5124" max="5132" width="13.28515625" style="74" customWidth="1"/>
    <col min="5133" max="5153" width="0" style="74" hidden="1" customWidth="1"/>
    <col min="5154" max="5374" width="8.85546875" style="74"/>
    <col min="5375" max="5375" width="11.140625" style="74" customWidth="1"/>
    <col min="5376" max="5376" width="29.7109375" style="74" customWidth="1"/>
    <col min="5377" max="5377" width="12.42578125" style="74" customWidth="1"/>
    <col min="5378" max="5378" width="25" style="74" customWidth="1"/>
    <col min="5379" max="5379" width="12.28515625" style="74" customWidth="1"/>
    <col min="5380" max="5388" width="13.28515625" style="74" customWidth="1"/>
    <col min="5389" max="5409" width="0" style="74" hidden="1" customWidth="1"/>
    <col min="5410" max="5630" width="8.85546875" style="74"/>
    <col min="5631" max="5631" width="11.140625" style="74" customWidth="1"/>
    <col min="5632" max="5632" width="29.7109375" style="74" customWidth="1"/>
    <col min="5633" max="5633" width="12.42578125" style="74" customWidth="1"/>
    <col min="5634" max="5634" width="25" style="74" customWidth="1"/>
    <col min="5635" max="5635" width="12.28515625" style="74" customWidth="1"/>
    <col min="5636" max="5644" width="13.28515625" style="74" customWidth="1"/>
    <col min="5645" max="5665" width="0" style="74" hidden="1" customWidth="1"/>
    <col min="5666" max="5886" width="8.85546875" style="74"/>
    <col min="5887" max="5887" width="11.140625" style="74" customWidth="1"/>
    <col min="5888" max="5888" width="29.7109375" style="74" customWidth="1"/>
    <col min="5889" max="5889" width="12.42578125" style="74" customWidth="1"/>
    <col min="5890" max="5890" width="25" style="74" customWidth="1"/>
    <col min="5891" max="5891" width="12.28515625" style="74" customWidth="1"/>
    <col min="5892" max="5900" width="13.28515625" style="74" customWidth="1"/>
    <col min="5901" max="5921" width="0" style="74" hidden="1" customWidth="1"/>
    <col min="5922" max="6142" width="8.85546875" style="74"/>
    <col min="6143" max="6143" width="11.140625" style="74" customWidth="1"/>
    <col min="6144" max="6144" width="29.7109375" style="74" customWidth="1"/>
    <col min="6145" max="6145" width="12.42578125" style="74" customWidth="1"/>
    <col min="6146" max="6146" width="25" style="74" customWidth="1"/>
    <col min="6147" max="6147" width="12.28515625" style="74" customWidth="1"/>
    <col min="6148" max="6156" width="13.28515625" style="74" customWidth="1"/>
    <col min="6157" max="6177" width="0" style="74" hidden="1" customWidth="1"/>
    <col min="6178" max="6398" width="8.85546875" style="74"/>
    <col min="6399" max="6399" width="11.140625" style="74" customWidth="1"/>
    <col min="6400" max="6400" width="29.7109375" style="74" customWidth="1"/>
    <col min="6401" max="6401" width="12.42578125" style="74" customWidth="1"/>
    <col min="6402" max="6402" width="25" style="74" customWidth="1"/>
    <col min="6403" max="6403" width="12.28515625" style="74" customWidth="1"/>
    <col min="6404" max="6412" width="13.28515625" style="74" customWidth="1"/>
    <col min="6413" max="6433" width="0" style="74" hidden="1" customWidth="1"/>
    <col min="6434" max="6654" width="8.85546875" style="74"/>
    <col min="6655" max="6655" width="11.140625" style="74" customWidth="1"/>
    <col min="6656" max="6656" width="29.7109375" style="74" customWidth="1"/>
    <col min="6657" max="6657" width="12.42578125" style="74" customWidth="1"/>
    <col min="6658" max="6658" width="25" style="74" customWidth="1"/>
    <col min="6659" max="6659" width="12.28515625" style="74" customWidth="1"/>
    <col min="6660" max="6668" width="13.28515625" style="74" customWidth="1"/>
    <col min="6669" max="6689" width="0" style="74" hidden="1" customWidth="1"/>
    <col min="6690" max="6910" width="8.85546875" style="74"/>
    <col min="6911" max="6911" width="11.140625" style="74" customWidth="1"/>
    <col min="6912" max="6912" width="29.7109375" style="74" customWidth="1"/>
    <col min="6913" max="6913" width="12.42578125" style="74" customWidth="1"/>
    <col min="6914" max="6914" width="25" style="74" customWidth="1"/>
    <col min="6915" max="6915" width="12.28515625" style="74" customWidth="1"/>
    <col min="6916" max="6924" width="13.28515625" style="74" customWidth="1"/>
    <col min="6925" max="6945" width="0" style="74" hidden="1" customWidth="1"/>
    <col min="6946" max="7166" width="8.85546875" style="74"/>
    <col min="7167" max="7167" width="11.140625" style="74" customWidth="1"/>
    <col min="7168" max="7168" width="29.7109375" style="74" customWidth="1"/>
    <col min="7169" max="7169" width="12.42578125" style="74" customWidth="1"/>
    <col min="7170" max="7170" width="25" style="74" customWidth="1"/>
    <col min="7171" max="7171" width="12.28515625" style="74" customWidth="1"/>
    <col min="7172" max="7180" width="13.28515625" style="74" customWidth="1"/>
    <col min="7181" max="7201" width="0" style="74" hidden="1" customWidth="1"/>
    <col min="7202" max="7422" width="8.85546875" style="74"/>
    <col min="7423" max="7423" width="11.140625" style="74" customWidth="1"/>
    <col min="7424" max="7424" width="29.7109375" style="74" customWidth="1"/>
    <col min="7425" max="7425" width="12.42578125" style="74" customWidth="1"/>
    <col min="7426" max="7426" width="25" style="74" customWidth="1"/>
    <col min="7427" max="7427" width="12.28515625" style="74" customWidth="1"/>
    <col min="7428" max="7436" width="13.28515625" style="74" customWidth="1"/>
    <col min="7437" max="7457" width="0" style="74" hidden="1" customWidth="1"/>
    <col min="7458" max="7678" width="8.85546875" style="74"/>
    <col min="7679" max="7679" width="11.140625" style="74" customWidth="1"/>
    <col min="7680" max="7680" width="29.7109375" style="74" customWidth="1"/>
    <col min="7681" max="7681" width="12.42578125" style="74" customWidth="1"/>
    <col min="7682" max="7682" width="25" style="74" customWidth="1"/>
    <col min="7683" max="7683" width="12.28515625" style="74" customWidth="1"/>
    <col min="7684" max="7692" width="13.28515625" style="74" customWidth="1"/>
    <col min="7693" max="7713" width="0" style="74" hidden="1" customWidth="1"/>
    <col min="7714" max="7934" width="8.85546875" style="74"/>
    <col min="7935" max="7935" width="11.140625" style="74" customWidth="1"/>
    <col min="7936" max="7936" width="29.7109375" style="74" customWidth="1"/>
    <col min="7937" max="7937" width="12.42578125" style="74" customWidth="1"/>
    <col min="7938" max="7938" width="25" style="74" customWidth="1"/>
    <col min="7939" max="7939" width="12.28515625" style="74" customWidth="1"/>
    <col min="7940" max="7948" width="13.28515625" style="74" customWidth="1"/>
    <col min="7949" max="7969" width="0" style="74" hidden="1" customWidth="1"/>
    <col min="7970" max="8190" width="8.85546875" style="74"/>
    <col min="8191" max="8191" width="11.140625" style="74" customWidth="1"/>
    <col min="8192" max="8192" width="29.7109375" style="74" customWidth="1"/>
    <col min="8193" max="8193" width="12.42578125" style="74" customWidth="1"/>
    <col min="8194" max="8194" width="25" style="74" customWidth="1"/>
    <col min="8195" max="8195" width="12.28515625" style="74" customWidth="1"/>
    <col min="8196" max="8204" width="13.28515625" style="74" customWidth="1"/>
    <col min="8205" max="8225" width="0" style="74" hidden="1" customWidth="1"/>
    <col min="8226" max="8446" width="8.85546875" style="74"/>
    <col min="8447" max="8447" width="11.140625" style="74" customWidth="1"/>
    <col min="8448" max="8448" width="29.7109375" style="74" customWidth="1"/>
    <col min="8449" max="8449" width="12.42578125" style="74" customWidth="1"/>
    <col min="8450" max="8450" width="25" style="74" customWidth="1"/>
    <col min="8451" max="8451" width="12.28515625" style="74" customWidth="1"/>
    <col min="8452" max="8460" width="13.28515625" style="74" customWidth="1"/>
    <col min="8461" max="8481" width="0" style="74" hidden="1" customWidth="1"/>
    <col min="8482" max="8702" width="8.85546875" style="74"/>
    <col min="8703" max="8703" width="11.140625" style="74" customWidth="1"/>
    <col min="8704" max="8704" width="29.7109375" style="74" customWidth="1"/>
    <col min="8705" max="8705" width="12.42578125" style="74" customWidth="1"/>
    <col min="8706" max="8706" width="25" style="74" customWidth="1"/>
    <col min="8707" max="8707" width="12.28515625" style="74" customWidth="1"/>
    <col min="8708" max="8716" width="13.28515625" style="74" customWidth="1"/>
    <col min="8717" max="8737" width="0" style="74" hidden="1" customWidth="1"/>
    <col min="8738" max="8958" width="8.85546875" style="74"/>
    <col min="8959" max="8959" width="11.140625" style="74" customWidth="1"/>
    <col min="8960" max="8960" width="29.7109375" style="74" customWidth="1"/>
    <col min="8961" max="8961" width="12.42578125" style="74" customWidth="1"/>
    <col min="8962" max="8962" width="25" style="74" customWidth="1"/>
    <col min="8963" max="8963" width="12.28515625" style="74" customWidth="1"/>
    <col min="8964" max="8972" width="13.28515625" style="74" customWidth="1"/>
    <col min="8973" max="8993" width="0" style="74" hidden="1" customWidth="1"/>
    <col min="8994" max="9214" width="8.85546875" style="74"/>
    <col min="9215" max="9215" width="11.140625" style="74" customWidth="1"/>
    <col min="9216" max="9216" width="29.7109375" style="74" customWidth="1"/>
    <col min="9217" max="9217" width="12.42578125" style="74" customWidth="1"/>
    <col min="9218" max="9218" width="25" style="74" customWidth="1"/>
    <col min="9219" max="9219" width="12.28515625" style="74" customWidth="1"/>
    <col min="9220" max="9228" width="13.28515625" style="74" customWidth="1"/>
    <col min="9229" max="9249" width="0" style="74" hidden="1" customWidth="1"/>
    <col min="9250" max="9470" width="8.85546875" style="74"/>
    <col min="9471" max="9471" width="11.140625" style="74" customWidth="1"/>
    <col min="9472" max="9472" width="29.7109375" style="74" customWidth="1"/>
    <col min="9473" max="9473" width="12.42578125" style="74" customWidth="1"/>
    <col min="9474" max="9474" width="25" style="74" customWidth="1"/>
    <col min="9475" max="9475" width="12.28515625" style="74" customWidth="1"/>
    <col min="9476" max="9484" width="13.28515625" style="74" customWidth="1"/>
    <col min="9485" max="9505" width="0" style="74" hidden="1" customWidth="1"/>
    <col min="9506" max="9726" width="8.85546875" style="74"/>
    <col min="9727" max="9727" width="11.140625" style="74" customWidth="1"/>
    <col min="9728" max="9728" width="29.7109375" style="74" customWidth="1"/>
    <col min="9729" max="9729" width="12.42578125" style="74" customWidth="1"/>
    <col min="9730" max="9730" width="25" style="74" customWidth="1"/>
    <col min="9731" max="9731" width="12.28515625" style="74" customWidth="1"/>
    <col min="9732" max="9740" width="13.28515625" style="74" customWidth="1"/>
    <col min="9741" max="9761" width="0" style="74" hidden="1" customWidth="1"/>
    <col min="9762" max="9982" width="8.85546875" style="74"/>
    <col min="9983" max="9983" width="11.140625" style="74" customWidth="1"/>
    <col min="9984" max="9984" width="29.7109375" style="74" customWidth="1"/>
    <col min="9985" max="9985" width="12.42578125" style="74" customWidth="1"/>
    <col min="9986" max="9986" width="25" style="74" customWidth="1"/>
    <col min="9987" max="9987" width="12.28515625" style="74" customWidth="1"/>
    <col min="9988" max="9996" width="13.28515625" style="74" customWidth="1"/>
    <col min="9997" max="10017" width="0" style="74" hidden="1" customWidth="1"/>
    <col min="10018" max="10238" width="8.85546875" style="74"/>
    <col min="10239" max="10239" width="11.140625" style="74" customWidth="1"/>
    <col min="10240" max="10240" width="29.7109375" style="74" customWidth="1"/>
    <col min="10241" max="10241" width="12.42578125" style="74" customWidth="1"/>
    <col min="10242" max="10242" width="25" style="74" customWidth="1"/>
    <col min="10243" max="10243" width="12.28515625" style="74" customWidth="1"/>
    <col min="10244" max="10252" width="13.28515625" style="74" customWidth="1"/>
    <col min="10253" max="10273" width="0" style="74" hidden="1" customWidth="1"/>
    <col min="10274" max="10494" width="8.85546875" style="74"/>
    <col min="10495" max="10495" width="11.140625" style="74" customWidth="1"/>
    <col min="10496" max="10496" width="29.7109375" style="74" customWidth="1"/>
    <col min="10497" max="10497" width="12.42578125" style="74" customWidth="1"/>
    <col min="10498" max="10498" width="25" style="74" customWidth="1"/>
    <col min="10499" max="10499" width="12.28515625" style="74" customWidth="1"/>
    <col min="10500" max="10508" width="13.28515625" style="74" customWidth="1"/>
    <col min="10509" max="10529" width="0" style="74" hidden="1" customWidth="1"/>
    <col min="10530" max="10750" width="8.85546875" style="74"/>
    <col min="10751" max="10751" width="11.140625" style="74" customWidth="1"/>
    <col min="10752" max="10752" width="29.7109375" style="74" customWidth="1"/>
    <col min="10753" max="10753" width="12.42578125" style="74" customWidth="1"/>
    <col min="10754" max="10754" width="25" style="74" customWidth="1"/>
    <col min="10755" max="10755" width="12.28515625" style="74" customWidth="1"/>
    <col min="10756" max="10764" width="13.28515625" style="74" customWidth="1"/>
    <col min="10765" max="10785" width="0" style="74" hidden="1" customWidth="1"/>
    <col min="10786" max="11006" width="8.85546875" style="74"/>
    <col min="11007" max="11007" width="11.140625" style="74" customWidth="1"/>
    <col min="11008" max="11008" width="29.7109375" style="74" customWidth="1"/>
    <col min="11009" max="11009" width="12.42578125" style="74" customWidth="1"/>
    <col min="11010" max="11010" width="25" style="74" customWidth="1"/>
    <col min="11011" max="11011" width="12.28515625" style="74" customWidth="1"/>
    <col min="11012" max="11020" width="13.28515625" style="74" customWidth="1"/>
    <col min="11021" max="11041" width="0" style="74" hidden="1" customWidth="1"/>
    <col min="11042" max="11262" width="8.85546875" style="74"/>
    <col min="11263" max="11263" width="11.140625" style="74" customWidth="1"/>
    <col min="11264" max="11264" width="29.7109375" style="74" customWidth="1"/>
    <col min="11265" max="11265" width="12.42578125" style="74" customWidth="1"/>
    <col min="11266" max="11266" width="25" style="74" customWidth="1"/>
    <col min="11267" max="11267" width="12.28515625" style="74" customWidth="1"/>
    <col min="11268" max="11276" width="13.28515625" style="74" customWidth="1"/>
    <col min="11277" max="11297" width="0" style="74" hidden="1" customWidth="1"/>
    <col min="11298" max="11518" width="8.85546875" style="74"/>
    <col min="11519" max="11519" width="11.140625" style="74" customWidth="1"/>
    <col min="11520" max="11520" width="29.7109375" style="74" customWidth="1"/>
    <col min="11521" max="11521" width="12.42578125" style="74" customWidth="1"/>
    <col min="11522" max="11522" width="25" style="74" customWidth="1"/>
    <col min="11523" max="11523" width="12.28515625" style="74" customWidth="1"/>
    <col min="11524" max="11532" width="13.28515625" style="74" customWidth="1"/>
    <col min="11533" max="11553" width="0" style="74" hidden="1" customWidth="1"/>
    <col min="11554" max="11774" width="8.85546875" style="74"/>
    <col min="11775" max="11775" width="11.140625" style="74" customWidth="1"/>
    <col min="11776" max="11776" width="29.7109375" style="74" customWidth="1"/>
    <col min="11777" max="11777" width="12.42578125" style="74" customWidth="1"/>
    <col min="11778" max="11778" width="25" style="74" customWidth="1"/>
    <col min="11779" max="11779" width="12.28515625" style="74" customWidth="1"/>
    <col min="11780" max="11788" width="13.28515625" style="74" customWidth="1"/>
    <col min="11789" max="11809" width="0" style="74" hidden="1" customWidth="1"/>
    <col min="11810" max="12030" width="8.85546875" style="74"/>
    <col min="12031" max="12031" width="11.140625" style="74" customWidth="1"/>
    <col min="12032" max="12032" width="29.7109375" style="74" customWidth="1"/>
    <col min="12033" max="12033" width="12.42578125" style="74" customWidth="1"/>
    <col min="12034" max="12034" width="25" style="74" customWidth="1"/>
    <col min="12035" max="12035" width="12.28515625" style="74" customWidth="1"/>
    <col min="12036" max="12044" width="13.28515625" style="74" customWidth="1"/>
    <col min="12045" max="12065" width="0" style="74" hidden="1" customWidth="1"/>
    <col min="12066" max="12286" width="8.85546875" style="74"/>
    <col min="12287" max="12287" width="11.140625" style="74" customWidth="1"/>
    <col min="12288" max="12288" width="29.7109375" style="74" customWidth="1"/>
    <col min="12289" max="12289" width="12.42578125" style="74" customWidth="1"/>
    <col min="12290" max="12290" width="25" style="74" customWidth="1"/>
    <col min="12291" max="12291" width="12.28515625" style="74" customWidth="1"/>
    <col min="12292" max="12300" width="13.28515625" style="74" customWidth="1"/>
    <col min="12301" max="12321" width="0" style="74" hidden="1" customWidth="1"/>
    <col min="12322" max="12542" width="8.85546875" style="74"/>
    <col min="12543" max="12543" width="11.140625" style="74" customWidth="1"/>
    <col min="12544" max="12544" width="29.7109375" style="74" customWidth="1"/>
    <col min="12545" max="12545" width="12.42578125" style="74" customWidth="1"/>
    <col min="12546" max="12546" width="25" style="74" customWidth="1"/>
    <col min="12547" max="12547" width="12.28515625" style="74" customWidth="1"/>
    <col min="12548" max="12556" width="13.28515625" style="74" customWidth="1"/>
    <col min="12557" max="12577" width="0" style="74" hidden="1" customWidth="1"/>
    <col min="12578" max="12798" width="8.85546875" style="74"/>
    <col min="12799" max="12799" width="11.140625" style="74" customWidth="1"/>
    <col min="12800" max="12800" width="29.7109375" style="74" customWidth="1"/>
    <col min="12801" max="12801" width="12.42578125" style="74" customWidth="1"/>
    <col min="12802" max="12802" width="25" style="74" customWidth="1"/>
    <col min="12803" max="12803" width="12.28515625" style="74" customWidth="1"/>
    <col min="12804" max="12812" width="13.28515625" style="74" customWidth="1"/>
    <col min="12813" max="12833" width="0" style="74" hidden="1" customWidth="1"/>
    <col min="12834" max="13054" width="8.85546875" style="74"/>
    <col min="13055" max="13055" width="11.140625" style="74" customWidth="1"/>
    <col min="13056" max="13056" width="29.7109375" style="74" customWidth="1"/>
    <col min="13057" max="13057" width="12.42578125" style="74" customWidth="1"/>
    <col min="13058" max="13058" width="25" style="74" customWidth="1"/>
    <col min="13059" max="13059" width="12.28515625" style="74" customWidth="1"/>
    <col min="13060" max="13068" width="13.28515625" style="74" customWidth="1"/>
    <col min="13069" max="13089" width="0" style="74" hidden="1" customWidth="1"/>
    <col min="13090" max="13310" width="8.85546875" style="74"/>
    <col min="13311" max="13311" width="11.140625" style="74" customWidth="1"/>
    <col min="13312" max="13312" width="29.7109375" style="74" customWidth="1"/>
    <col min="13313" max="13313" width="12.42578125" style="74" customWidth="1"/>
    <col min="13314" max="13314" width="25" style="74" customWidth="1"/>
    <col min="13315" max="13315" width="12.28515625" style="74" customWidth="1"/>
    <col min="13316" max="13324" width="13.28515625" style="74" customWidth="1"/>
    <col min="13325" max="13345" width="0" style="74" hidden="1" customWidth="1"/>
    <col min="13346" max="13566" width="8.85546875" style="74"/>
    <col min="13567" max="13567" width="11.140625" style="74" customWidth="1"/>
    <col min="13568" max="13568" width="29.7109375" style="74" customWidth="1"/>
    <col min="13569" max="13569" width="12.42578125" style="74" customWidth="1"/>
    <col min="13570" max="13570" width="25" style="74" customWidth="1"/>
    <col min="13571" max="13571" width="12.28515625" style="74" customWidth="1"/>
    <col min="13572" max="13580" width="13.28515625" style="74" customWidth="1"/>
    <col min="13581" max="13601" width="0" style="74" hidden="1" customWidth="1"/>
    <col min="13602" max="13822" width="8.85546875" style="74"/>
    <col min="13823" max="13823" width="11.140625" style="74" customWidth="1"/>
    <col min="13824" max="13824" width="29.7109375" style="74" customWidth="1"/>
    <col min="13825" max="13825" width="12.42578125" style="74" customWidth="1"/>
    <col min="13826" max="13826" width="25" style="74" customWidth="1"/>
    <col min="13827" max="13827" width="12.28515625" style="74" customWidth="1"/>
    <col min="13828" max="13836" width="13.28515625" style="74" customWidth="1"/>
    <col min="13837" max="13857" width="0" style="74" hidden="1" customWidth="1"/>
    <col min="13858" max="14078" width="8.85546875" style="74"/>
    <col min="14079" max="14079" width="11.140625" style="74" customWidth="1"/>
    <col min="14080" max="14080" width="29.7109375" style="74" customWidth="1"/>
    <col min="14081" max="14081" width="12.42578125" style="74" customWidth="1"/>
    <col min="14082" max="14082" width="25" style="74" customWidth="1"/>
    <col min="14083" max="14083" width="12.28515625" style="74" customWidth="1"/>
    <col min="14084" max="14092" width="13.28515625" style="74" customWidth="1"/>
    <col min="14093" max="14113" width="0" style="74" hidden="1" customWidth="1"/>
    <col min="14114" max="14334" width="8.85546875" style="74"/>
    <col min="14335" max="14335" width="11.140625" style="74" customWidth="1"/>
    <col min="14336" max="14336" width="29.7109375" style="74" customWidth="1"/>
    <col min="14337" max="14337" width="12.42578125" style="74" customWidth="1"/>
    <col min="14338" max="14338" width="25" style="74" customWidth="1"/>
    <col min="14339" max="14339" width="12.28515625" style="74" customWidth="1"/>
    <col min="14340" max="14348" width="13.28515625" style="74" customWidth="1"/>
    <col min="14349" max="14369" width="0" style="74" hidden="1" customWidth="1"/>
    <col min="14370" max="14590" width="8.85546875" style="74"/>
    <col min="14591" max="14591" width="11.140625" style="74" customWidth="1"/>
    <col min="14592" max="14592" width="29.7109375" style="74" customWidth="1"/>
    <col min="14593" max="14593" width="12.42578125" style="74" customWidth="1"/>
    <col min="14594" max="14594" width="25" style="74" customWidth="1"/>
    <col min="14595" max="14595" width="12.28515625" style="74" customWidth="1"/>
    <col min="14596" max="14604" width="13.28515625" style="74" customWidth="1"/>
    <col min="14605" max="14625" width="0" style="74" hidden="1" customWidth="1"/>
    <col min="14626" max="14846" width="8.85546875" style="74"/>
    <col min="14847" max="14847" width="11.140625" style="74" customWidth="1"/>
    <col min="14848" max="14848" width="29.7109375" style="74" customWidth="1"/>
    <col min="14849" max="14849" width="12.42578125" style="74" customWidth="1"/>
    <col min="14850" max="14850" width="25" style="74" customWidth="1"/>
    <col min="14851" max="14851" width="12.28515625" style="74" customWidth="1"/>
    <col min="14852" max="14860" width="13.28515625" style="74" customWidth="1"/>
    <col min="14861" max="14881" width="0" style="74" hidden="1" customWidth="1"/>
    <col min="14882" max="15102" width="8.85546875" style="74"/>
    <col min="15103" max="15103" width="11.140625" style="74" customWidth="1"/>
    <col min="15104" max="15104" width="29.7109375" style="74" customWidth="1"/>
    <col min="15105" max="15105" width="12.42578125" style="74" customWidth="1"/>
    <col min="15106" max="15106" width="25" style="74" customWidth="1"/>
    <col min="15107" max="15107" width="12.28515625" style="74" customWidth="1"/>
    <col min="15108" max="15116" width="13.28515625" style="74" customWidth="1"/>
    <col min="15117" max="15137" width="0" style="74" hidden="1" customWidth="1"/>
    <col min="15138" max="15358" width="8.85546875" style="74"/>
    <col min="15359" max="15359" width="11.140625" style="74" customWidth="1"/>
    <col min="15360" max="15360" width="29.7109375" style="74" customWidth="1"/>
    <col min="15361" max="15361" width="12.42578125" style="74" customWidth="1"/>
    <col min="15362" max="15362" width="25" style="74" customWidth="1"/>
    <col min="15363" max="15363" width="12.28515625" style="74" customWidth="1"/>
    <col min="15364" max="15372" width="13.28515625" style="74" customWidth="1"/>
    <col min="15373" max="15393" width="0" style="74" hidden="1" customWidth="1"/>
    <col min="15394" max="15614" width="8.85546875" style="74"/>
    <col min="15615" max="15615" width="11.140625" style="74" customWidth="1"/>
    <col min="15616" max="15616" width="29.7109375" style="74" customWidth="1"/>
    <col min="15617" max="15617" width="12.42578125" style="74" customWidth="1"/>
    <col min="15618" max="15618" width="25" style="74" customWidth="1"/>
    <col min="15619" max="15619" width="12.28515625" style="74" customWidth="1"/>
    <col min="15620" max="15628" width="13.28515625" style="74" customWidth="1"/>
    <col min="15629" max="15649" width="0" style="74" hidden="1" customWidth="1"/>
    <col min="15650" max="15870" width="8.85546875" style="74"/>
    <col min="15871" max="15871" width="11.140625" style="74" customWidth="1"/>
    <col min="15872" max="15872" width="29.7109375" style="74" customWidth="1"/>
    <col min="15873" max="15873" width="12.42578125" style="74" customWidth="1"/>
    <col min="15874" max="15874" width="25" style="74" customWidth="1"/>
    <col min="15875" max="15875" width="12.28515625" style="74" customWidth="1"/>
    <col min="15876" max="15884" width="13.28515625" style="74" customWidth="1"/>
    <col min="15885" max="15905" width="0" style="74" hidden="1" customWidth="1"/>
    <col min="15906" max="16126" width="8.85546875" style="74"/>
    <col min="16127" max="16127" width="11.140625" style="74" customWidth="1"/>
    <col min="16128" max="16128" width="29.7109375" style="74" customWidth="1"/>
    <col min="16129" max="16129" width="12.42578125" style="74" customWidth="1"/>
    <col min="16130" max="16130" width="25" style="74" customWidth="1"/>
    <col min="16131" max="16131" width="12.28515625" style="74" customWidth="1"/>
    <col min="16132" max="16140" width="13.28515625" style="74" customWidth="1"/>
    <col min="16141" max="16161" width="0" style="74" hidden="1" customWidth="1"/>
    <col min="16162" max="16384" width="8.85546875" style="74"/>
  </cols>
  <sheetData>
    <row r="1" spans="1:25" s="1" customFormat="1" ht="12.75" x14ac:dyDescent="0.2">
      <c r="B1" s="2"/>
      <c r="C1" s="2"/>
      <c r="D1" s="84"/>
      <c r="E1" s="2"/>
      <c r="F1" s="2"/>
      <c r="G1" s="3"/>
      <c r="H1" s="3"/>
      <c r="O1" s="145" t="s">
        <v>467</v>
      </c>
      <c r="P1" s="145"/>
      <c r="Q1" s="145"/>
      <c r="V1" s="2"/>
      <c r="Y1" s="2"/>
    </row>
    <row r="2" spans="1:25" s="1" customFormat="1" ht="24.75" customHeight="1" x14ac:dyDescent="0.2">
      <c r="B2" s="2"/>
      <c r="C2" s="2"/>
      <c r="D2" s="2"/>
      <c r="E2" s="2"/>
      <c r="F2" s="2"/>
      <c r="G2" s="3"/>
      <c r="H2" s="3"/>
      <c r="O2" s="146" t="s">
        <v>468</v>
      </c>
      <c r="P2" s="146"/>
      <c r="Q2" s="146"/>
      <c r="V2" s="2"/>
      <c r="Y2" s="2"/>
    </row>
    <row r="3" spans="1:25" s="1" customFormat="1" ht="15" x14ac:dyDescent="0.25">
      <c r="A3" s="147" t="s">
        <v>454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V3" s="2"/>
      <c r="Y3" s="2"/>
    </row>
    <row r="4" spans="1:25" s="1" customFormat="1" x14ac:dyDescent="0.2">
      <c r="B4" s="2"/>
      <c r="C4" s="2"/>
      <c r="D4" s="2"/>
      <c r="E4" s="2"/>
      <c r="F4" s="2"/>
      <c r="G4" s="3"/>
      <c r="H4" s="3"/>
      <c r="Q4" s="4"/>
      <c r="V4" s="2"/>
      <c r="Y4" s="2"/>
    </row>
    <row r="5" spans="1:25" s="1" customFormat="1" ht="15.75" customHeight="1" x14ac:dyDescent="0.2">
      <c r="A5" s="148" t="s">
        <v>0</v>
      </c>
      <c r="B5" s="148" t="s">
        <v>1</v>
      </c>
      <c r="C5" s="148" t="s">
        <v>2</v>
      </c>
      <c r="D5" s="149" t="s">
        <v>3</v>
      </c>
      <c r="E5" s="148" t="s">
        <v>4</v>
      </c>
      <c r="F5" s="149" t="s">
        <v>5</v>
      </c>
      <c r="G5" s="151" t="s">
        <v>6</v>
      </c>
      <c r="H5" s="151" t="s">
        <v>455</v>
      </c>
      <c r="I5" s="153" t="s">
        <v>7</v>
      </c>
      <c r="J5" s="153"/>
      <c r="K5" s="153"/>
      <c r="L5" s="153"/>
      <c r="M5" s="153"/>
      <c r="N5" s="153"/>
      <c r="O5" s="153"/>
      <c r="P5" s="153"/>
      <c r="Q5" s="153"/>
      <c r="V5" s="2"/>
      <c r="Y5" s="2"/>
    </row>
    <row r="6" spans="1:25" s="8" customFormat="1" ht="45.75" customHeight="1" x14ac:dyDescent="0.2">
      <c r="A6" s="148"/>
      <c r="B6" s="148"/>
      <c r="C6" s="148"/>
      <c r="D6" s="150"/>
      <c r="E6" s="148"/>
      <c r="F6" s="150"/>
      <c r="G6" s="152"/>
      <c r="H6" s="152"/>
      <c r="I6" s="86">
        <v>2024</v>
      </c>
      <c r="J6" s="86">
        <v>2025</v>
      </c>
      <c r="K6" s="86">
        <v>2026</v>
      </c>
      <c r="L6" s="86">
        <v>2027</v>
      </c>
      <c r="M6" s="86">
        <v>2028</v>
      </c>
      <c r="N6" s="86">
        <v>2029</v>
      </c>
      <c r="O6" s="86">
        <v>2030</v>
      </c>
      <c r="P6" s="86" t="s">
        <v>8</v>
      </c>
      <c r="Q6" s="5" t="s">
        <v>9</v>
      </c>
      <c r="R6" s="6"/>
      <c r="S6" s="6"/>
      <c r="T6" s="6"/>
      <c r="U6" s="6"/>
      <c r="V6" s="7"/>
      <c r="W6" s="6"/>
      <c r="X6" s="6"/>
      <c r="Y6" s="7"/>
    </row>
    <row r="7" spans="1:25" s="8" customFormat="1" ht="17.45" customHeight="1" x14ac:dyDescent="0.2">
      <c r="A7" s="87"/>
      <c r="B7" s="141" t="s">
        <v>10</v>
      </c>
      <c r="C7" s="141"/>
      <c r="D7" s="9"/>
      <c r="E7" s="9"/>
      <c r="F7" s="9"/>
      <c r="G7" s="88"/>
      <c r="H7" s="88"/>
      <c r="I7" s="89"/>
      <c r="J7" s="89"/>
      <c r="K7" s="89"/>
      <c r="L7" s="89"/>
      <c r="M7" s="89"/>
      <c r="N7" s="89"/>
      <c r="O7" s="89"/>
      <c r="P7" s="89"/>
      <c r="Q7" s="89"/>
      <c r="R7" s="10"/>
      <c r="S7" s="10"/>
      <c r="T7" s="10"/>
      <c r="U7" s="10"/>
      <c r="V7" s="10"/>
      <c r="W7" s="10"/>
      <c r="X7" s="10"/>
      <c r="Y7" s="10"/>
    </row>
    <row r="8" spans="1:25" s="8" customFormat="1" ht="38.25" x14ac:dyDescent="0.2">
      <c r="A8" s="85">
        <v>1</v>
      </c>
      <c r="B8" s="90" t="s">
        <v>11</v>
      </c>
      <c r="C8" s="91" t="s">
        <v>12</v>
      </c>
      <c r="D8" s="90" t="s">
        <v>13</v>
      </c>
      <c r="E8" s="90" t="s">
        <v>14</v>
      </c>
      <c r="F8" s="90" t="s">
        <v>15</v>
      </c>
      <c r="G8" s="11">
        <v>640292</v>
      </c>
      <c r="H8" s="11">
        <f>59600-5960</f>
        <v>53640</v>
      </c>
      <c r="I8" s="12">
        <v>26035</v>
      </c>
      <c r="J8" s="12">
        <v>24937</v>
      </c>
      <c r="K8" s="12">
        <v>6092</v>
      </c>
      <c r="L8" s="12">
        <v>0</v>
      </c>
      <c r="M8" s="12">
        <v>0</v>
      </c>
      <c r="N8" s="12"/>
      <c r="O8" s="12">
        <v>0</v>
      </c>
      <c r="P8" s="12">
        <v>0</v>
      </c>
      <c r="Q8" s="13">
        <f t="shared" ref="Q8:Q38" si="0">SUM(I8:P8)</f>
        <v>57064</v>
      </c>
      <c r="R8" s="10"/>
      <c r="S8" s="10"/>
      <c r="T8" s="10"/>
      <c r="U8" s="10"/>
      <c r="V8" s="10"/>
      <c r="W8" s="10"/>
      <c r="X8" s="10"/>
      <c r="Y8" s="10"/>
    </row>
    <row r="9" spans="1:25" s="8" customFormat="1" ht="51" x14ac:dyDescent="0.2">
      <c r="A9" s="85">
        <v>2</v>
      </c>
      <c r="B9" s="14" t="s">
        <v>11</v>
      </c>
      <c r="C9" s="15" t="s">
        <v>471</v>
      </c>
      <c r="D9" s="14" t="s">
        <v>16</v>
      </c>
      <c r="E9" s="16" t="s">
        <v>17</v>
      </c>
      <c r="F9" s="16" t="s">
        <v>18</v>
      </c>
      <c r="G9" s="17">
        <v>643379</v>
      </c>
      <c r="H9" s="17">
        <v>95744</v>
      </c>
      <c r="I9" s="18">
        <v>33284</v>
      </c>
      <c r="J9" s="18">
        <v>32902</v>
      </c>
      <c r="K9" s="18">
        <v>31626</v>
      </c>
      <c r="L9" s="18">
        <v>12</v>
      </c>
      <c r="M9" s="18">
        <v>0</v>
      </c>
      <c r="N9" s="18">
        <v>0</v>
      </c>
      <c r="O9" s="19">
        <v>0</v>
      </c>
      <c r="P9" s="18">
        <v>0</v>
      </c>
      <c r="Q9" s="20">
        <f t="shared" si="0"/>
        <v>97824</v>
      </c>
      <c r="R9" s="10"/>
      <c r="S9" s="10"/>
      <c r="T9" s="10"/>
      <c r="U9" s="10"/>
      <c r="V9" s="10"/>
      <c r="W9" s="10"/>
      <c r="X9" s="10"/>
      <c r="Y9" s="10"/>
    </row>
    <row r="10" spans="1:25" s="8" customFormat="1" ht="25.5" x14ac:dyDescent="0.2">
      <c r="A10" s="92">
        <v>3</v>
      </c>
      <c r="B10" s="21" t="s">
        <v>11</v>
      </c>
      <c r="C10" s="22" t="s">
        <v>19</v>
      </c>
      <c r="D10" s="21" t="s">
        <v>20</v>
      </c>
      <c r="E10" s="23" t="s">
        <v>21</v>
      </c>
      <c r="F10" s="23" t="s">
        <v>22</v>
      </c>
      <c r="G10" s="24">
        <v>569149</v>
      </c>
      <c r="H10" s="24">
        <f>181764-5049</f>
        <v>176715</v>
      </c>
      <c r="I10" s="25">
        <v>22243</v>
      </c>
      <c r="J10" s="25">
        <v>22000</v>
      </c>
      <c r="K10" s="25">
        <v>21763</v>
      </c>
      <c r="L10" s="25">
        <v>21525</v>
      </c>
      <c r="M10" s="25">
        <v>23356</v>
      </c>
      <c r="N10" s="25">
        <v>22910</v>
      </c>
      <c r="O10" s="93">
        <v>22155</v>
      </c>
      <c r="P10" s="25">
        <v>37000</v>
      </c>
      <c r="Q10" s="26">
        <f t="shared" si="0"/>
        <v>192952</v>
      </c>
      <c r="R10" s="10"/>
      <c r="S10" s="10"/>
      <c r="T10" s="10"/>
      <c r="U10" s="10"/>
      <c r="V10" s="10"/>
      <c r="W10" s="10"/>
      <c r="X10" s="10"/>
      <c r="Y10" s="10"/>
    </row>
    <row r="11" spans="1:25" s="8" customFormat="1" ht="38.25" x14ac:dyDescent="0.2">
      <c r="A11" s="85">
        <v>4</v>
      </c>
      <c r="B11" s="14" t="s">
        <v>11</v>
      </c>
      <c r="C11" s="15" t="s">
        <v>23</v>
      </c>
      <c r="D11" s="14" t="s">
        <v>24</v>
      </c>
      <c r="E11" s="16" t="s">
        <v>25</v>
      </c>
      <c r="F11" s="16" t="s">
        <v>26</v>
      </c>
      <c r="G11" s="17">
        <v>256117</v>
      </c>
      <c r="H11" s="17">
        <v>42097</v>
      </c>
      <c r="I11" s="18">
        <v>13443</v>
      </c>
      <c r="J11" s="18">
        <v>13290</v>
      </c>
      <c r="K11" s="18">
        <v>13137</v>
      </c>
      <c r="L11" s="18">
        <v>3211</v>
      </c>
      <c r="M11" s="18">
        <v>0</v>
      </c>
      <c r="N11" s="18">
        <v>0</v>
      </c>
      <c r="O11" s="19">
        <v>0</v>
      </c>
      <c r="P11" s="18">
        <v>0</v>
      </c>
      <c r="Q11" s="20">
        <f t="shared" si="0"/>
        <v>43081</v>
      </c>
      <c r="R11" s="10"/>
      <c r="S11" s="10"/>
      <c r="T11" s="10"/>
      <c r="U11" s="10"/>
      <c r="V11" s="10"/>
      <c r="W11" s="10"/>
      <c r="X11" s="10"/>
      <c r="Y11" s="10"/>
    </row>
    <row r="12" spans="1:25" s="8" customFormat="1" ht="25.5" x14ac:dyDescent="0.2">
      <c r="A12" s="85">
        <v>5</v>
      </c>
      <c r="B12" s="14" t="s">
        <v>11</v>
      </c>
      <c r="C12" s="15" t="s">
        <v>27</v>
      </c>
      <c r="D12" s="14" t="s">
        <v>28</v>
      </c>
      <c r="E12" s="16" t="s">
        <v>29</v>
      </c>
      <c r="F12" s="16" t="s">
        <v>30</v>
      </c>
      <c r="G12" s="17">
        <v>261808</v>
      </c>
      <c r="H12" s="17">
        <v>64570</v>
      </c>
      <c r="I12" s="18">
        <v>14339</v>
      </c>
      <c r="J12" s="18">
        <v>14177</v>
      </c>
      <c r="K12" s="18">
        <v>14018</v>
      </c>
      <c r="L12" s="18">
        <v>13857</v>
      </c>
      <c r="M12" s="18">
        <v>10408</v>
      </c>
      <c r="N12" s="18">
        <v>0</v>
      </c>
      <c r="O12" s="19">
        <v>0</v>
      </c>
      <c r="P12" s="18">
        <v>0</v>
      </c>
      <c r="Q12" s="20">
        <f t="shared" si="0"/>
        <v>66799</v>
      </c>
      <c r="R12" s="10"/>
      <c r="S12" s="10"/>
      <c r="T12" s="10"/>
      <c r="U12" s="10"/>
      <c r="V12" s="10"/>
      <c r="W12" s="10"/>
      <c r="X12" s="10"/>
      <c r="Y12" s="10"/>
    </row>
    <row r="13" spans="1:25" s="8" customFormat="1" ht="28.5" customHeight="1" x14ac:dyDescent="0.2">
      <c r="A13" s="85">
        <v>6</v>
      </c>
      <c r="B13" s="90" t="s">
        <v>11</v>
      </c>
      <c r="C13" s="91" t="s">
        <v>31</v>
      </c>
      <c r="D13" s="90" t="s">
        <v>32</v>
      </c>
      <c r="E13" s="90" t="s">
        <v>33</v>
      </c>
      <c r="F13" s="90" t="s">
        <v>34</v>
      </c>
      <c r="G13" s="11">
        <v>1410533</v>
      </c>
      <c r="H13" s="11">
        <v>535467</v>
      </c>
      <c r="I13" s="12">
        <v>108637</v>
      </c>
      <c r="J13" s="12">
        <v>103734</v>
      </c>
      <c r="K13" s="12">
        <v>100153</v>
      </c>
      <c r="L13" s="12">
        <v>96562</v>
      </c>
      <c r="M13" s="12">
        <v>92986</v>
      </c>
      <c r="N13" s="12">
        <v>89375</v>
      </c>
      <c r="O13" s="12">
        <v>23905</v>
      </c>
      <c r="P13" s="12">
        <v>0</v>
      </c>
      <c r="Q13" s="13">
        <f t="shared" si="0"/>
        <v>615352</v>
      </c>
      <c r="R13" s="10"/>
      <c r="S13" s="10"/>
      <c r="T13" s="10"/>
      <c r="U13" s="10"/>
      <c r="V13" s="10"/>
      <c r="W13" s="10"/>
      <c r="X13" s="10"/>
      <c r="Y13" s="10"/>
    </row>
    <row r="14" spans="1:25" s="8" customFormat="1" ht="63.75" x14ac:dyDescent="0.2">
      <c r="A14" s="92">
        <v>7</v>
      </c>
      <c r="B14" s="90" t="s">
        <v>11</v>
      </c>
      <c r="C14" s="91" t="s">
        <v>35</v>
      </c>
      <c r="D14" s="90" t="s">
        <v>36</v>
      </c>
      <c r="E14" s="90" t="s">
        <v>37</v>
      </c>
      <c r="F14" s="90" t="s">
        <v>38</v>
      </c>
      <c r="G14" s="11">
        <v>82912</v>
      </c>
      <c r="H14" s="11">
        <f>46565-932</f>
        <v>45633</v>
      </c>
      <c r="I14" s="12">
        <v>5593</v>
      </c>
      <c r="J14" s="12">
        <v>5465</v>
      </c>
      <c r="K14" s="12">
        <v>5309</v>
      </c>
      <c r="L14" s="12">
        <v>5152</v>
      </c>
      <c r="M14" s="12">
        <v>4998</v>
      </c>
      <c r="N14" s="12">
        <v>4838</v>
      </c>
      <c r="O14" s="12">
        <v>4681</v>
      </c>
      <c r="P14" s="12">
        <v>21980</v>
      </c>
      <c r="Q14" s="13">
        <f t="shared" si="0"/>
        <v>58016</v>
      </c>
      <c r="R14" s="10"/>
      <c r="S14" s="10"/>
      <c r="T14" s="10"/>
      <c r="U14" s="10"/>
      <c r="V14" s="10"/>
      <c r="W14" s="10"/>
      <c r="X14" s="10"/>
      <c r="Y14" s="10"/>
    </row>
    <row r="15" spans="1:25" s="8" customFormat="1" ht="42.75" customHeight="1" x14ac:dyDescent="0.2">
      <c r="A15" s="85">
        <v>8</v>
      </c>
      <c r="B15" s="90" t="s">
        <v>11</v>
      </c>
      <c r="C15" s="91" t="s">
        <v>39</v>
      </c>
      <c r="D15" s="90" t="s">
        <v>40</v>
      </c>
      <c r="E15" s="90" t="s">
        <v>41</v>
      </c>
      <c r="F15" s="90" t="s">
        <v>42</v>
      </c>
      <c r="G15" s="11">
        <v>357811</v>
      </c>
      <c r="H15" s="11">
        <v>108608</v>
      </c>
      <c r="I15" s="12">
        <v>29993</v>
      </c>
      <c r="J15" s="12">
        <v>28879</v>
      </c>
      <c r="K15" s="12">
        <v>27807</v>
      </c>
      <c r="L15" s="12">
        <v>26732</v>
      </c>
      <c r="M15" s="12">
        <v>6574</v>
      </c>
      <c r="N15" s="12">
        <v>0</v>
      </c>
      <c r="O15" s="12">
        <v>0</v>
      </c>
      <c r="P15" s="12">
        <v>0</v>
      </c>
      <c r="Q15" s="13">
        <f t="shared" si="0"/>
        <v>119985</v>
      </c>
      <c r="R15" s="10"/>
      <c r="S15" s="10"/>
      <c r="T15" s="10"/>
      <c r="U15" s="10"/>
      <c r="V15" s="10"/>
      <c r="W15" s="10"/>
      <c r="X15" s="10"/>
      <c r="Y15" s="10"/>
    </row>
    <row r="16" spans="1:25" s="8" customFormat="1" ht="67.5" customHeight="1" x14ac:dyDescent="0.2">
      <c r="A16" s="85">
        <v>9</v>
      </c>
      <c r="B16" s="14" t="s">
        <v>11</v>
      </c>
      <c r="C16" s="15" t="s">
        <v>472</v>
      </c>
      <c r="D16" s="14" t="s">
        <v>44</v>
      </c>
      <c r="E16" s="16" t="s">
        <v>45</v>
      </c>
      <c r="F16" s="16" t="s">
        <v>46</v>
      </c>
      <c r="G16" s="17">
        <v>208227</v>
      </c>
      <c r="H16" s="17">
        <f>9696-4848</f>
        <v>4848</v>
      </c>
      <c r="I16" s="18">
        <v>4970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20">
        <f t="shared" si="0"/>
        <v>4970</v>
      </c>
      <c r="R16" s="10"/>
      <c r="S16" s="10"/>
      <c r="T16" s="10"/>
      <c r="U16" s="10"/>
      <c r="V16" s="10"/>
      <c r="W16" s="10"/>
      <c r="X16" s="10"/>
      <c r="Y16" s="10"/>
    </row>
    <row r="17" spans="1:25" s="8" customFormat="1" ht="112.5" customHeight="1" x14ac:dyDescent="0.2">
      <c r="A17" s="85">
        <v>10</v>
      </c>
      <c r="B17" s="90" t="s">
        <v>11</v>
      </c>
      <c r="C17" s="91" t="s">
        <v>479</v>
      </c>
      <c r="D17" s="90" t="s">
        <v>47</v>
      </c>
      <c r="E17" s="90" t="s">
        <v>48</v>
      </c>
      <c r="F17" s="90" t="s">
        <v>49</v>
      </c>
      <c r="G17" s="11">
        <v>586346</v>
      </c>
      <c r="H17" s="11">
        <f>180726-4303</f>
        <v>176423</v>
      </c>
      <c r="I17" s="12">
        <v>24230</v>
      </c>
      <c r="J17" s="12">
        <v>23792</v>
      </c>
      <c r="K17" s="12">
        <v>23070</v>
      </c>
      <c r="L17" s="12">
        <v>22346</v>
      </c>
      <c r="M17" s="12">
        <v>21633</v>
      </c>
      <c r="N17" s="12">
        <v>20897</v>
      </c>
      <c r="O17" s="12">
        <v>20173</v>
      </c>
      <c r="P17" s="12">
        <v>60614</v>
      </c>
      <c r="Q17" s="13">
        <f t="shared" si="0"/>
        <v>216755</v>
      </c>
      <c r="R17" s="10"/>
      <c r="S17" s="10"/>
      <c r="T17" s="10"/>
      <c r="U17" s="10"/>
      <c r="V17" s="10"/>
      <c r="W17" s="10"/>
      <c r="X17" s="10"/>
      <c r="Y17" s="10"/>
    </row>
    <row r="18" spans="1:25" s="8" customFormat="1" ht="63.75" x14ac:dyDescent="0.2">
      <c r="A18" s="85">
        <v>11</v>
      </c>
      <c r="B18" s="14" t="s">
        <v>11</v>
      </c>
      <c r="C18" s="15" t="s">
        <v>473</v>
      </c>
      <c r="D18" s="14" t="s">
        <v>50</v>
      </c>
      <c r="E18" s="16" t="s">
        <v>51</v>
      </c>
      <c r="F18" s="16" t="s">
        <v>52</v>
      </c>
      <c r="G18" s="17">
        <v>128058</v>
      </c>
      <c r="H18" s="17">
        <f>9012-2253</f>
        <v>6759</v>
      </c>
      <c r="I18" s="18">
        <v>6988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20">
        <f t="shared" si="0"/>
        <v>6988</v>
      </c>
      <c r="R18" s="10"/>
      <c r="S18" s="10"/>
      <c r="T18" s="10"/>
      <c r="U18" s="10"/>
      <c r="V18" s="10"/>
      <c r="W18" s="10"/>
      <c r="X18" s="10"/>
      <c r="Y18" s="10"/>
    </row>
    <row r="19" spans="1:25" s="8" customFormat="1" ht="63.75" x14ac:dyDescent="0.2">
      <c r="A19" s="92">
        <v>12</v>
      </c>
      <c r="B19" s="14" t="s">
        <v>11</v>
      </c>
      <c r="C19" s="15" t="s">
        <v>474</v>
      </c>
      <c r="D19" s="14" t="s">
        <v>53</v>
      </c>
      <c r="E19" s="16" t="s">
        <v>51</v>
      </c>
      <c r="F19" s="16" t="s">
        <v>52</v>
      </c>
      <c r="G19" s="17">
        <v>426467</v>
      </c>
      <c r="H19" s="17">
        <f>43292-10823</f>
        <v>32469</v>
      </c>
      <c r="I19" s="18">
        <v>33570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20">
        <f t="shared" si="0"/>
        <v>33570</v>
      </c>
      <c r="R19" s="10"/>
      <c r="S19" s="10"/>
      <c r="T19" s="10"/>
      <c r="U19" s="10"/>
      <c r="V19" s="10"/>
      <c r="W19" s="10"/>
      <c r="X19" s="10"/>
      <c r="Y19" s="10"/>
    </row>
    <row r="20" spans="1:25" s="8" customFormat="1" ht="76.5" x14ac:dyDescent="0.2">
      <c r="A20" s="85">
        <v>13</v>
      </c>
      <c r="B20" s="90" t="s">
        <v>11</v>
      </c>
      <c r="C20" s="91" t="s">
        <v>480</v>
      </c>
      <c r="D20" s="90" t="s">
        <v>54</v>
      </c>
      <c r="E20" s="90" t="s">
        <v>55</v>
      </c>
      <c r="F20" s="90" t="s">
        <v>56</v>
      </c>
      <c r="G20" s="11">
        <v>151196</v>
      </c>
      <c r="H20" s="11">
        <f>32856-1369</f>
        <v>31487</v>
      </c>
      <c r="I20" s="12">
        <v>6861</v>
      </c>
      <c r="J20" s="12">
        <v>6534</v>
      </c>
      <c r="K20" s="12">
        <v>6304</v>
      </c>
      <c r="L20" s="12">
        <v>6074</v>
      </c>
      <c r="M20" s="12">
        <v>5844</v>
      </c>
      <c r="N20" s="12">
        <v>4243</v>
      </c>
      <c r="O20" s="12">
        <v>0</v>
      </c>
      <c r="P20" s="12">
        <v>0</v>
      </c>
      <c r="Q20" s="13">
        <f t="shared" si="0"/>
        <v>35860</v>
      </c>
      <c r="R20" s="10"/>
      <c r="S20" s="10"/>
      <c r="T20" s="10"/>
      <c r="U20" s="10"/>
      <c r="V20" s="10"/>
      <c r="W20" s="10"/>
      <c r="X20" s="10"/>
      <c r="Y20" s="10"/>
    </row>
    <row r="21" spans="1:25" s="8" customFormat="1" ht="25.5" x14ac:dyDescent="0.2">
      <c r="A21" s="85">
        <v>14</v>
      </c>
      <c r="B21" s="94" t="s">
        <v>11</v>
      </c>
      <c r="C21" s="95" t="s">
        <v>470</v>
      </c>
      <c r="D21" s="94" t="s">
        <v>57</v>
      </c>
      <c r="E21" s="94" t="s">
        <v>58</v>
      </c>
      <c r="F21" s="94" t="s">
        <v>59</v>
      </c>
      <c r="G21" s="27">
        <v>186591</v>
      </c>
      <c r="H21" s="27">
        <f>34278-5724</f>
        <v>28554</v>
      </c>
      <c r="I21" s="28">
        <v>23870</v>
      </c>
      <c r="J21" s="28">
        <v>5821</v>
      </c>
      <c r="K21" s="28">
        <v>0</v>
      </c>
      <c r="L21" s="28">
        <v>0</v>
      </c>
      <c r="M21" s="28">
        <v>0</v>
      </c>
      <c r="N21" s="28">
        <v>0</v>
      </c>
      <c r="O21" s="28">
        <v>0</v>
      </c>
      <c r="P21" s="28">
        <v>0</v>
      </c>
      <c r="Q21" s="29">
        <f t="shared" si="0"/>
        <v>29691</v>
      </c>
      <c r="R21" s="10"/>
      <c r="S21" s="10"/>
      <c r="T21" s="10"/>
      <c r="U21" s="10"/>
      <c r="V21" s="10"/>
      <c r="W21" s="10"/>
      <c r="X21" s="10"/>
      <c r="Y21" s="10"/>
    </row>
    <row r="22" spans="1:25" s="8" customFormat="1" ht="76.5" x14ac:dyDescent="0.2">
      <c r="A22" s="85">
        <v>15</v>
      </c>
      <c r="B22" s="90" t="s">
        <v>11</v>
      </c>
      <c r="C22" s="91" t="s">
        <v>469</v>
      </c>
      <c r="D22" s="90" t="s">
        <v>60</v>
      </c>
      <c r="E22" s="96" t="s">
        <v>61</v>
      </c>
      <c r="F22" s="90" t="s">
        <v>62</v>
      </c>
      <c r="G22" s="11">
        <v>184386</v>
      </c>
      <c r="H22" s="11">
        <f>34506-1278</f>
        <v>33228</v>
      </c>
      <c r="I22" s="12">
        <v>6471</v>
      </c>
      <c r="J22" s="12">
        <v>6260</v>
      </c>
      <c r="K22" s="12">
        <v>6046</v>
      </c>
      <c r="L22" s="12">
        <v>5831</v>
      </c>
      <c r="M22" s="12">
        <v>5617</v>
      </c>
      <c r="N22" s="12">
        <v>5401</v>
      </c>
      <c r="O22" s="12">
        <v>2623</v>
      </c>
      <c r="P22" s="12">
        <v>0</v>
      </c>
      <c r="Q22" s="13">
        <f t="shared" si="0"/>
        <v>38249</v>
      </c>
      <c r="R22" s="10"/>
      <c r="S22" s="10"/>
      <c r="T22" s="10"/>
      <c r="U22" s="10"/>
      <c r="V22" s="10"/>
      <c r="W22" s="10"/>
      <c r="X22" s="10"/>
      <c r="Y22" s="10"/>
    </row>
    <row r="23" spans="1:25" s="8" customFormat="1" ht="51" x14ac:dyDescent="0.2">
      <c r="A23" s="92">
        <v>16</v>
      </c>
      <c r="B23" s="90" t="s">
        <v>11</v>
      </c>
      <c r="C23" s="91" t="s">
        <v>63</v>
      </c>
      <c r="D23" s="90" t="s">
        <v>64</v>
      </c>
      <c r="E23" s="90" t="s">
        <v>65</v>
      </c>
      <c r="F23" s="90" t="s">
        <v>66</v>
      </c>
      <c r="G23" s="11">
        <v>36001</v>
      </c>
      <c r="H23" s="11">
        <f>6636-948</f>
        <v>5688</v>
      </c>
      <c r="I23" s="12">
        <v>4003</v>
      </c>
      <c r="J23" s="12">
        <v>1949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3">
        <f t="shared" si="0"/>
        <v>5952</v>
      </c>
      <c r="R23" s="10"/>
      <c r="S23" s="10"/>
      <c r="T23" s="10"/>
      <c r="U23" s="10"/>
      <c r="V23" s="10"/>
      <c r="W23" s="10"/>
      <c r="X23" s="10"/>
      <c r="Y23" s="10"/>
    </row>
    <row r="24" spans="1:25" s="8" customFormat="1" ht="51" x14ac:dyDescent="0.2">
      <c r="A24" s="85">
        <v>17</v>
      </c>
      <c r="B24" s="90" t="s">
        <v>11</v>
      </c>
      <c r="C24" s="91" t="s">
        <v>67</v>
      </c>
      <c r="D24" s="90" t="s">
        <v>68</v>
      </c>
      <c r="E24" s="90" t="s">
        <v>69</v>
      </c>
      <c r="F24" s="90" t="s">
        <v>66</v>
      </c>
      <c r="G24" s="11">
        <v>35830</v>
      </c>
      <c r="H24" s="11">
        <f>6601-943</f>
        <v>5658</v>
      </c>
      <c r="I24" s="12">
        <v>3982</v>
      </c>
      <c r="J24" s="12">
        <v>1938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3">
        <f t="shared" si="0"/>
        <v>5920</v>
      </c>
      <c r="R24" s="10"/>
      <c r="S24" s="10"/>
      <c r="T24" s="10"/>
      <c r="U24" s="10"/>
      <c r="V24" s="10"/>
      <c r="W24" s="10"/>
      <c r="X24" s="10"/>
      <c r="Y24" s="10"/>
    </row>
    <row r="25" spans="1:25" s="8" customFormat="1" ht="38.25" x14ac:dyDescent="0.2">
      <c r="A25" s="85">
        <v>18</v>
      </c>
      <c r="B25" s="14" t="s">
        <v>11</v>
      </c>
      <c r="C25" s="30" t="s">
        <v>482</v>
      </c>
      <c r="D25" s="14" t="s">
        <v>70</v>
      </c>
      <c r="E25" s="16" t="s">
        <v>71</v>
      </c>
      <c r="F25" s="16" t="s">
        <v>66</v>
      </c>
      <c r="G25" s="17">
        <v>98806</v>
      </c>
      <c r="H25" s="17">
        <f>18697-2671</f>
        <v>16026</v>
      </c>
      <c r="I25" s="18">
        <v>11280</v>
      </c>
      <c r="J25" s="18">
        <v>5490</v>
      </c>
      <c r="K25" s="18">
        <v>0</v>
      </c>
      <c r="L25" s="18">
        <v>0</v>
      </c>
      <c r="M25" s="18">
        <v>0</v>
      </c>
      <c r="N25" s="18">
        <v>0</v>
      </c>
      <c r="O25" s="19">
        <v>0</v>
      </c>
      <c r="P25" s="18">
        <v>0</v>
      </c>
      <c r="Q25" s="20">
        <f t="shared" si="0"/>
        <v>16770</v>
      </c>
      <c r="R25" s="10"/>
      <c r="S25" s="10"/>
      <c r="T25" s="10"/>
      <c r="U25" s="10"/>
      <c r="V25" s="10"/>
      <c r="W25" s="10"/>
      <c r="X25" s="10"/>
      <c r="Y25" s="10"/>
    </row>
    <row r="26" spans="1:25" s="8" customFormat="1" ht="51" customHeight="1" x14ac:dyDescent="0.2">
      <c r="A26" s="85">
        <v>19</v>
      </c>
      <c r="B26" s="90" t="s">
        <v>11</v>
      </c>
      <c r="C26" s="91" t="s">
        <v>72</v>
      </c>
      <c r="D26" s="90" t="s">
        <v>73</v>
      </c>
      <c r="E26" s="90" t="s">
        <v>74</v>
      </c>
      <c r="F26" s="90" t="s">
        <v>75</v>
      </c>
      <c r="G26" s="11">
        <v>387136</v>
      </c>
      <c r="H26" s="11">
        <f>233308-4964</f>
        <v>228344</v>
      </c>
      <c r="I26" s="12">
        <v>29331</v>
      </c>
      <c r="J26" s="12">
        <v>28490</v>
      </c>
      <c r="K26" s="12">
        <v>27657</v>
      </c>
      <c r="L26" s="12">
        <v>26822</v>
      </c>
      <c r="M26" s="12">
        <v>26002</v>
      </c>
      <c r="N26" s="12">
        <v>25150</v>
      </c>
      <c r="O26" s="12">
        <v>24316</v>
      </c>
      <c r="P26" s="12">
        <v>99133</v>
      </c>
      <c r="Q26" s="20">
        <f t="shared" si="0"/>
        <v>286901</v>
      </c>
      <c r="R26" s="10"/>
      <c r="S26" s="10"/>
      <c r="T26" s="10"/>
      <c r="U26" s="10"/>
      <c r="V26" s="10"/>
      <c r="W26" s="10"/>
      <c r="X26" s="10"/>
      <c r="Y26" s="10"/>
    </row>
    <row r="27" spans="1:25" s="8" customFormat="1" ht="53.25" customHeight="1" x14ac:dyDescent="0.2">
      <c r="A27" s="85">
        <v>20</v>
      </c>
      <c r="B27" s="14" t="s">
        <v>11</v>
      </c>
      <c r="C27" s="30" t="s">
        <v>483</v>
      </c>
      <c r="D27" s="14" t="s">
        <v>76</v>
      </c>
      <c r="E27" s="16" t="s">
        <v>77</v>
      </c>
      <c r="F27" s="16" t="s">
        <v>78</v>
      </c>
      <c r="G27" s="17">
        <v>220260</v>
      </c>
      <c r="H27" s="17">
        <f>41671-5953</f>
        <v>35718</v>
      </c>
      <c r="I27" s="18">
        <v>25173</v>
      </c>
      <c r="J27" s="18">
        <v>12257</v>
      </c>
      <c r="K27" s="18">
        <v>0</v>
      </c>
      <c r="L27" s="18">
        <v>0</v>
      </c>
      <c r="M27" s="18">
        <v>0</v>
      </c>
      <c r="N27" s="18">
        <v>0</v>
      </c>
      <c r="O27" s="19">
        <v>0</v>
      </c>
      <c r="P27" s="18">
        <v>0</v>
      </c>
      <c r="Q27" s="20">
        <f t="shared" si="0"/>
        <v>37430</v>
      </c>
      <c r="R27" s="10"/>
      <c r="S27" s="10"/>
      <c r="T27" s="10"/>
      <c r="U27" s="10"/>
      <c r="V27" s="10"/>
      <c r="W27" s="10"/>
      <c r="X27" s="10"/>
      <c r="Y27" s="10"/>
    </row>
    <row r="28" spans="1:25" s="8" customFormat="1" ht="51" x14ac:dyDescent="0.2">
      <c r="A28" s="92">
        <v>21</v>
      </c>
      <c r="B28" s="14" t="s">
        <v>11</v>
      </c>
      <c r="C28" s="15" t="s">
        <v>475</v>
      </c>
      <c r="D28" s="14" t="s">
        <v>79</v>
      </c>
      <c r="E28" s="16" t="s">
        <v>80</v>
      </c>
      <c r="F28" s="16" t="s">
        <v>81</v>
      </c>
      <c r="G28" s="17">
        <v>80000</v>
      </c>
      <c r="H28" s="17">
        <f>17304-2163</f>
        <v>15141</v>
      </c>
      <c r="I28" s="18">
        <v>9265</v>
      </c>
      <c r="J28" s="18">
        <v>6689</v>
      </c>
      <c r="K28" s="18">
        <v>0</v>
      </c>
      <c r="L28" s="18">
        <v>0</v>
      </c>
      <c r="M28" s="18">
        <v>0</v>
      </c>
      <c r="N28" s="18">
        <v>0</v>
      </c>
      <c r="O28" s="19">
        <v>0</v>
      </c>
      <c r="P28" s="18">
        <v>0</v>
      </c>
      <c r="Q28" s="20">
        <f t="shared" si="0"/>
        <v>15954</v>
      </c>
      <c r="R28" s="10"/>
      <c r="S28" s="10"/>
      <c r="T28" s="10"/>
      <c r="U28" s="10"/>
      <c r="V28" s="10"/>
      <c r="W28" s="10"/>
      <c r="X28" s="10"/>
      <c r="Y28" s="10"/>
    </row>
    <row r="29" spans="1:25" s="8" customFormat="1" ht="38.25" x14ac:dyDescent="0.2">
      <c r="A29" s="85">
        <v>22</v>
      </c>
      <c r="B29" s="90" t="s">
        <v>11</v>
      </c>
      <c r="C29" s="91" t="s">
        <v>82</v>
      </c>
      <c r="D29" s="90" t="s">
        <v>83</v>
      </c>
      <c r="E29" s="90" t="s">
        <v>84</v>
      </c>
      <c r="F29" s="90" t="s">
        <v>85</v>
      </c>
      <c r="G29" s="11">
        <v>299523</v>
      </c>
      <c r="H29" s="11">
        <f>182016-3792</f>
        <v>178224</v>
      </c>
      <c r="I29" s="12">
        <v>22930</v>
      </c>
      <c r="J29" s="12">
        <v>21923</v>
      </c>
      <c r="K29" s="12">
        <v>21287</v>
      </c>
      <c r="L29" s="12">
        <v>20649</v>
      </c>
      <c r="M29" s="12">
        <v>20023</v>
      </c>
      <c r="N29" s="12">
        <v>19372</v>
      </c>
      <c r="O29" s="12">
        <v>18734</v>
      </c>
      <c r="P29" s="12">
        <v>80311</v>
      </c>
      <c r="Q29" s="20">
        <f t="shared" si="0"/>
        <v>225229</v>
      </c>
      <c r="R29" s="10"/>
      <c r="S29" s="10"/>
      <c r="T29" s="10"/>
      <c r="U29" s="10"/>
      <c r="V29" s="10"/>
      <c r="W29" s="10"/>
      <c r="X29" s="10"/>
      <c r="Y29" s="10"/>
    </row>
    <row r="30" spans="1:25" s="8" customFormat="1" ht="38.25" x14ac:dyDescent="0.2">
      <c r="A30" s="85">
        <v>23</v>
      </c>
      <c r="B30" s="90" t="s">
        <v>11</v>
      </c>
      <c r="C30" s="91" t="s">
        <v>86</v>
      </c>
      <c r="D30" s="90" t="s">
        <v>87</v>
      </c>
      <c r="E30" s="90" t="s">
        <v>88</v>
      </c>
      <c r="F30" s="90" t="s">
        <v>89</v>
      </c>
      <c r="G30" s="11">
        <v>58458</v>
      </c>
      <c r="H30" s="11">
        <f>11992-1499</f>
        <v>10493</v>
      </c>
      <c r="I30" s="12">
        <v>6422</v>
      </c>
      <c r="J30" s="12">
        <v>4647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20">
        <f t="shared" si="0"/>
        <v>11069</v>
      </c>
      <c r="R30" s="10"/>
      <c r="S30" s="10"/>
      <c r="T30" s="10"/>
      <c r="U30" s="10"/>
      <c r="V30" s="10"/>
      <c r="W30" s="10"/>
      <c r="X30" s="10"/>
      <c r="Y30" s="10"/>
    </row>
    <row r="31" spans="1:25" s="8" customFormat="1" ht="38.25" x14ac:dyDescent="0.2">
      <c r="A31" s="85">
        <v>24</v>
      </c>
      <c r="B31" s="90" t="s">
        <v>11</v>
      </c>
      <c r="C31" s="91" t="s">
        <v>90</v>
      </c>
      <c r="D31" s="90" t="s">
        <v>91</v>
      </c>
      <c r="E31" s="90" t="s">
        <v>92</v>
      </c>
      <c r="F31" s="90" t="s">
        <v>93</v>
      </c>
      <c r="G31" s="11">
        <v>480161</v>
      </c>
      <c r="H31" s="11">
        <f>349055-5150</f>
        <v>343905</v>
      </c>
      <c r="I31" s="12">
        <v>35797</v>
      </c>
      <c r="J31" s="12">
        <v>34056</v>
      </c>
      <c r="K31" s="12">
        <v>33192</v>
      </c>
      <c r="L31" s="12">
        <v>32325</v>
      </c>
      <c r="M31" s="12">
        <v>31487</v>
      </c>
      <c r="N31" s="12">
        <v>30591</v>
      </c>
      <c r="O31" s="12">
        <v>29725</v>
      </c>
      <c r="P31" s="12">
        <v>243440</v>
      </c>
      <c r="Q31" s="20">
        <f t="shared" si="0"/>
        <v>470613</v>
      </c>
      <c r="R31" s="10"/>
      <c r="S31" s="10"/>
      <c r="T31" s="10"/>
      <c r="U31" s="10"/>
      <c r="V31" s="10"/>
      <c r="W31" s="10"/>
      <c r="X31" s="10"/>
      <c r="Y31" s="10"/>
    </row>
    <row r="32" spans="1:25" s="75" customFormat="1" ht="38.25" x14ac:dyDescent="0.2">
      <c r="A32" s="97">
        <v>25</v>
      </c>
      <c r="B32" s="96" t="s">
        <v>11</v>
      </c>
      <c r="C32" s="98" t="s">
        <v>94</v>
      </c>
      <c r="D32" s="96" t="s">
        <v>95</v>
      </c>
      <c r="E32" s="96" t="s">
        <v>96</v>
      </c>
      <c r="F32" s="96" t="s">
        <v>97</v>
      </c>
      <c r="G32" s="11">
        <v>1300000</v>
      </c>
      <c r="H32" s="11">
        <f>796250-16250</f>
        <v>780000</v>
      </c>
      <c r="I32" s="55">
        <v>99829</v>
      </c>
      <c r="J32" s="55">
        <v>94631</v>
      </c>
      <c r="K32" s="55">
        <v>91904</v>
      </c>
      <c r="L32" s="55">
        <v>89170</v>
      </c>
      <c r="M32" s="55">
        <v>86490</v>
      </c>
      <c r="N32" s="55">
        <v>83698</v>
      </c>
      <c r="O32" s="55">
        <v>80965</v>
      </c>
      <c r="P32" s="55">
        <v>364036</v>
      </c>
      <c r="Q32" s="80">
        <f t="shared" si="0"/>
        <v>990723</v>
      </c>
      <c r="R32" s="81"/>
      <c r="S32" s="81"/>
      <c r="T32" s="81"/>
      <c r="U32" s="81"/>
      <c r="V32" s="81"/>
      <c r="W32" s="81"/>
      <c r="X32" s="81"/>
      <c r="Y32" s="81"/>
    </row>
    <row r="33" spans="1:25" s="8" customFormat="1" ht="63.75" x14ac:dyDescent="0.2">
      <c r="A33" s="85">
        <v>26</v>
      </c>
      <c r="B33" s="90" t="s">
        <v>11</v>
      </c>
      <c r="C33" s="91" t="s">
        <v>98</v>
      </c>
      <c r="D33" s="90" t="s">
        <v>99</v>
      </c>
      <c r="E33" s="90" t="s">
        <v>100</v>
      </c>
      <c r="F33" s="90" t="s">
        <v>38</v>
      </c>
      <c r="G33" s="11">
        <v>151608</v>
      </c>
      <c r="H33" s="11">
        <f>98450-1969</f>
        <v>96481</v>
      </c>
      <c r="I33" s="12">
        <v>11795</v>
      </c>
      <c r="J33" s="12">
        <v>11549</v>
      </c>
      <c r="K33" s="12">
        <v>11219</v>
      </c>
      <c r="L33" s="12">
        <v>10887</v>
      </c>
      <c r="M33" s="12">
        <v>10563</v>
      </c>
      <c r="N33" s="12">
        <v>10224</v>
      </c>
      <c r="O33" s="12">
        <v>9893</v>
      </c>
      <c r="P33" s="12">
        <v>46525</v>
      </c>
      <c r="Q33" s="13">
        <f t="shared" si="0"/>
        <v>122655</v>
      </c>
      <c r="R33" s="10"/>
      <c r="S33" s="10"/>
      <c r="T33" s="10"/>
      <c r="U33" s="10"/>
      <c r="V33" s="10"/>
      <c r="W33" s="10"/>
      <c r="X33" s="10"/>
      <c r="Y33" s="10"/>
    </row>
    <row r="34" spans="1:25" s="8" customFormat="1" ht="25.5" x14ac:dyDescent="0.2">
      <c r="A34" s="85">
        <v>27</v>
      </c>
      <c r="B34" s="90" t="s">
        <v>11</v>
      </c>
      <c r="C34" s="91" t="s">
        <v>101</v>
      </c>
      <c r="D34" s="90" t="s">
        <v>102</v>
      </c>
      <c r="E34" s="90" t="s">
        <v>100</v>
      </c>
      <c r="F34" s="90" t="s">
        <v>103</v>
      </c>
      <c r="G34" s="11">
        <v>242413</v>
      </c>
      <c r="H34" s="11">
        <f>175210-2503</f>
        <v>172707</v>
      </c>
      <c r="I34" s="12">
        <v>17054</v>
      </c>
      <c r="J34" s="12">
        <v>16786</v>
      </c>
      <c r="K34" s="12">
        <v>16366</v>
      </c>
      <c r="L34" s="12">
        <v>15944</v>
      </c>
      <c r="M34" s="12">
        <v>15538</v>
      </c>
      <c r="N34" s="12">
        <v>15102</v>
      </c>
      <c r="O34" s="12">
        <v>14681</v>
      </c>
      <c r="P34" s="12">
        <v>126249</v>
      </c>
      <c r="Q34" s="13">
        <f t="shared" si="0"/>
        <v>237720</v>
      </c>
      <c r="R34" s="10"/>
      <c r="S34" s="10"/>
      <c r="T34" s="10"/>
      <c r="U34" s="10"/>
      <c r="V34" s="10"/>
      <c r="W34" s="10"/>
      <c r="X34" s="10"/>
      <c r="Y34" s="10"/>
    </row>
    <row r="35" spans="1:25" s="75" customFormat="1" ht="114.75" x14ac:dyDescent="0.2">
      <c r="A35" s="99">
        <v>28</v>
      </c>
      <c r="B35" s="96" t="s">
        <v>11</v>
      </c>
      <c r="C35" s="98" t="s">
        <v>104</v>
      </c>
      <c r="D35" s="96" t="s">
        <v>105</v>
      </c>
      <c r="E35" s="96" t="s">
        <v>106</v>
      </c>
      <c r="F35" s="96" t="s">
        <v>107</v>
      </c>
      <c r="G35" s="11">
        <v>1637158</v>
      </c>
      <c r="H35" s="11">
        <f>1306942-14362</f>
        <v>1292580</v>
      </c>
      <c r="I35" s="55">
        <v>111264</v>
      </c>
      <c r="J35" s="55">
        <v>108992</v>
      </c>
      <c r="K35" s="55">
        <v>106582</v>
      </c>
      <c r="L35" s="55">
        <v>104166</v>
      </c>
      <c r="M35" s="55">
        <v>101867</v>
      </c>
      <c r="N35" s="55">
        <v>99330</v>
      </c>
      <c r="O35" s="55">
        <v>96915</v>
      </c>
      <c r="P35" s="55">
        <v>1193678</v>
      </c>
      <c r="Q35" s="80">
        <f t="shared" si="0"/>
        <v>1922794</v>
      </c>
      <c r="R35" s="81"/>
      <c r="S35" s="81"/>
      <c r="T35" s="81"/>
      <c r="U35" s="81"/>
      <c r="V35" s="81"/>
      <c r="W35" s="81"/>
      <c r="X35" s="81"/>
      <c r="Y35" s="81"/>
    </row>
    <row r="36" spans="1:25" s="8" customFormat="1" ht="38.25" x14ac:dyDescent="0.2">
      <c r="A36" s="85">
        <v>29</v>
      </c>
      <c r="B36" s="90" t="s">
        <v>11</v>
      </c>
      <c r="C36" s="91" t="s">
        <v>108</v>
      </c>
      <c r="D36" s="90" t="s">
        <v>109</v>
      </c>
      <c r="E36" s="90" t="s">
        <v>106</v>
      </c>
      <c r="F36" s="90" t="s">
        <v>110</v>
      </c>
      <c r="G36" s="11">
        <v>88488</v>
      </c>
      <c r="H36" s="11">
        <f>47306-1526</f>
        <v>45780</v>
      </c>
      <c r="I36" s="12">
        <v>7983</v>
      </c>
      <c r="J36" s="12">
        <v>7732</v>
      </c>
      <c r="K36" s="12">
        <v>7476</v>
      </c>
      <c r="L36" s="12">
        <v>7219</v>
      </c>
      <c r="M36" s="12">
        <v>6964</v>
      </c>
      <c r="N36" s="12">
        <v>6705</v>
      </c>
      <c r="O36" s="12">
        <v>6449</v>
      </c>
      <c r="P36" s="12">
        <v>3131</v>
      </c>
      <c r="Q36" s="13">
        <f t="shared" si="0"/>
        <v>53659</v>
      </c>
      <c r="R36" s="10"/>
      <c r="S36" s="10"/>
      <c r="T36" s="10"/>
      <c r="U36" s="10"/>
      <c r="V36" s="10"/>
      <c r="W36" s="10"/>
      <c r="X36" s="10"/>
      <c r="Y36" s="10"/>
    </row>
    <row r="37" spans="1:25" s="8" customFormat="1" ht="25.5" x14ac:dyDescent="0.2">
      <c r="A37" s="92">
        <v>30</v>
      </c>
      <c r="B37" s="90" t="s">
        <v>11</v>
      </c>
      <c r="C37" s="91" t="s">
        <v>111</v>
      </c>
      <c r="D37" s="90" t="s">
        <v>112</v>
      </c>
      <c r="E37" s="90" t="s">
        <v>113</v>
      </c>
      <c r="F37" s="90" t="s">
        <v>114</v>
      </c>
      <c r="G37" s="11">
        <v>166843</v>
      </c>
      <c r="H37" s="11">
        <f>89187-2877</f>
        <v>86310</v>
      </c>
      <c r="I37" s="12">
        <v>15021</v>
      </c>
      <c r="J37" s="12">
        <v>14577</v>
      </c>
      <c r="K37" s="12">
        <v>14094</v>
      </c>
      <c r="L37" s="12">
        <v>13610</v>
      </c>
      <c r="M37" s="12">
        <v>13129</v>
      </c>
      <c r="N37" s="12">
        <v>12642</v>
      </c>
      <c r="O37" s="12">
        <v>12158</v>
      </c>
      <c r="P37" s="12">
        <v>5915</v>
      </c>
      <c r="Q37" s="13">
        <f t="shared" si="0"/>
        <v>101146</v>
      </c>
      <c r="R37" s="10"/>
      <c r="S37" s="10"/>
      <c r="T37" s="10"/>
      <c r="U37" s="10"/>
      <c r="V37" s="10"/>
      <c r="W37" s="10"/>
      <c r="X37" s="10"/>
      <c r="Y37" s="10"/>
    </row>
    <row r="38" spans="1:25" s="8" customFormat="1" ht="38.25" x14ac:dyDescent="0.2">
      <c r="A38" s="85">
        <v>31</v>
      </c>
      <c r="B38" s="90" t="s">
        <v>11</v>
      </c>
      <c r="C38" s="91" t="s">
        <v>115</v>
      </c>
      <c r="D38" s="90" t="s">
        <v>116</v>
      </c>
      <c r="E38" s="90" t="s">
        <v>117</v>
      </c>
      <c r="F38" s="90" t="s">
        <v>118</v>
      </c>
      <c r="G38" s="11">
        <v>265803</v>
      </c>
      <c r="H38" s="11">
        <f>175552-3376</f>
        <v>172176</v>
      </c>
      <c r="I38" s="12">
        <v>21048</v>
      </c>
      <c r="J38" s="12">
        <v>20086</v>
      </c>
      <c r="K38" s="12">
        <v>19519</v>
      </c>
      <c r="L38" s="12">
        <v>18951</v>
      </c>
      <c r="M38" s="12">
        <v>18395</v>
      </c>
      <c r="N38" s="12">
        <v>17814</v>
      </c>
      <c r="O38" s="12">
        <v>17247</v>
      </c>
      <c r="P38" s="12">
        <v>88171</v>
      </c>
      <c r="Q38" s="13">
        <f t="shared" si="0"/>
        <v>221231</v>
      </c>
      <c r="R38" s="10"/>
      <c r="S38" s="10"/>
      <c r="T38" s="10"/>
      <c r="U38" s="10"/>
      <c r="V38" s="10"/>
      <c r="W38" s="10"/>
      <c r="X38" s="10"/>
      <c r="Y38" s="10"/>
    </row>
    <row r="39" spans="1:25" s="75" customFormat="1" ht="25.5" x14ac:dyDescent="0.2">
      <c r="A39" s="99">
        <v>32</v>
      </c>
      <c r="B39" s="96" t="s">
        <v>11</v>
      </c>
      <c r="C39" s="98" t="s">
        <v>119</v>
      </c>
      <c r="D39" s="96" t="s">
        <v>120</v>
      </c>
      <c r="E39" s="96" t="s">
        <v>121</v>
      </c>
      <c r="F39" s="96" t="s">
        <v>122</v>
      </c>
      <c r="G39" s="11">
        <v>610898</v>
      </c>
      <c r="H39" s="11">
        <f>472328-5134</f>
        <v>467194</v>
      </c>
      <c r="I39" s="55">
        <v>40827</v>
      </c>
      <c r="J39" s="55">
        <v>39177</v>
      </c>
      <c r="K39" s="55">
        <v>38316</v>
      </c>
      <c r="L39" s="55">
        <v>37452</v>
      </c>
      <c r="M39" s="55">
        <v>36631</v>
      </c>
      <c r="N39" s="55">
        <v>35723</v>
      </c>
      <c r="O39" s="55">
        <v>34860</v>
      </c>
      <c r="P39" s="55">
        <v>435307</v>
      </c>
      <c r="Q39" s="80">
        <f t="shared" ref="Q39:Q96" si="1">SUM(I39:P39)</f>
        <v>698293</v>
      </c>
      <c r="R39" s="81"/>
      <c r="S39" s="81"/>
      <c r="T39" s="81"/>
      <c r="U39" s="81"/>
      <c r="V39" s="81"/>
      <c r="W39" s="81"/>
      <c r="X39" s="81"/>
      <c r="Y39" s="81"/>
    </row>
    <row r="40" spans="1:25" s="8" customFormat="1" ht="76.5" x14ac:dyDescent="0.2">
      <c r="A40" s="85">
        <v>33</v>
      </c>
      <c r="B40" s="14" t="s">
        <v>11</v>
      </c>
      <c r="C40" s="15" t="s">
        <v>484</v>
      </c>
      <c r="D40" s="14" t="s">
        <v>123</v>
      </c>
      <c r="E40" s="16" t="s">
        <v>124</v>
      </c>
      <c r="F40" s="16" t="s">
        <v>125</v>
      </c>
      <c r="G40" s="17">
        <v>663400</v>
      </c>
      <c r="H40" s="17">
        <f>204132-17011</f>
        <v>187121</v>
      </c>
      <c r="I40" s="18">
        <v>75980</v>
      </c>
      <c r="J40" s="18">
        <v>72612</v>
      </c>
      <c r="K40" s="18">
        <v>52739</v>
      </c>
      <c r="L40" s="18">
        <v>0</v>
      </c>
      <c r="M40" s="18">
        <v>0</v>
      </c>
      <c r="N40" s="18">
        <v>0</v>
      </c>
      <c r="O40" s="19">
        <v>0</v>
      </c>
      <c r="P40" s="18">
        <v>0</v>
      </c>
      <c r="Q40" s="20">
        <f t="shared" si="1"/>
        <v>201331</v>
      </c>
      <c r="R40" s="10"/>
      <c r="S40" s="10"/>
      <c r="T40" s="10"/>
      <c r="U40" s="10"/>
      <c r="V40" s="10"/>
      <c r="W40" s="10"/>
      <c r="X40" s="10"/>
      <c r="Y40" s="10"/>
    </row>
    <row r="41" spans="1:25" s="8" customFormat="1" ht="51" x14ac:dyDescent="0.2">
      <c r="A41" s="92">
        <v>34</v>
      </c>
      <c r="B41" s="90" t="s">
        <v>11</v>
      </c>
      <c r="C41" s="91" t="s">
        <v>126</v>
      </c>
      <c r="D41" s="90" t="s">
        <v>127</v>
      </c>
      <c r="E41" s="90" t="s">
        <v>128</v>
      </c>
      <c r="F41" s="90" t="s">
        <v>129</v>
      </c>
      <c r="G41" s="11">
        <v>693304</v>
      </c>
      <c r="H41" s="11">
        <f>427572-11556</f>
        <v>416016</v>
      </c>
      <c r="I41" s="12">
        <v>64645</v>
      </c>
      <c r="J41" s="12">
        <v>61483</v>
      </c>
      <c r="K41" s="12">
        <v>59527</v>
      </c>
      <c r="L41" s="12">
        <v>57583</v>
      </c>
      <c r="M41" s="12">
        <v>55661</v>
      </c>
      <c r="N41" s="12">
        <v>53691</v>
      </c>
      <c r="O41" s="12">
        <v>51748</v>
      </c>
      <c r="P41" s="12">
        <v>97790</v>
      </c>
      <c r="Q41" s="13">
        <f t="shared" si="1"/>
        <v>502128</v>
      </c>
      <c r="R41" s="10"/>
      <c r="S41" s="10"/>
      <c r="T41" s="10"/>
      <c r="U41" s="10"/>
      <c r="V41" s="10"/>
      <c r="W41" s="10"/>
      <c r="X41" s="10"/>
      <c r="Y41" s="10"/>
    </row>
    <row r="42" spans="1:25" s="8" customFormat="1" ht="38.25" x14ac:dyDescent="0.2">
      <c r="A42" s="85">
        <v>35</v>
      </c>
      <c r="B42" s="90" t="s">
        <v>11</v>
      </c>
      <c r="C42" s="91" t="s">
        <v>130</v>
      </c>
      <c r="D42" s="90" t="s">
        <v>131</v>
      </c>
      <c r="E42" s="90" t="s">
        <v>132</v>
      </c>
      <c r="F42" s="90" t="s">
        <v>133</v>
      </c>
      <c r="G42" s="11">
        <v>118952</v>
      </c>
      <c r="H42" s="11">
        <f>66561-2017</f>
        <v>64544</v>
      </c>
      <c r="I42" s="12">
        <v>10878</v>
      </c>
      <c r="J42" s="12">
        <v>10402</v>
      </c>
      <c r="K42" s="12">
        <v>10051</v>
      </c>
      <c r="L42" s="12">
        <v>9711</v>
      </c>
      <c r="M42" s="12">
        <v>9375</v>
      </c>
      <c r="N42" s="12">
        <v>9032</v>
      </c>
      <c r="O42" s="12">
        <v>8693</v>
      </c>
      <c r="P42" s="12">
        <v>8359</v>
      </c>
      <c r="Q42" s="13">
        <f t="shared" si="1"/>
        <v>76501</v>
      </c>
      <c r="R42" s="10"/>
      <c r="S42" s="10"/>
      <c r="T42" s="10"/>
      <c r="U42" s="10"/>
      <c r="V42" s="10"/>
      <c r="W42" s="10"/>
      <c r="X42" s="10"/>
      <c r="Y42" s="10"/>
    </row>
    <row r="43" spans="1:25" s="8" customFormat="1" ht="38.25" x14ac:dyDescent="0.2">
      <c r="A43" s="85">
        <v>36</v>
      </c>
      <c r="B43" s="90" t="s">
        <v>11</v>
      </c>
      <c r="C43" s="91" t="s">
        <v>134</v>
      </c>
      <c r="D43" s="90" t="s">
        <v>135</v>
      </c>
      <c r="E43" s="90" t="s">
        <v>136</v>
      </c>
      <c r="F43" s="90" t="s">
        <v>137</v>
      </c>
      <c r="G43" s="11">
        <v>400000</v>
      </c>
      <c r="H43" s="11">
        <f>304191-4167</f>
        <v>300024</v>
      </c>
      <c r="I43" s="12">
        <v>29088</v>
      </c>
      <c r="J43" s="12">
        <v>28575</v>
      </c>
      <c r="K43" s="12">
        <v>27771</v>
      </c>
      <c r="L43" s="12">
        <v>27070</v>
      </c>
      <c r="M43" s="12">
        <v>26394</v>
      </c>
      <c r="N43" s="12">
        <v>25667</v>
      </c>
      <c r="O43" s="12">
        <v>24966</v>
      </c>
      <c r="P43" s="12">
        <v>228463</v>
      </c>
      <c r="Q43" s="13">
        <f t="shared" si="1"/>
        <v>417994</v>
      </c>
      <c r="R43" s="10"/>
      <c r="S43" s="10"/>
      <c r="T43" s="10"/>
      <c r="U43" s="10"/>
      <c r="V43" s="10"/>
      <c r="W43" s="10"/>
      <c r="X43" s="10"/>
      <c r="Y43" s="10"/>
    </row>
    <row r="44" spans="1:25" s="8" customFormat="1" ht="63.75" x14ac:dyDescent="0.2">
      <c r="A44" s="85">
        <v>37</v>
      </c>
      <c r="B44" s="90" t="s">
        <v>11</v>
      </c>
      <c r="C44" s="91" t="s">
        <v>138</v>
      </c>
      <c r="D44" s="90" t="s">
        <v>139</v>
      </c>
      <c r="E44" s="90" t="s">
        <v>140</v>
      </c>
      <c r="F44" s="90" t="s">
        <v>141</v>
      </c>
      <c r="G44" s="11">
        <v>131949</v>
      </c>
      <c r="H44" s="11">
        <f>55209-1673</f>
        <v>53536</v>
      </c>
      <c r="I44" s="12">
        <v>8825</v>
      </c>
      <c r="J44" s="12">
        <v>8627</v>
      </c>
      <c r="K44" s="12">
        <v>8337</v>
      </c>
      <c r="L44" s="12">
        <v>8055</v>
      </c>
      <c r="M44" s="12">
        <v>7776</v>
      </c>
      <c r="N44" s="12">
        <v>7492</v>
      </c>
      <c r="O44" s="12">
        <v>7211</v>
      </c>
      <c r="P44" s="12">
        <v>6945</v>
      </c>
      <c r="Q44" s="13">
        <f t="shared" si="1"/>
        <v>63268</v>
      </c>
      <c r="R44" s="10"/>
      <c r="S44" s="10"/>
      <c r="T44" s="10"/>
      <c r="U44" s="10"/>
      <c r="V44" s="10"/>
      <c r="W44" s="10"/>
      <c r="X44" s="10"/>
      <c r="Y44" s="10"/>
    </row>
    <row r="45" spans="1:25" s="8" customFormat="1" ht="51" x14ac:dyDescent="0.2">
      <c r="A45" s="85">
        <v>38</v>
      </c>
      <c r="B45" s="90" t="s">
        <v>11</v>
      </c>
      <c r="C45" s="91" t="s">
        <v>481</v>
      </c>
      <c r="D45" s="90" t="s">
        <v>142</v>
      </c>
      <c r="E45" s="90" t="s">
        <v>140</v>
      </c>
      <c r="F45" s="90" t="s">
        <v>141</v>
      </c>
      <c r="G45" s="11">
        <v>117679</v>
      </c>
      <c r="H45" s="11">
        <f>40821-1237</f>
        <v>39584</v>
      </c>
      <c r="I45" s="12">
        <v>6525</v>
      </c>
      <c r="J45" s="12">
        <v>6378</v>
      </c>
      <c r="K45" s="12">
        <v>6164</v>
      </c>
      <c r="L45" s="12">
        <v>5956</v>
      </c>
      <c r="M45" s="12">
        <v>5750</v>
      </c>
      <c r="N45" s="12">
        <v>5539</v>
      </c>
      <c r="O45" s="12">
        <v>5331</v>
      </c>
      <c r="P45" s="12">
        <v>5137</v>
      </c>
      <c r="Q45" s="13">
        <f>SUM(I45:P45)</f>
        <v>46780</v>
      </c>
      <c r="R45" s="10"/>
      <c r="S45" s="10"/>
      <c r="T45" s="10"/>
      <c r="U45" s="10"/>
      <c r="V45" s="10"/>
      <c r="W45" s="10"/>
      <c r="X45" s="10"/>
      <c r="Y45" s="10"/>
    </row>
    <row r="46" spans="1:25" s="8" customFormat="1" ht="51" x14ac:dyDescent="0.2">
      <c r="A46" s="92">
        <v>39</v>
      </c>
      <c r="B46" s="90" t="s">
        <v>11</v>
      </c>
      <c r="C46" s="91" t="s">
        <v>143</v>
      </c>
      <c r="D46" s="90" t="s">
        <v>144</v>
      </c>
      <c r="E46" s="90" t="s">
        <v>145</v>
      </c>
      <c r="F46" s="90" t="s">
        <v>146</v>
      </c>
      <c r="G46" s="11">
        <v>95705</v>
      </c>
      <c r="H46" s="11">
        <f>21567-1659</f>
        <v>19908</v>
      </c>
      <c r="I46" s="12">
        <v>7411</v>
      </c>
      <c r="J46" s="12">
        <v>7151</v>
      </c>
      <c r="K46" s="12">
        <v>6872</v>
      </c>
      <c r="L46" s="12">
        <v>15</v>
      </c>
      <c r="M46" s="12">
        <v>0</v>
      </c>
      <c r="N46" s="12">
        <v>0</v>
      </c>
      <c r="O46" s="12">
        <v>0</v>
      </c>
      <c r="P46" s="12">
        <v>0</v>
      </c>
      <c r="Q46" s="13">
        <f t="shared" si="1"/>
        <v>21449</v>
      </c>
      <c r="R46" s="10"/>
      <c r="S46" s="10"/>
      <c r="T46" s="10"/>
      <c r="U46" s="10"/>
      <c r="V46" s="10"/>
      <c r="W46" s="10"/>
      <c r="X46" s="10"/>
      <c r="Y46" s="10"/>
    </row>
    <row r="47" spans="1:25" s="8" customFormat="1" ht="63.75" x14ac:dyDescent="0.2">
      <c r="A47" s="85">
        <v>40</v>
      </c>
      <c r="B47" s="90" t="s">
        <v>11</v>
      </c>
      <c r="C47" s="91" t="s">
        <v>147</v>
      </c>
      <c r="D47" s="90" t="s">
        <v>148</v>
      </c>
      <c r="E47" s="90" t="s">
        <v>145</v>
      </c>
      <c r="F47" s="90" t="s">
        <v>125</v>
      </c>
      <c r="G47" s="11">
        <v>92003</v>
      </c>
      <c r="H47" s="11">
        <f>19212-1601</f>
        <v>17611</v>
      </c>
      <c r="I47" s="12">
        <v>7086</v>
      </c>
      <c r="J47" s="12">
        <v>6833</v>
      </c>
      <c r="K47" s="12">
        <v>4964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3">
        <f t="shared" si="1"/>
        <v>18883</v>
      </c>
      <c r="R47" s="10"/>
      <c r="S47" s="10"/>
      <c r="T47" s="10"/>
      <c r="U47" s="10"/>
      <c r="V47" s="10"/>
      <c r="W47" s="10"/>
      <c r="X47" s="10"/>
      <c r="Y47" s="10"/>
    </row>
    <row r="48" spans="1:25" s="8" customFormat="1" ht="89.25" x14ac:dyDescent="0.2">
      <c r="A48" s="85">
        <v>41</v>
      </c>
      <c r="B48" s="90" t="s">
        <v>11</v>
      </c>
      <c r="C48" s="91" t="s">
        <v>149</v>
      </c>
      <c r="D48" s="90" t="s">
        <v>150</v>
      </c>
      <c r="E48" s="90" t="s">
        <v>151</v>
      </c>
      <c r="F48" s="90" t="s">
        <v>152</v>
      </c>
      <c r="G48" s="11">
        <v>238827</v>
      </c>
      <c r="H48" s="11">
        <f>167508-3102</f>
        <v>164406</v>
      </c>
      <c r="I48" s="12">
        <v>19034</v>
      </c>
      <c r="J48" s="12">
        <v>18716</v>
      </c>
      <c r="K48" s="12">
        <v>18196</v>
      </c>
      <c r="L48" s="12">
        <v>17674</v>
      </c>
      <c r="M48" s="12">
        <v>17164</v>
      </c>
      <c r="N48" s="12">
        <v>16629</v>
      </c>
      <c r="O48" s="12">
        <v>16108</v>
      </c>
      <c r="P48" s="12">
        <v>88898</v>
      </c>
      <c r="Q48" s="13">
        <f t="shared" si="1"/>
        <v>212419</v>
      </c>
      <c r="R48" s="10"/>
      <c r="S48" s="10"/>
      <c r="T48" s="10"/>
      <c r="U48" s="10"/>
      <c r="V48" s="10"/>
      <c r="W48" s="10"/>
      <c r="X48" s="10"/>
      <c r="Y48" s="10"/>
    </row>
    <row r="49" spans="1:25" s="8" customFormat="1" ht="38.25" x14ac:dyDescent="0.2">
      <c r="A49" s="85">
        <v>42</v>
      </c>
      <c r="B49" s="90" t="s">
        <v>11</v>
      </c>
      <c r="C49" s="91" t="s">
        <v>134</v>
      </c>
      <c r="D49" s="90" t="s">
        <v>153</v>
      </c>
      <c r="E49" s="90" t="s">
        <v>154</v>
      </c>
      <c r="F49" s="90" t="s">
        <v>155</v>
      </c>
      <c r="G49" s="11">
        <v>399990</v>
      </c>
      <c r="H49" s="11">
        <f>332630-4495</f>
        <v>328135</v>
      </c>
      <c r="I49" s="12">
        <v>31348</v>
      </c>
      <c r="J49" s="12">
        <v>30900</v>
      </c>
      <c r="K49" s="12">
        <v>30146</v>
      </c>
      <c r="L49" s="12">
        <v>29390</v>
      </c>
      <c r="M49" s="12">
        <v>28661</v>
      </c>
      <c r="N49" s="12">
        <v>27876</v>
      </c>
      <c r="O49" s="12">
        <v>27120</v>
      </c>
      <c r="P49" s="12">
        <v>253111</v>
      </c>
      <c r="Q49" s="13">
        <f t="shared" si="1"/>
        <v>458552</v>
      </c>
      <c r="R49" s="10"/>
      <c r="S49" s="10"/>
      <c r="T49" s="10"/>
      <c r="U49" s="10"/>
      <c r="V49" s="10"/>
      <c r="W49" s="10"/>
      <c r="X49" s="10"/>
      <c r="Y49" s="10"/>
    </row>
    <row r="50" spans="1:25" s="75" customFormat="1" ht="76.5" x14ac:dyDescent="0.2">
      <c r="A50" s="97">
        <v>43</v>
      </c>
      <c r="B50" s="96" t="s">
        <v>11</v>
      </c>
      <c r="C50" s="98" t="s">
        <v>156</v>
      </c>
      <c r="D50" s="96" t="s">
        <v>157</v>
      </c>
      <c r="E50" s="96" t="s">
        <v>158</v>
      </c>
      <c r="F50" s="96" t="s">
        <v>159</v>
      </c>
      <c r="G50" s="11">
        <v>4102470</v>
      </c>
      <c r="H50" s="11">
        <f>3543120-37296</f>
        <v>3505824</v>
      </c>
      <c r="I50" s="55">
        <v>295196</v>
      </c>
      <c r="J50" s="55">
        <v>289308</v>
      </c>
      <c r="K50" s="55">
        <v>283050</v>
      </c>
      <c r="L50" s="55">
        <v>276775</v>
      </c>
      <c r="M50" s="55">
        <v>270821</v>
      </c>
      <c r="N50" s="55">
        <v>264215</v>
      </c>
      <c r="O50" s="55">
        <v>257944</v>
      </c>
      <c r="P50" s="55">
        <v>3351556</v>
      </c>
      <c r="Q50" s="80">
        <f t="shared" si="1"/>
        <v>5288865</v>
      </c>
      <c r="R50" s="81"/>
      <c r="S50" s="81"/>
      <c r="T50" s="81"/>
      <c r="U50" s="81"/>
      <c r="V50" s="81"/>
      <c r="W50" s="81"/>
      <c r="X50" s="81"/>
      <c r="Y50" s="81"/>
    </row>
    <row r="51" spans="1:25" s="8" customFormat="1" ht="51" x14ac:dyDescent="0.2">
      <c r="A51" s="85">
        <v>44</v>
      </c>
      <c r="B51" s="90" t="s">
        <v>11</v>
      </c>
      <c r="C51" s="91" t="s">
        <v>160</v>
      </c>
      <c r="D51" s="90" t="s">
        <v>161</v>
      </c>
      <c r="E51" s="90" t="s">
        <v>162</v>
      </c>
      <c r="F51" s="90" t="s">
        <v>129</v>
      </c>
      <c r="G51" s="11">
        <v>1100000</v>
      </c>
      <c r="H51" s="11">
        <f>678358-18334</f>
        <v>660024</v>
      </c>
      <c r="I51" s="12">
        <v>100905</v>
      </c>
      <c r="J51" s="12">
        <v>97519</v>
      </c>
      <c r="K51" s="12">
        <v>94442</v>
      </c>
      <c r="L51" s="12">
        <v>91357</v>
      </c>
      <c r="M51" s="12">
        <v>88308</v>
      </c>
      <c r="N51" s="12">
        <v>85183</v>
      </c>
      <c r="O51" s="12">
        <v>82101</v>
      </c>
      <c r="P51" s="12">
        <v>155146</v>
      </c>
      <c r="Q51" s="13">
        <f t="shared" si="1"/>
        <v>794961</v>
      </c>
      <c r="R51" s="10"/>
      <c r="S51" s="10"/>
      <c r="T51" s="10"/>
      <c r="U51" s="10"/>
      <c r="V51" s="10"/>
      <c r="W51" s="10"/>
      <c r="X51" s="10"/>
      <c r="Y51" s="10"/>
    </row>
    <row r="52" spans="1:25" s="8" customFormat="1" ht="38.25" x14ac:dyDescent="0.2">
      <c r="A52" s="85">
        <v>45</v>
      </c>
      <c r="B52" s="90" t="s">
        <v>11</v>
      </c>
      <c r="C52" s="91" t="s">
        <v>163</v>
      </c>
      <c r="D52" s="90" t="s">
        <v>164</v>
      </c>
      <c r="E52" s="90" t="s">
        <v>165</v>
      </c>
      <c r="F52" s="90" t="s">
        <v>166</v>
      </c>
      <c r="G52" s="11">
        <v>574514</v>
      </c>
      <c r="H52" s="11">
        <f>444225-5923</f>
        <v>438302</v>
      </c>
      <c r="I52" s="12">
        <v>42505</v>
      </c>
      <c r="J52" s="12">
        <v>40966</v>
      </c>
      <c r="K52" s="12">
        <v>39972</v>
      </c>
      <c r="L52" s="12">
        <v>38975</v>
      </c>
      <c r="M52" s="12">
        <v>38016</v>
      </c>
      <c r="N52" s="12">
        <v>36981</v>
      </c>
      <c r="O52" s="12">
        <v>35985</v>
      </c>
      <c r="P52" s="12">
        <v>342362</v>
      </c>
      <c r="Q52" s="13">
        <f t="shared" si="1"/>
        <v>615762</v>
      </c>
      <c r="R52" s="10"/>
      <c r="S52" s="10"/>
      <c r="T52" s="10"/>
      <c r="U52" s="10"/>
      <c r="V52" s="10"/>
      <c r="W52" s="10"/>
      <c r="X52" s="10"/>
      <c r="Y52" s="10"/>
    </row>
    <row r="53" spans="1:25" s="8" customFormat="1" ht="38.25" x14ac:dyDescent="0.2">
      <c r="A53" s="85">
        <v>46</v>
      </c>
      <c r="B53" s="90" t="s">
        <v>11</v>
      </c>
      <c r="C53" s="91" t="s">
        <v>167</v>
      </c>
      <c r="D53" s="90" t="s">
        <v>168</v>
      </c>
      <c r="E53" s="90" t="s">
        <v>165</v>
      </c>
      <c r="F53" s="90" t="s">
        <v>169</v>
      </c>
      <c r="G53" s="11">
        <v>642766</v>
      </c>
      <c r="H53" s="11">
        <f>526490-5542</f>
        <v>520948</v>
      </c>
      <c r="I53" s="12">
        <v>44568</v>
      </c>
      <c r="J53" s="12">
        <v>42990</v>
      </c>
      <c r="K53" s="12">
        <v>42060</v>
      </c>
      <c r="L53" s="12">
        <v>41127</v>
      </c>
      <c r="M53" s="12">
        <v>40243</v>
      </c>
      <c r="N53" s="12">
        <v>39261</v>
      </c>
      <c r="O53" s="12">
        <v>38329</v>
      </c>
      <c r="P53" s="12">
        <v>498062</v>
      </c>
      <c r="Q53" s="13">
        <f t="shared" si="1"/>
        <v>786640</v>
      </c>
      <c r="R53" s="10"/>
      <c r="S53" s="10"/>
      <c r="T53" s="10"/>
      <c r="U53" s="10"/>
      <c r="V53" s="10"/>
      <c r="W53" s="10"/>
      <c r="X53" s="10"/>
      <c r="Y53" s="10"/>
    </row>
    <row r="54" spans="1:25" s="8" customFormat="1" ht="76.5" x14ac:dyDescent="0.2">
      <c r="A54" s="85">
        <v>47</v>
      </c>
      <c r="B54" s="90" t="s">
        <v>11</v>
      </c>
      <c r="C54" s="91" t="s">
        <v>170</v>
      </c>
      <c r="D54" s="90" t="s">
        <v>171</v>
      </c>
      <c r="E54" s="90" t="s">
        <v>165</v>
      </c>
      <c r="F54" s="90" t="s">
        <v>172</v>
      </c>
      <c r="G54" s="11">
        <v>238305</v>
      </c>
      <c r="H54" s="11">
        <f>169785-3087</f>
        <v>166698</v>
      </c>
      <c r="I54" s="12">
        <v>19481</v>
      </c>
      <c r="J54" s="12">
        <v>18755</v>
      </c>
      <c r="K54" s="12">
        <v>18238</v>
      </c>
      <c r="L54" s="12">
        <v>17718</v>
      </c>
      <c r="M54" s="12">
        <v>17211</v>
      </c>
      <c r="N54" s="12">
        <v>16679</v>
      </c>
      <c r="O54" s="12">
        <v>16160</v>
      </c>
      <c r="P54" s="12">
        <v>92427</v>
      </c>
      <c r="Q54" s="13">
        <f t="shared" si="1"/>
        <v>216669</v>
      </c>
      <c r="R54" s="10"/>
      <c r="S54" s="10"/>
      <c r="T54" s="10"/>
      <c r="U54" s="10"/>
      <c r="V54" s="10"/>
      <c r="W54" s="10"/>
      <c r="X54" s="10"/>
      <c r="Y54" s="10"/>
    </row>
    <row r="55" spans="1:25" s="8" customFormat="1" ht="38.25" x14ac:dyDescent="0.2">
      <c r="A55" s="92">
        <v>48</v>
      </c>
      <c r="B55" s="90" t="s">
        <v>11</v>
      </c>
      <c r="C55" s="91" t="s">
        <v>173</v>
      </c>
      <c r="D55" s="90" t="s">
        <v>174</v>
      </c>
      <c r="E55" s="90" t="s">
        <v>165</v>
      </c>
      <c r="F55" s="90" t="s">
        <v>169</v>
      </c>
      <c r="G55" s="11">
        <v>772384</v>
      </c>
      <c r="H55" s="11">
        <f>627190-6602</f>
        <v>620588</v>
      </c>
      <c r="I55" s="12">
        <v>53092</v>
      </c>
      <c r="J55" s="12">
        <v>51212</v>
      </c>
      <c r="K55" s="12">
        <v>50104</v>
      </c>
      <c r="L55" s="12">
        <v>48994</v>
      </c>
      <c r="M55" s="12">
        <v>47940</v>
      </c>
      <c r="N55" s="12">
        <v>46770</v>
      </c>
      <c r="O55" s="12">
        <v>45660</v>
      </c>
      <c r="P55" s="12">
        <v>593326</v>
      </c>
      <c r="Q55" s="13">
        <f t="shared" si="1"/>
        <v>937098</v>
      </c>
      <c r="R55" s="10"/>
      <c r="S55" s="10"/>
      <c r="T55" s="10"/>
      <c r="U55" s="10"/>
      <c r="V55" s="10"/>
      <c r="W55" s="10"/>
      <c r="X55" s="10"/>
      <c r="Y55" s="10"/>
    </row>
    <row r="56" spans="1:25" s="8" customFormat="1" ht="66.75" customHeight="1" x14ac:dyDescent="0.2">
      <c r="A56" s="85">
        <v>49</v>
      </c>
      <c r="B56" s="90" t="s">
        <v>11</v>
      </c>
      <c r="C56" s="91" t="s">
        <v>175</v>
      </c>
      <c r="D56" s="90" t="s">
        <v>176</v>
      </c>
      <c r="E56" s="90" t="s">
        <v>177</v>
      </c>
      <c r="F56" s="90" t="s">
        <v>178</v>
      </c>
      <c r="G56" s="11">
        <v>831260</v>
      </c>
      <c r="H56" s="11">
        <f>693984-7229</f>
        <v>686755</v>
      </c>
      <c r="I56" s="12">
        <v>58447</v>
      </c>
      <c r="J56" s="12">
        <v>56380</v>
      </c>
      <c r="K56" s="12">
        <v>55167</v>
      </c>
      <c r="L56" s="12">
        <v>53950</v>
      </c>
      <c r="M56" s="12">
        <v>52797</v>
      </c>
      <c r="N56" s="12">
        <v>51516</v>
      </c>
      <c r="O56" s="12">
        <v>50300</v>
      </c>
      <c r="P56" s="12">
        <v>662014</v>
      </c>
      <c r="Q56" s="13">
        <f t="shared" si="1"/>
        <v>1040571</v>
      </c>
      <c r="R56" s="10"/>
      <c r="S56" s="10"/>
      <c r="T56" s="10"/>
      <c r="U56" s="10"/>
      <c r="V56" s="10"/>
      <c r="W56" s="10"/>
      <c r="X56" s="10"/>
      <c r="Y56" s="10"/>
    </row>
    <row r="57" spans="1:25" s="8" customFormat="1" ht="76.5" x14ac:dyDescent="0.2">
      <c r="A57" s="85">
        <v>50</v>
      </c>
      <c r="B57" s="90" t="s">
        <v>11</v>
      </c>
      <c r="C57" s="91" t="s">
        <v>179</v>
      </c>
      <c r="D57" s="90" t="s">
        <v>180</v>
      </c>
      <c r="E57" s="90" t="s">
        <v>181</v>
      </c>
      <c r="F57" s="90" t="s">
        <v>182</v>
      </c>
      <c r="G57" s="11">
        <v>828319</v>
      </c>
      <c r="H57" s="11">
        <f>528960-5510</f>
        <v>523450</v>
      </c>
      <c r="I57" s="12">
        <v>45036</v>
      </c>
      <c r="J57" s="12">
        <v>42973</v>
      </c>
      <c r="K57" s="12">
        <v>42049</v>
      </c>
      <c r="L57" s="12">
        <v>41121</v>
      </c>
      <c r="M57" s="12">
        <v>40243</v>
      </c>
      <c r="N57" s="12">
        <v>39266</v>
      </c>
      <c r="O57" s="12">
        <v>38340</v>
      </c>
      <c r="P57" s="12">
        <v>504610</v>
      </c>
      <c r="Q57" s="13">
        <f t="shared" si="1"/>
        <v>793638</v>
      </c>
      <c r="R57" s="10"/>
      <c r="S57" s="10"/>
      <c r="T57" s="10"/>
      <c r="U57" s="10"/>
      <c r="V57" s="10"/>
      <c r="W57" s="10"/>
      <c r="X57" s="10"/>
      <c r="Y57" s="10"/>
    </row>
    <row r="58" spans="1:25" s="8" customFormat="1" ht="51" x14ac:dyDescent="0.2">
      <c r="A58" s="85">
        <v>51</v>
      </c>
      <c r="B58" s="90" t="s">
        <v>11</v>
      </c>
      <c r="C58" s="91" t="s">
        <v>183</v>
      </c>
      <c r="D58" s="90" t="s">
        <v>184</v>
      </c>
      <c r="E58" s="90" t="s">
        <v>181</v>
      </c>
      <c r="F58" s="90" t="s">
        <v>52</v>
      </c>
      <c r="G58" s="11">
        <v>129372</v>
      </c>
      <c r="H58" s="11">
        <f>19168-4792</f>
        <v>14376</v>
      </c>
      <c r="I58" s="12">
        <v>14863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3">
        <f t="shared" si="1"/>
        <v>14863</v>
      </c>
      <c r="R58" s="10"/>
      <c r="S58" s="10"/>
      <c r="T58" s="10"/>
      <c r="U58" s="10"/>
      <c r="V58" s="10"/>
      <c r="W58" s="10"/>
      <c r="X58" s="10"/>
      <c r="Y58" s="10"/>
    </row>
    <row r="59" spans="1:25" s="8" customFormat="1" ht="38.25" x14ac:dyDescent="0.2">
      <c r="A59" s="92">
        <v>52</v>
      </c>
      <c r="B59" s="90" t="s">
        <v>11</v>
      </c>
      <c r="C59" s="91" t="s">
        <v>185</v>
      </c>
      <c r="D59" s="90" t="s">
        <v>186</v>
      </c>
      <c r="E59" s="90" t="s">
        <v>187</v>
      </c>
      <c r="F59" s="90" t="s">
        <v>188</v>
      </c>
      <c r="G59" s="11">
        <v>274947</v>
      </c>
      <c r="H59" s="11">
        <f>177785-4805</f>
        <v>172980</v>
      </c>
      <c r="I59" s="12">
        <v>26685</v>
      </c>
      <c r="J59" s="12">
        <v>25578</v>
      </c>
      <c r="K59" s="12">
        <v>24752</v>
      </c>
      <c r="L59" s="12">
        <v>23943</v>
      </c>
      <c r="M59" s="12">
        <v>23144</v>
      </c>
      <c r="N59" s="12">
        <v>22325</v>
      </c>
      <c r="O59" s="12">
        <v>21517</v>
      </c>
      <c r="P59" s="12">
        <v>40626</v>
      </c>
      <c r="Q59" s="13">
        <f t="shared" si="1"/>
        <v>208570</v>
      </c>
      <c r="R59" s="10"/>
      <c r="S59" s="10"/>
      <c r="T59" s="10"/>
      <c r="U59" s="10"/>
      <c r="V59" s="10"/>
      <c r="W59" s="10"/>
      <c r="X59" s="10"/>
      <c r="Y59" s="10"/>
    </row>
    <row r="60" spans="1:25" s="8" customFormat="1" ht="63.75" x14ac:dyDescent="0.2">
      <c r="A60" s="85">
        <v>53</v>
      </c>
      <c r="B60" s="90" t="s">
        <v>11</v>
      </c>
      <c r="C60" s="91" t="s">
        <v>189</v>
      </c>
      <c r="D60" s="90" t="s">
        <v>190</v>
      </c>
      <c r="E60" s="90" t="s">
        <v>191</v>
      </c>
      <c r="F60" s="90" t="s">
        <v>192</v>
      </c>
      <c r="G60" s="11">
        <v>995818</v>
      </c>
      <c r="H60" s="11">
        <f>95487-4547</f>
        <v>90940</v>
      </c>
      <c r="I60" s="12">
        <v>22093</v>
      </c>
      <c r="J60" s="12">
        <v>21144</v>
      </c>
      <c r="K60" s="12">
        <v>20365</v>
      </c>
      <c r="L60" s="12">
        <v>19599</v>
      </c>
      <c r="M60" s="12">
        <v>18835</v>
      </c>
      <c r="N60" s="12">
        <v>42</v>
      </c>
      <c r="O60" s="12">
        <v>0</v>
      </c>
      <c r="P60" s="12">
        <v>0</v>
      </c>
      <c r="Q60" s="13">
        <f t="shared" si="1"/>
        <v>102078</v>
      </c>
      <c r="R60" s="10"/>
      <c r="S60" s="10"/>
      <c r="T60" s="10"/>
      <c r="U60" s="10"/>
      <c r="V60" s="10"/>
      <c r="W60" s="10"/>
      <c r="X60" s="10"/>
      <c r="Y60" s="10"/>
    </row>
    <row r="61" spans="1:25" s="8" customFormat="1" ht="52.5" customHeight="1" x14ac:dyDescent="0.2">
      <c r="A61" s="85">
        <v>54</v>
      </c>
      <c r="B61" s="90" t="s">
        <v>11</v>
      </c>
      <c r="C61" s="91" t="s">
        <v>193</v>
      </c>
      <c r="D61" s="90" t="s">
        <v>194</v>
      </c>
      <c r="E61" s="90" t="s">
        <v>195</v>
      </c>
      <c r="F61" s="90" t="s">
        <v>129</v>
      </c>
      <c r="G61" s="11">
        <v>303578</v>
      </c>
      <c r="H61" s="11">
        <f>200614-5422</f>
        <v>195192</v>
      </c>
      <c r="I61" s="12">
        <v>29500</v>
      </c>
      <c r="J61" s="12">
        <v>28874</v>
      </c>
      <c r="K61" s="12">
        <v>27930</v>
      </c>
      <c r="L61" s="12">
        <v>27018</v>
      </c>
      <c r="M61" s="12">
        <v>26116</v>
      </c>
      <c r="N61" s="12">
        <v>25192</v>
      </c>
      <c r="O61" s="12">
        <v>24280</v>
      </c>
      <c r="P61" s="12">
        <v>45881</v>
      </c>
      <c r="Q61" s="13">
        <f t="shared" si="1"/>
        <v>234791</v>
      </c>
      <c r="R61" s="10"/>
      <c r="S61" s="10"/>
      <c r="T61" s="10"/>
      <c r="U61" s="10"/>
      <c r="V61" s="10"/>
      <c r="W61" s="10"/>
      <c r="X61" s="10"/>
      <c r="Y61" s="10"/>
    </row>
    <row r="62" spans="1:25" s="8" customFormat="1" ht="51" x14ac:dyDescent="0.2">
      <c r="A62" s="85">
        <v>55</v>
      </c>
      <c r="B62" s="90" t="s">
        <v>11</v>
      </c>
      <c r="C62" s="91" t="s">
        <v>196</v>
      </c>
      <c r="D62" s="90" t="s">
        <v>197</v>
      </c>
      <c r="E62" s="90" t="s">
        <v>198</v>
      </c>
      <c r="F62" s="90" t="s">
        <v>199</v>
      </c>
      <c r="G62" s="11">
        <v>1987144</v>
      </c>
      <c r="H62" s="11">
        <f>1536522-19699</f>
        <v>1516823</v>
      </c>
      <c r="I62" s="12">
        <v>141102</v>
      </c>
      <c r="J62" s="12">
        <v>138730</v>
      </c>
      <c r="K62" s="12">
        <v>135424</v>
      </c>
      <c r="L62" s="12">
        <v>132110</v>
      </c>
      <c r="M62" s="12">
        <v>128927</v>
      </c>
      <c r="N62" s="12">
        <v>125476</v>
      </c>
      <c r="O62" s="12">
        <v>122164</v>
      </c>
      <c r="P62" s="12">
        <v>1228064</v>
      </c>
      <c r="Q62" s="13">
        <f t="shared" si="1"/>
        <v>2151997</v>
      </c>
      <c r="R62" s="10"/>
      <c r="S62" s="10"/>
      <c r="T62" s="10"/>
      <c r="U62" s="10"/>
      <c r="V62" s="10"/>
      <c r="W62" s="10"/>
      <c r="X62" s="10"/>
      <c r="Y62" s="10"/>
    </row>
    <row r="63" spans="1:25" s="8" customFormat="1" ht="63.75" x14ac:dyDescent="0.2">
      <c r="A63" s="85">
        <v>56</v>
      </c>
      <c r="B63" s="90" t="s">
        <v>11</v>
      </c>
      <c r="C63" s="91" t="s">
        <v>288</v>
      </c>
      <c r="D63" s="90" t="s">
        <v>200</v>
      </c>
      <c r="E63" s="90" t="s">
        <v>201</v>
      </c>
      <c r="F63" s="90" t="s">
        <v>202</v>
      </c>
      <c r="G63" s="11">
        <v>1011655</v>
      </c>
      <c r="H63" s="11">
        <f>323829-3271</f>
        <v>320558</v>
      </c>
      <c r="I63" s="12">
        <v>26378</v>
      </c>
      <c r="J63" s="12">
        <v>25923</v>
      </c>
      <c r="K63" s="12">
        <v>25375</v>
      </c>
      <c r="L63" s="12">
        <v>24824</v>
      </c>
      <c r="M63" s="12">
        <v>24304</v>
      </c>
      <c r="N63" s="12">
        <v>23723</v>
      </c>
      <c r="O63" s="12">
        <v>23173</v>
      </c>
      <c r="P63" s="12">
        <v>316572</v>
      </c>
      <c r="Q63" s="13">
        <f t="shared" si="1"/>
        <v>490272</v>
      </c>
      <c r="R63" s="10"/>
      <c r="S63" s="10"/>
      <c r="T63" s="10"/>
      <c r="U63" s="10"/>
      <c r="V63" s="10"/>
      <c r="W63" s="10"/>
      <c r="X63" s="10"/>
      <c r="Y63" s="10"/>
    </row>
    <row r="64" spans="1:25" s="8" customFormat="1" ht="38.25" x14ac:dyDescent="0.2">
      <c r="A64" s="92">
        <v>57</v>
      </c>
      <c r="B64" s="90" t="s">
        <v>11</v>
      </c>
      <c r="C64" s="91" t="s">
        <v>203</v>
      </c>
      <c r="D64" s="90" t="s">
        <v>204</v>
      </c>
      <c r="E64" s="90" t="s">
        <v>205</v>
      </c>
      <c r="F64" s="90" t="s">
        <v>206</v>
      </c>
      <c r="G64" s="11">
        <v>228362</v>
      </c>
      <c r="H64" s="11">
        <f>200502-2538</f>
        <v>197964</v>
      </c>
      <c r="I64" s="12">
        <v>18348</v>
      </c>
      <c r="J64" s="12">
        <v>17980</v>
      </c>
      <c r="K64" s="12">
        <v>17555</v>
      </c>
      <c r="L64" s="12">
        <v>17128</v>
      </c>
      <c r="M64" s="12">
        <v>16718</v>
      </c>
      <c r="N64" s="12">
        <v>16273</v>
      </c>
      <c r="O64" s="12">
        <v>15846</v>
      </c>
      <c r="P64" s="12">
        <v>162109</v>
      </c>
      <c r="Q64" s="13">
        <f t="shared" si="1"/>
        <v>281957</v>
      </c>
      <c r="R64" s="10"/>
      <c r="S64" s="10"/>
      <c r="T64" s="10"/>
      <c r="U64" s="10"/>
      <c r="V64" s="10"/>
      <c r="W64" s="10"/>
      <c r="X64" s="10"/>
      <c r="Y64" s="10"/>
    </row>
    <row r="65" spans="1:25" s="8" customFormat="1" ht="51" x14ac:dyDescent="0.2">
      <c r="A65" s="85">
        <v>58</v>
      </c>
      <c r="B65" s="90" t="s">
        <v>11</v>
      </c>
      <c r="C65" s="91" t="s">
        <v>207</v>
      </c>
      <c r="D65" s="90" t="s">
        <v>208</v>
      </c>
      <c r="E65" s="90" t="s">
        <v>209</v>
      </c>
      <c r="F65" s="90" t="s">
        <v>192</v>
      </c>
      <c r="G65" s="11">
        <v>400000</v>
      </c>
      <c r="H65" s="11">
        <v>200000</v>
      </c>
      <c r="I65" s="12">
        <v>48050</v>
      </c>
      <c r="J65" s="12">
        <v>46464</v>
      </c>
      <c r="K65" s="12">
        <v>44786</v>
      </c>
      <c r="L65" s="12">
        <v>43104</v>
      </c>
      <c r="M65" s="12">
        <v>41422</v>
      </c>
      <c r="N65" s="12">
        <v>92</v>
      </c>
      <c r="O65" s="12">
        <v>0</v>
      </c>
      <c r="P65" s="12">
        <v>0</v>
      </c>
      <c r="Q65" s="13">
        <f t="shared" si="1"/>
        <v>223918</v>
      </c>
      <c r="R65" s="10"/>
      <c r="S65" s="10"/>
      <c r="T65" s="10"/>
      <c r="U65" s="10"/>
      <c r="V65" s="10"/>
      <c r="W65" s="10"/>
      <c r="X65" s="10"/>
      <c r="Y65" s="10"/>
    </row>
    <row r="66" spans="1:25" s="8" customFormat="1" ht="63.75" x14ac:dyDescent="0.2">
      <c r="A66" s="85">
        <v>59</v>
      </c>
      <c r="B66" s="90" t="s">
        <v>11</v>
      </c>
      <c r="C66" s="91" t="s">
        <v>485</v>
      </c>
      <c r="D66" s="90" t="s">
        <v>210</v>
      </c>
      <c r="E66" s="90" t="s">
        <v>211</v>
      </c>
      <c r="F66" s="90" t="s">
        <v>212</v>
      </c>
      <c r="G66" s="11">
        <v>78281</v>
      </c>
      <c r="H66" s="11">
        <f>10575-2115</f>
        <v>8460</v>
      </c>
      <c r="I66" s="12">
        <v>8761</v>
      </c>
      <c r="J66" s="12">
        <v>20</v>
      </c>
      <c r="K66" s="12">
        <v>0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3">
        <f t="shared" si="1"/>
        <v>8781</v>
      </c>
      <c r="R66" s="10"/>
      <c r="S66" s="10"/>
      <c r="T66" s="10"/>
      <c r="U66" s="10"/>
      <c r="V66" s="10"/>
      <c r="W66" s="10"/>
      <c r="X66" s="10"/>
      <c r="Y66" s="10"/>
    </row>
    <row r="67" spans="1:25" s="8" customFormat="1" ht="63.75" x14ac:dyDescent="0.2">
      <c r="A67" s="85">
        <v>60</v>
      </c>
      <c r="B67" s="90" t="s">
        <v>11</v>
      </c>
      <c r="C67" s="91" t="s">
        <v>486</v>
      </c>
      <c r="D67" s="90" t="s">
        <v>213</v>
      </c>
      <c r="E67" s="90" t="s">
        <v>211</v>
      </c>
      <c r="F67" s="90" t="s">
        <v>214</v>
      </c>
      <c r="G67" s="11">
        <v>277402</v>
      </c>
      <c r="H67" s="11">
        <f>40833-1047</f>
        <v>39786</v>
      </c>
      <c r="I67" s="12">
        <v>5839</v>
      </c>
      <c r="J67" s="12">
        <v>5657</v>
      </c>
      <c r="K67" s="12">
        <v>5481</v>
      </c>
      <c r="L67" s="12">
        <v>5305</v>
      </c>
      <c r="M67" s="12">
        <v>5131</v>
      </c>
      <c r="N67" s="12">
        <v>4953</v>
      </c>
      <c r="O67" s="12">
        <v>4777</v>
      </c>
      <c r="P67" s="12">
        <v>11179</v>
      </c>
      <c r="Q67" s="13">
        <f t="shared" si="1"/>
        <v>48322</v>
      </c>
      <c r="R67" s="10"/>
      <c r="S67" s="10"/>
      <c r="T67" s="10"/>
      <c r="U67" s="10"/>
      <c r="V67" s="10"/>
      <c r="W67" s="10"/>
      <c r="X67" s="10"/>
      <c r="Y67" s="10"/>
    </row>
    <row r="68" spans="1:25" s="8" customFormat="1" ht="51" x14ac:dyDescent="0.2">
      <c r="A68" s="92">
        <v>61</v>
      </c>
      <c r="B68" s="90" t="s">
        <v>11</v>
      </c>
      <c r="C68" s="91" t="s">
        <v>487</v>
      </c>
      <c r="D68" s="90" t="s">
        <v>215</v>
      </c>
      <c r="E68" s="90" t="s">
        <v>211</v>
      </c>
      <c r="F68" s="90" t="s">
        <v>212</v>
      </c>
      <c r="G68" s="11">
        <v>95373</v>
      </c>
      <c r="H68" s="11">
        <f>12370-2474</f>
        <v>9896</v>
      </c>
      <c r="I68" s="12">
        <v>10248</v>
      </c>
      <c r="J68" s="12">
        <v>23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v>0</v>
      </c>
      <c r="Q68" s="13">
        <f t="shared" si="1"/>
        <v>10271</v>
      </c>
      <c r="R68" s="10"/>
      <c r="S68" s="10"/>
      <c r="T68" s="10"/>
      <c r="U68" s="10"/>
      <c r="V68" s="10"/>
      <c r="W68" s="10"/>
      <c r="X68" s="10"/>
      <c r="Y68" s="10"/>
    </row>
    <row r="69" spans="1:25" s="8" customFormat="1" ht="63.75" x14ac:dyDescent="0.2">
      <c r="A69" s="85">
        <v>62</v>
      </c>
      <c r="B69" s="90" t="s">
        <v>11</v>
      </c>
      <c r="C69" s="91" t="s">
        <v>488</v>
      </c>
      <c r="D69" s="90" t="s">
        <v>216</v>
      </c>
      <c r="E69" s="90" t="s">
        <v>211</v>
      </c>
      <c r="F69" s="90" t="s">
        <v>217</v>
      </c>
      <c r="G69" s="11">
        <v>188520</v>
      </c>
      <c r="H69" s="11">
        <f>81142-2798</f>
        <v>78344</v>
      </c>
      <c r="I69" s="12">
        <v>14425</v>
      </c>
      <c r="J69" s="12">
        <v>13942</v>
      </c>
      <c r="K69" s="12">
        <v>13472</v>
      </c>
      <c r="L69" s="12">
        <v>13001</v>
      </c>
      <c r="M69" s="12">
        <v>12533</v>
      </c>
      <c r="N69" s="12">
        <v>12059</v>
      </c>
      <c r="O69" s="12">
        <v>11589</v>
      </c>
      <c r="P69" s="12">
        <v>26</v>
      </c>
      <c r="Q69" s="13">
        <f t="shared" si="1"/>
        <v>91047</v>
      </c>
      <c r="R69" s="10"/>
      <c r="S69" s="10"/>
      <c r="T69" s="10"/>
      <c r="U69" s="10"/>
      <c r="V69" s="10"/>
      <c r="W69" s="10"/>
      <c r="X69" s="10"/>
      <c r="Y69" s="10"/>
    </row>
    <row r="70" spans="1:25" s="8" customFormat="1" ht="63.75" x14ac:dyDescent="0.2">
      <c r="A70" s="85">
        <v>63</v>
      </c>
      <c r="B70" s="90" t="s">
        <v>11</v>
      </c>
      <c r="C70" s="91" t="s">
        <v>489</v>
      </c>
      <c r="D70" s="90" t="s">
        <v>218</v>
      </c>
      <c r="E70" s="90" t="s">
        <v>211</v>
      </c>
      <c r="F70" s="90" t="s">
        <v>219</v>
      </c>
      <c r="G70" s="11">
        <v>85339</v>
      </c>
      <c r="H70" s="11">
        <f>18216-2024</f>
        <v>16192</v>
      </c>
      <c r="I70" s="12">
        <v>8726</v>
      </c>
      <c r="J70" s="12">
        <v>8383</v>
      </c>
      <c r="K70" s="12">
        <v>20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3">
        <f t="shared" si="1"/>
        <v>17129</v>
      </c>
      <c r="R70" s="10"/>
      <c r="S70" s="10"/>
      <c r="T70" s="10"/>
      <c r="U70" s="10"/>
      <c r="V70" s="10"/>
      <c r="W70" s="10"/>
      <c r="X70" s="10"/>
      <c r="Y70" s="10"/>
    </row>
    <row r="71" spans="1:25" s="8" customFormat="1" ht="51" x14ac:dyDescent="0.2">
      <c r="A71" s="85">
        <v>64</v>
      </c>
      <c r="B71" s="90" t="s">
        <v>11</v>
      </c>
      <c r="C71" s="91" t="s">
        <v>490</v>
      </c>
      <c r="D71" s="90" t="s">
        <v>220</v>
      </c>
      <c r="E71" s="90" t="s">
        <v>211</v>
      </c>
      <c r="F71" s="90" t="s">
        <v>221</v>
      </c>
      <c r="G71" s="11">
        <v>198864</v>
      </c>
      <c r="H71" s="11">
        <f>120744-2808</f>
        <v>117936</v>
      </c>
      <c r="I71" s="12">
        <v>16135</v>
      </c>
      <c r="J71" s="12">
        <v>15644</v>
      </c>
      <c r="K71" s="12">
        <v>15173</v>
      </c>
      <c r="L71" s="12">
        <v>14700</v>
      </c>
      <c r="M71" s="12">
        <v>14235</v>
      </c>
      <c r="N71" s="12">
        <v>13755</v>
      </c>
      <c r="O71" s="12">
        <v>13283</v>
      </c>
      <c r="P71" s="12">
        <v>42793</v>
      </c>
      <c r="Q71" s="13">
        <f t="shared" si="1"/>
        <v>145718</v>
      </c>
      <c r="R71" s="10"/>
      <c r="S71" s="10"/>
      <c r="T71" s="10"/>
      <c r="U71" s="10"/>
      <c r="V71" s="10"/>
      <c r="W71" s="10"/>
      <c r="X71" s="10"/>
      <c r="Y71" s="10"/>
    </row>
    <row r="72" spans="1:25" s="8" customFormat="1" ht="63.75" x14ac:dyDescent="0.2">
      <c r="A72" s="85">
        <v>65</v>
      </c>
      <c r="B72" s="90" t="s">
        <v>11</v>
      </c>
      <c r="C72" s="91" t="s">
        <v>491</v>
      </c>
      <c r="D72" s="90" t="s">
        <v>222</v>
      </c>
      <c r="E72" s="90" t="s">
        <v>211</v>
      </c>
      <c r="F72" s="90" t="s">
        <v>223</v>
      </c>
      <c r="G72" s="11">
        <v>227673</v>
      </c>
      <c r="H72" s="11">
        <f>161129-2731</f>
        <v>158398</v>
      </c>
      <c r="I72" s="12">
        <v>17537</v>
      </c>
      <c r="J72" s="12">
        <v>17052</v>
      </c>
      <c r="K72" s="12">
        <v>16594</v>
      </c>
      <c r="L72" s="12">
        <v>16134</v>
      </c>
      <c r="M72" s="12">
        <v>15687</v>
      </c>
      <c r="N72" s="12">
        <v>15214</v>
      </c>
      <c r="O72" s="12">
        <v>14755</v>
      </c>
      <c r="P72" s="12">
        <v>96059</v>
      </c>
      <c r="Q72" s="13">
        <f t="shared" si="1"/>
        <v>209032</v>
      </c>
      <c r="R72" s="10"/>
      <c r="S72" s="10"/>
      <c r="T72" s="10"/>
      <c r="U72" s="10"/>
      <c r="V72" s="10"/>
      <c r="W72" s="10"/>
      <c r="X72" s="10"/>
      <c r="Y72" s="10"/>
    </row>
    <row r="73" spans="1:25" s="8" customFormat="1" ht="38.25" x14ac:dyDescent="0.2">
      <c r="A73" s="92">
        <v>66</v>
      </c>
      <c r="B73" s="90" t="s">
        <v>11</v>
      </c>
      <c r="C73" s="91" t="s">
        <v>224</v>
      </c>
      <c r="D73" s="90" t="s">
        <v>225</v>
      </c>
      <c r="E73" s="90" t="s">
        <v>226</v>
      </c>
      <c r="F73" s="90" t="s">
        <v>227</v>
      </c>
      <c r="G73" s="11">
        <v>10991671</v>
      </c>
      <c r="H73" s="11">
        <f>5738904-207582</f>
        <v>5531322</v>
      </c>
      <c r="I73" s="12">
        <v>1003931</v>
      </c>
      <c r="J73" s="12">
        <v>911527</v>
      </c>
      <c r="K73" s="12">
        <v>875951</v>
      </c>
      <c r="L73" s="12">
        <v>785670</v>
      </c>
      <c r="M73" s="12">
        <v>592508</v>
      </c>
      <c r="N73" s="12">
        <v>467625</v>
      </c>
      <c r="O73" s="12">
        <v>451517</v>
      </c>
      <c r="P73" s="12">
        <v>1678400</v>
      </c>
      <c r="Q73" s="13">
        <f t="shared" si="1"/>
        <v>6767129</v>
      </c>
      <c r="R73" s="10"/>
      <c r="S73" s="10"/>
      <c r="T73" s="10"/>
      <c r="U73" s="10"/>
      <c r="V73" s="10"/>
      <c r="W73" s="10"/>
      <c r="X73" s="10"/>
      <c r="Y73" s="10"/>
    </row>
    <row r="74" spans="1:25" s="8" customFormat="1" ht="53.25" customHeight="1" x14ac:dyDescent="0.2">
      <c r="A74" s="85">
        <v>67</v>
      </c>
      <c r="B74" s="90" t="s">
        <v>11</v>
      </c>
      <c r="C74" s="91" t="s">
        <v>228</v>
      </c>
      <c r="D74" s="90" t="s">
        <v>229</v>
      </c>
      <c r="E74" s="90" t="s">
        <v>230</v>
      </c>
      <c r="F74" s="90" t="s">
        <v>231</v>
      </c>
      <c r="G74" s="11">
        <v>386344</v>
      </c>
      <c r="H74" s="11">
        <f>193173-10167</f>
        <v>183006</v>
      </c>
      <c r="I74" s="12">
        <v>48320</v>
      </c>
      <c r="J74" s="12">
        <v>46385</v>
      </c>
      <c r="K74" s="12">
        <v>44680</v>
      </c>
      <c r="L74" s="12">
        <v>42969</v>
      </c>
      <c r="M74" s="12">
        <v>20936</v>
      </c>
      <c r="N74" s="12">
        <v>0</v>
      </c>
      <c r="O74" s="12">
        <v>0</v>
      </c>
      <c r="P74" s="12">
        <v>0</v>
      </c>
      <c r="Q74" s="13">
        <f t="shared" si="1"/>
        <v>203290</v>
      </c>
      <c r="R74" s="10"/>
      <c r="S74" s="10"/>
      <c r="T74" s="10"/>
      <c r="U74" s="10"/>
      <c r="V74" s="10"/>
      <c r="W74" s="10"/>
      <c r="X74" s="10"/>
      <c r="Y74" s="10"/>
    </row>
    <row r="75" spans="1:25" s="8" customFormat="1" ht="89.25" x14ac:dyDescent="0.2">
      <c r="A75" s="85">
        <v>68</v>
      </c>
      <c r="B75" s="90" t="s">
        <v>11</v>
      </c>
      <c r="C75" s="91" t="s">
        <v>233</v>
      </c>
      <c r="D75" s="90" t="s">
        <v>234</v>
      </c>
      <c r="E75" s="90" t="s">
        <v>232</v>
      </c>
      <c r="F75" s="90" t="s">
        <v>235</v>
      </c>
      <c r="G75" s="11">
        <v>622067</v>
      </c>
      <c r="H75" s="11">
        <f>511796-5708</f>
        <v>506088</v>
      </c>
      <c r="I75" s="12">
        <v>45123</v>
      </c>
      <c r="J75" s="12">
        <v>42997</v>
      </c>
      <c r="K75" s="12">
        <v>42039</v>
      </c>
      <c r="L75" s="12">
        <v>41079</v>
      </c>
      <c r="M75" s="12">
        <v>40164</v>
      </c>
      <c r="N75" s="12">
        <v>39157</v>
      </c>
      <c r="O75" s="12">
        <v>38197</v>
      </c>
      <c r="P75" s="12">
        <v>461795</v>
      </c>
      <c r="Q75" s="13">
        <f t="shared" si="1"/>
        <v>750551</v>
      </c>
      <c r="R75" s="10"/>
      <c r="S75" s="10"/>
      <c r="T75" s="10"/>
      <c r="U75" s="10"/>
      <c r="V75" s="10"/>
      <c r="W75" s="10"/>
      <c r="X75" s="10"/>
      <c r="Y75" s="10"/>
    </row>
    <row r="76" spans="1:25" s="8" customFormat="1" ht="117.75" customHeight="1" x14ac:dyDescent="0.2">
      <c r="A76" s="85">
        <v>69</v>
      </c>
      <c r="B76" s="14" t="s">
        <v>11</v>
      </c>
      <c r="C76" s="100" t="s">
        <v>492</v>
      </c>
      <c r="D76" s="101" t="s">
        <v>236</v>
      </c>
      <c r="E76" s="16" t="s">
        <v>237</v>
      </c>
      <c r="F76" s="16" t="s">
        <v>238</v>
      </c>
      <c r="G76" s="17">
        <v>825403</v>
      </c>
      <c r="H76" s="17">
        <f>76100-3805</f>
        <v>72295</v>
      </c>
      <c r="I76" s="18">
        <v>18298</v>
      </c>
      <c r="J76" s="18">
        <v>17520</v>
      </c>
      <c r="K76" s="18">
        <v>16881</v>
      </c>
      <c r="L76" s="18">
        <v>16241</v>
      </c>
      <c r="M76" s="18">
        <v>11768</v>
      </c>
      <c r="N76" s="18">
        <v>0</v>
      </c>
      <c r="O76" s="19">
        <v>0</v>
      </c>
      <c r="P76" s="18">
        <v>0</v>
      </c>
      <c r="Q76" s="20">
        <f t="shared" si="1"/>
        <v>80708</v>
      </c>
      <c r="R76" s="10"/>
      <c r="S76" s="10"/>
      <c r="T76" s="10"/>
      <c r="U76" s="10"/>
      <c r="V76" s="10"/>
      <c r="W76" s="10"/>
      <c r="X76" s="10"/>
      <c r="Y76" s="10"/>
    </row>
    <row r="77" spans="1:25" s="8" customFormat="1" ht="35.25" customHeight="1" x14ac:dyDescent="0.2">
      <c r="A77" s="92">
        <v>70</v>
      </c>
      <c r="B77" s="90" t="s">
        <v>11</v>
      </c>
      <c r="C77" s="91" t="s">
        <v>239</v>
      </c>
      <c r="D77" s="90" t="s">
        <v>240</v>
      </c>
      <c r="E77" s="90" t="s">
        <v>241</v>
      </c>
      <c r="F77" s="90" t="s">
        <v>192</v>
      </c>
      <c r="G77" s="11">
        <v>1450422</v>
      </c>
      <c r="H77" s="11">
        <f>386130-34854</f>
        <v>351276</v>
      </c>
      <c r="I77" s="12">
        <v>94012</v>
      </c>
      <c r="J77" s="12">
        <v>79116</v>
      </c>
      <c r="K77" s="12">
        <v>76231</v>
      </c>
      <c r="L77" s="12">
        <v>73371</v>
      </c>
      <c r="M77" s="12">
        <v>70509</v>
      </c>
      <c r="N77" s="12">
        <v>157</v>
      </c>
      <c r="O77" s="12">
        <v>0</v>
      </c>
      <c r="P77" s="12">
        <v>0</v>
      </c>
      <c r="Q77" s="13">
        <f t="shared" si="1"/>
        <v>393396</v>
      </c>
      <c r="R77" s="10"/>
      <c r="S77" s="10"/>
      <c r="T77" s="10"/>
      <c r="U77" s="10"/>
      <c r="V77" s="10"/>
      <c r="W77" s="10"/>
      <c r="X77" s="10"/>
      <c r="Y77" s="10"/>
    </row>
    <row r="78" spans="1:25" s="8" customFormat="1" ht="51" x14ac:dyDescent="0.2">
      <c r="A78" s="85">
        <v>71</v>
      </c>
      <c r="B78" s="90" t="s">
        <v>11</v>
      </c>
      <c r="C78" s="91" t="s">
        <v>493</v>
      </c>
      <c r="D78" s="90" t="s">
        <v>242</v>
      </c>
      <c r="E78" s="90" t="s">
        <v>243</v>
      </c>
      <c r="F78" s="90" t="s">
        <v>30</v>
      </c>
      <c r="G78" s="11">
        <v>187540</v>
      </c>
      <c r="H78" s="11">
        <f>96180-4809</f>
        <v>91371</v>
      </c>
      <c r="I78" s="12">
        <v>23139</v>
      </c>
      <c r="J78" s="12">
        <v>22143</v>
      </c>
      <c r="K78" s="12">
        <v>21336</v>
      </c>
      <c r="L78" s="12">
        <v>20526</v>
      </c>
      <c r="M78" s="12">
        <v>14891</v>
      </c>
      <c r="N78" s="12">
        <v>0</v>
      </c>
      <c r="O78" s="12">
        <v>0</v>
      </c>
      <c r="P78" s="12">
        <v>0</v>
      </c>
      <c r="Q78" s="13">
        <f t="shared" si="1"/>
        <v>102035</v>
      </c>
      <c r="R78" s="10"/>
      <c r="S78" s="10"/>
      <c r="T78" s="10"/>
      <c r="U78" s="10"/>
      <c r="V78" s="10"/>
      <c r="W78" s="10"/>
      <c r="X78" s="10"/>
      <c r="Y78" s="10"/>
    </row>
    <row r="79" spans="1:25" s="8" customFormat="1" ht="76.5" x14ac:dyDescent="0.2">
      <c r="A79" s="85">
        <v>72</v>
      </c>
      <c r="B79" s="90" t="s">
        <v>11</v>
      </c>
      <c r="C79" s="91" t="s">
        <v>476</v>
      </c>
      <c r="D79" s="90" t="s">
        <v>245</v>
      </c>
      <c r="E79" s="90" t="s">
        <v>246</v>
      </c>
      <c r="F79" s="90" t="s">
        <v>247</v>
      </c>
      <c r="G79" s="11">
        <v>496423</v>
      </c>
      <c r="H79" s="11">
        <f>407757-5933</f>
        <v>401824</v>
      </c>
      <c r="I79" s="12">
        <v>41222</v>
      </c>
      <c r="J79" s="12">
        <v>39518</v>
      </c>
      <c r="K79" s="12">
        <v>38475</v>
      </c>
      <c r="L79" s="12">
        <v>37476</v>
      </c>
      <c r="M79" s="12">
        <v>36511</v>
      </c>
      <c r="N79" s="12">
        <v>35479</v>
      </c>
      <c r="O79" s="12">
        <v>34481</v>
      </c>
      <c r="P79" s="12">
        <v>299380</v>
      </c>
      <c r="Q79" s="13">
        <f t="shared" si="1"/>
        <v>562542</v>
      </c>
      <c r="R79" s="10"/>
      <c r="S79" s="10"/>
      <c r="T79" s="10"/>
      <c r="U79" s="10"/>
      <c r="V79" s="10"/>
      <c r="W79" s="10"/>
      <c r="X79" s="10"/>
      <c r="Y79" s="10"/>
    </row>
    <row r="80" spans="1:25" s="8" customFormat="1" ht="51" x14ac:dyDescent="0.2">
      <c r="A80" s="85">
        <v>73</v>
      </c>
      <c r="B80" s="90" t="s">
        <v>11</v>
      </c>
      <c r="C80" s="91" t="s">
        <v>248</v>
      </c>
      <c r="D80" s="90" t="s">
        <v>249</v>
      </c>
      <c r="E80" s="90" t="s">
        <v>250</v>
      </c>
      <c r="F80" s="90" t="s">
        <v>251</v>
      </c>
      <c r="G80" s="11">
        <v>61135</v>
      </c>
      <c r="H80" s="11">
        <f>41902-1022</f>
        <v>40880</v>
      </c>
      <c r="I80" s="12">
        <v>5832</v>
      </c>
      <c r="J80" s="12">
        <v>5620</v>
      </c>
      <c r="K80" s="12">
        <v>5436</v>
      </c>
      <c r="L80" s="12">
        <v>5264</v>
      </c>
      <c r="M80" s="12">
        <v>5095</v>
      </c>
      <c r="N80" s="12">
        <v>4920</v>
      </c>
      <c r="O80" s="12">
        <v>4748</v>
      </c>
      <c r="P80" s="12">
        <v>13222</v>
      </c>
      <c r="Q80" s="13">
        <f t="shared" si="1"/>
        <v>50137</v>
      </c>
      <c r="R80" s="10"/>
      <c r="S80" s="10"/>
      <c r="T80" s="10"/>
      <c r="U80" s="10"/>
      <c r="V80" s="10"/>
      <c r="W80" s="10"/>
      <c r="X80" s="10"/>
      <c r="Y80" s="10"/>
    </row>
    <row r="81" spans="1:25" s="8" customFormat="1" ht="90.75" customHeight="1" x14ac:dyDescent="0.2">
      <c r="A81" s="85">
        <v>74</v>
      </c>
      <c r="B81" s="90" t="s">
        <v>11</v>
      </c>
      <c r="C81" s="91" t="s">
        <v>252</v>
      </c>
      <c r="D81" s="90" t="s">
        <v>253</v>
      </c>
      <c r="E81" s="90" t="s">
        <v>254</v>
      </c>
      <c r="F81" s="90" t="s">
        <v>255</v>
      </c>
      <c r="G81" s="11">
        <v>119137</v>
      </c>
      <c r="H81" s="11">
        <f>36530-1635</f>
        <v>34895</v>
      </c>
      <c r="I81" s="12">
        <v>7960</v>
      </c>
      <c r="J81" s="12">
        <v>7689</v>
      </c>
      <c r="K81" s="12">
        <v>7415</v>
      </c>
      <c r="L81" s="12">
        <v>7140</v>
      </c>
      <c r="M81" s="12">
        <v>6865</v>
      </c>
      <c r="N81" s="12">
        <v>2259</v>
      </c>
      <c r="O81" s="12">
        <v>0</v>
      </c>
      <c r="P81" s="12">
        <v>0</v>
      </c>
      <c r="Q81" s="13">
        <f>SUM(I81:P81)</f>
        <v>39328</v>
      </c>
      <c r="R81" s="10"/>
      <c r="S81" s="10"/>
      <c r="T81" s="10"/>
      <c r="U81" s="10"/>
      <c r="V81" s="10"/>
      <c r="W81" s="10"/>
      <c r="X81" s="10"/>
      <c r="Y81" s="10"/>
    </row>
    <row r="82" spans="1:25" s="8" customFormat="1" ht="63.75" x14ac:dyDescent="0.2">
      <c r="A82" s="92">
        <v>75</v>
      </c>
      <c r="B82" s="90" t="s">
        <v>11</v>
      </c>
      <c r="C82" s="91" t="s">
        <v>256</v>
      </c>
      <c r="D82" s="90" t="s">
        <v>257</v>
      </c>
      <c r="E82" s="90" t="s">
        <v>258</v>
      </c>
      <c r="F82" s="90" t="s">
        <v>259</v>
      </c>
      <c r="G82" s="11">
        <v>847872</v>
      </c>
      <c r="H82" s="11">
        <f>516516-7826</f>
        <v>508690</v>
      </c>
      <c r="I82" s="12">
        <v>52567</v>
      </c>
      <c r="J82" s="12">
        <v>51167</v>
      </c>
      <c r="K82" s="12">
        <v>49854</v>
      </c>
      <c r="L82" s="12">
        <v>48537</v>
      </c>
      <c r="M82" s="12">
        <v>47261</v>
      </c>
      <c r="N82" s="12">
        <v>45901</v>
      </c>
      <c r="O82" s="12">
        <v>44585</v>
      </c>
      <c r="P82" s="12">
        <v>350170</v>
      </c>
      <c r="Q82" s="13">
        <f t="shared" si="1"/>
        <v>690042</v>
      </c>
      <c r="R82" s="10"/>
      <c r="S82" s="10"/>
      <c r="T82" s="10"/>
      <c r="U82" s="10"/>
      <c r="V82" s="10"/>
      <c r="W82" s="10"/>
      <c r="X82" s="10"/>
      <c r="Y82" s="10"/>
    </row>
    <row r="83" spans="1:25" s="8" customFormat="1" ht="63.75" x14ac:dyDescent="0.2">
      <c r="A83" s="85">
        <v>76</v>
      </c>
      <c r="B83" s="90" t="s">
        <v>11</v>
      </c>
      <c r="C83" s="91" t="s">
        <v>260</v>
      </c>
      <c r="D83" s="90" t="s">
        <v>261</v>
      </c>
      <c r="E83" s="90" t="s">
        <v>262</v>
      </c>
      <c r="F83" s="90" t="s">
        <v>263</v>
      </c>
      <c r="G83" s="11">
        <v>773964</v>
      </c>
      <c r="H83" s="11">
        <f>146304-4572</f>
        <v>141732</v>
      </c>
      <c r="I83" s="12">
        <v>24407</v>
      </c>
      <c r="J83" s="12">
        <v>23358</v>
      </c>
      <c r="K83" s="12">
        <v>22590</v>
      </c>
      <c r="L83" s="12">
        <v>21821</v>
      </c>
      <c r="M83" s="12">
        <v>21058</v>
      </c>
      <c r="N83" s="12">
        <v>20281</v>
      </c>
      <c r="O83" s="12">
        <v>19513</v>
      </c>
      <c r="P83" s="12">
        <v>14140</v>
      </c>
      <c r="Q83" s="13">
        <f t="shared" si="1"/>
        <v>167168</v>
      </c>
      <c r="R83" s="10"/>
      <c r="S83" s="10"/>
      <c r="T83" s="10"/>
      <c r="U83" s="10"/>
      <c r="V83" s="10"/>
      <c r="W83" s="10"/>
      <c r="X83" s="10"/>
      <c r="Y83" s="10"/>
    </row>
    <row r="84" spans="1:25" s="8" customFormat="1" ht="63.75" x14ac:dyDescent="0.2">
      <c r="A84" s="85">
        <v>77</v>
      </c>
      <c r="B84" s="90" t="s">
        <v>11</v>
      </c>
      <c r="C84" s="91" t="s">
        <v>264</v>
      </c>
      <c r="D84" s="90" t="s">
        <v>265</v>
      </c>
      <c r="E84" s="90" t="s">
        <v>266</v>
      </c>
      <c r="F84" s="90" t="s">
        <v>267</v>
      </c>
      <c r="G84" s="11">
        <v>517940</v>
      </c>
      <c r="H84" s="11">
        <f>40224-3352</f>
        <v>36872</v>
      </c>
      <c r="I84" s="12">
        <v>14947</v>
      </c>
      <c r="J84" s="12">
        <v>14307</v>
      </c>
      <c r="K84" s="12">
        <v>10380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3">
        <f t="shared" si="1"/>
        <v>39634</v>
      </c>
      <c r="R84" s="10"/>
      <c r="S84" s="10"/>
      <c r="T84" s="10"/>
      <c r="U84" s="10"/>
      <c r="V84" s="10"/>
      <c r="W84" s="10"/>
      <c r="X84" s="10"/>
      <c r="Y84" s="10"/>
    </row>
    <row r="85" spans="1:25" s="8" customFormat="1" ht="63.75" x14ac:dyDescent="0.2">
      <c r="A85" s="85">
        <v>78</v>
      </c>
      <c r="B85" s="90" t="s">
        <v>11</v>
      </c>
      <c r="C85" s="91" t="s">
        <v>268</v>
      </c>
      <c r="D85" s="90" t="s">
        <v>269</v>
      </c>
      <c r="E85" s="90" t="s">
        <v>266</v>
      </c>
      <c r="F85" s="90" t="s">
        <v>270</v>
      </c>
      <c r="G85" s="11">
        <v>522498</v>
      </c>
      <c r="H85" s="11">
        <f>48280-2840</f>
        <v>45440</v>
      </c>
      <c r="I85" s="12">
        <v>13292</v>
      </c>
      <c r="J85" s="12">
        <v>12718</v>
      </c>
      <c r="K85" s="12">
        <v>12242</v>
      </c>
      <c r="L85" s="12">
        <v>11764</v>
      </c>
      <c r="M85" s="12">
        <v>26</v>
      </c>
      <c r="N85" s="12">
        <v>0</v>
      </c>
      <c r="O85" s="12">
        <v>0</v>
      </c>
      <c r="P85" s="12">
        <v>0</v>
      </c>
      <c r="Q85" s="13">
        <f t="shared" si="1"/>
        <v>50042</v>
      </c>
      <c r="R85" s="10"/>
      <c r="S85" s="10"/>
      <c r="T85" s="10"/>
      <c r="U85" s="10"/>
      <c r="V85" s="10"/>
      <c r="W85" s="10"/>
      <c r="X85" s="10"/>
      <c r="Y85" s="10"/>
    </row>
    <row r="86" spans="1:25" s="8" customFormat="1" ht="63.75" x14ac:dyDescent="0.2">
      <c r="A86" s="92">
        <v>79</v>
      </c>
      <c r="B86" s="90" t="s">
        <v>11</v>
      </c>
      <c r="C86" s="91" t="s">
        <v>271</v>
      </c>
      <c r="D86" s="90" t="s">
        <v>272</v>
      </c>
      <c r="E86" s="90" t="s">
        <v>266</v>
      </c>
      <c r="F86" s="90" t="s">
        <v>219</v>
      </c>
      <c r="G86" s="11">
        <v>441877</v>
      </c>
      <c r="H86" s="11">
        <f>30024-3336</f>
        <v>26688</v>
      </c>
      <c r="I86" s="12">
        <v>14433</v>
      </c>
      <c r="J86" s="12">
        <v>13818</v>
      </c>
      <c r="K86" s="12">
        <v>31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3">
        <f t="shared" si="1"/>
        <v>28282</v>
      </c>
      <c r="R86" s="10"/>
      <c r="S86" s="10"/>
      <c r="T86" s="10"/>
      <c r="U86" s="10"/>
      <c r="V86" s="10"/>
      <c r="W86" s="10"/>
      <c r="X86" s="10"/>
      <c r="Y86" s="10"/>
    </row>
    <row r="87" spans="1:25" s="8" customFormat="1" ht="102.75" customHeight="1" x14ac:dyDescent="0.2">
      <c r="A87" s="85">
        <v>80</v>
      </c>
      <c r="B87" s="90" t="s">
        <v>11</v>
      </c>
      <c r="C87" s="91" t="s">
        <v>273</v>
      </c>
      <c r="D87" s="90" t="s">
        <v>274</v>
      </c>
      <c r="E87" s="90" t="s">
        <v>275</v>
      </c>
      <c r="F87" s="90" t="s">
        <v>276</v>
      </c>
      <c r="G87" s="11">
        <v>184000</v>
      </c>
      <c r="H87" s="11">
        <f>147870-3286</f>
        <v>144584</v>
      </c>
      <c r="I87" s="12">
        <v>19213</v>
      </c>
      <c r="J87" s="12">
        <v>18638</v>
      </c>
      <c r="K87" s="12">
        <v>18032</v>
      </c>
      <c r="L87" s="12">
        <v>17479</v>
      </c>
      <c r="M87" s="12">
        <v>16936</v>
      </c>
      <c r="N87" s="12">
        <v>16372</v>
      </c>
      <c r="O87" s="12">
        <v>15820</v>
      </c>
      <c r="P87" s="12">
        <v>57781</v>
      </c>
      <c r="Q87" s="13">
        <f t="shared" si="1"/>
        <v>180271</v>
      </c>
      <c r="R87" s="10"/>
      <c r="S87" s="10"/>
      <c r="T87" s="10"/>
      <c r="U87" s="10"/>
      <c r="V87" s="10"/>
      <c r="W87" s="10"/>
      <c r="X87" s="10"/>
      <c r="Y87" s="10"/>
    </row>
    <row r="88" spans="1:25" s="8" customFormat="1" ht="89.25" x14ac:dyDescent="0.2">
      <c r="A88" s="85">
        <v>81</v>
      </c>
      <c r="B88" s="14" t="s">
        <v>11</v>
      </c>
      <c r="C88" s="100" t="s">
        <v>277</v>
      </c>
      <c r="D88" s="101" t="s">
        <v>278</v>
      </c>
      <c r="E88" s="16" t="s">
        <v>279</v>
      </c>
      <c r="F88" s="16" t="s">
        <v>280</v>
      </c>
      <c r="G88" s="17">
        <v>360066</v>
      </c>
      <c r="H88" s="17">
        <f>289503-4677</f>
        <v>284826</v>
      </c>
      <c r="I88" s="18">
        <v>30900</v>
      </c>
      <c r="J88" s="18">
        <v>30186</v>
      </c>
      <c r="K88" s="18">
        <v>29372</v>
      </c>
      <c r="L88" s="18">
        <v>28555</v>
      </c>
      <c r="M88" s="18">
        <v>27762</v>
      </c>
      <c r="N88" s="18">
        <v>26921</v>
      </c>
      <c r="O88" s="19">
        <v>26106</v>
      </c>
      <c r="P88" s="18">
        <v>183847</v>
      </c>
      <c r="Q88" s="20">
        <f t="shared" si="1"/>
        <v>383649</v>
      </c>
      <c r="R88" s="10"/>
      <c r="S88" s="10"/>
      <c r="T88" s="10"/>
      <c r="U88" s="10"/>
      <c r="V88" s="10"/>
      <c r="W88" s="10"/>
      <c r="X88" s="10"/>
      <c r="Y88" s="10"/>
    </row>
    <row r="89" spans="1:25" s="75" customFormat="1" ht="63.75" x14ac:dyDescent="0.2">
      <c r="A89" s="99">
        <v>82</v>
      </c>
      <c r="B89" s="96" t="s">
        <v>11</v>
      </c>
      <c r="C89" s="98" t="s">
        <v>281</v>
      </c>
      <c r="D89" s="96" t="s">
        <v>282</v>
      </c>
      <c r="E89" s="96" t="s">
        <v>283</v>
      </c>
      <c r="F89" s="96" t="s">
        <v>284</v>
      </c>
      <c r="G89" s="11">
        <v>2118102</v>
      </c>
      <c r="H89" s="11">
        <f>1603500-17993</f>
        <v>1585507</v>
      </c>
      <c r="I89" s="55">
        <v>144575</v>
      </c>
      <c r="J89" s="55">
        <v>141446</v>
      </c>
      <c r="K89" s="55">
        <v>138124</v>
      </c>
      <c r="L89" s="55">
        <v>134794</v>
      </c>
      <c r="M89" s="55">
        <v>131621</v>
      </c>
      <c r="N89" s="55">
        <v>128128</v>
      </c>
      <c r="O89" s="55">
        <v>124800</v>
      </c>
      <c r="P89" s="55">
        <v>1475320</v>
      </c>
      <c r="Q89" s="82">
        <f t="shared" si="1"/>
        <v>2418808</v>
      </c>
      <c r="R89" s="81"/>
      <c r="S89" s="81"/>
      <c r="T89" s="81"/>
      <c r="U89" s="81"/>
      <c r="V89" s="81"/>
      <c r="W89" s="81"/>
      <c r="X89" s="81"/>
      <c r="Y89" s="81"/>
    </row>
    <row r="90" spans="1:25" s="8" customFormat="1" ht="93.75" customHeight="1" x14ac:dyDescent="0.2">
      <c r="A90" s="85">
        <v>83</v>
      </c>
      <c r="B90" s="90" t="s">
        <v>11</v>
      </c>
      <c r="C90" s="91" t="s">
        <v>233</v>
      </c>
      <c r="D90" s="90" t="s">
        <v>285</v>
      </c>
      <c r="E90" s="90" t="s">
        <v>286</v>
      </c>
      <c r="F90" s="90" t="s">
        <v>287</v>
      </c>
      <c r="G90" s="11">
        <v>252480</v>
      </c>
      <c r="H90" s="11">
        <f>245333-2355</f>
        <v>242978</v>
      </c>
      <c r="I90" s="12">
        <v>20657</v>
      </c>
      <c r="J90" s="12">
        <v>20153</v>
      </c>
      <c r="K90" s="12">
        <v>19718</v>
      </c>
      <c r="L90" s="12">
        <v>19282</v>
      </c>
      <c r="M90" s="12">
        <v>18871</v>
      </c>
      <c r="N90" s="12">
        <v>18410</v>
      </c>
      <c r="O90" s="12">
        <v>17974</v>
      </c>
      <c r="P90" s="12">
        <v>256874</v>
      </c>
      <c r="Q90" s="20">
        <f t="shared" si="1"/>
        <v>391939</v>
      </c>
      <c r="R90" s="10"/>
      <c r="S90" s="10"/>
      <c r="T90" s="10"/>
      <c r="U90" s="10"/>
      <c r="V90" s="10"/>
      <c r="W90" s="10"/>
      <c r="X90" s="10"/>
      <c r="Y90" s="10"/>
    </row>
    <row r="91" spans="1:25" s="8" customFormat="1" ht="63.75" x14ac:dyDescent="0.2">
      <c r="A91" s="92">
        <v>84</v>
      </c>
      <c r="B91" s="90" t="s">
        <v>11</v>
      </c>
      <c r="C91" s="91" t="s">
        <v>288</v>
      </c>
      <c r="D91" s="90" t="s">
        <v>289</v>
      </c>
      <c r="E91" s="90" t="s">
        <v>290</v>
      </c>
      <c r="F91" s="90" t="s">
        <v>291</v>
      </c>
      <c r="G91" s="11">
        <v>841650</v>
      </c>
      <c r="H91" s="11">
        <f>527584-5702</f>
        <v>521882</v>
      </c>
      <c r="I91" s="12">
        <v>50278</v>
      </c>
      <c r="J91" s="12">
        <v>47245</v>
      </c>
      <c r="K91" s="12">
        <v>46123</v>
      </c>
      <c r="L91" s="12">
        <v>44997</v>
      </c>
      <c r="M91" s="12">
        <v>43927</v>
      </c>
      <c r="N91" s="12">
        <v>42745</v>
      </c>
      <c r="O91" s="12">
        <v>41620</v>
      </c>
      <c r="P91" s="12">
        <v>510406</v>
      </c>
      <c r="Q91" s="20">
        <f t="shared" si="1"/>
        <v>827341</v>
      </c>
      <c r="R91" s="10"/>
      <c r="S91" s="10"/>
      <c r="T91" s="10"/>
      <c r="U91" s="10"/>
      <c r="V91" s="10"/>
      <c r="W91" s="10"/>
      <c r="X91" s="10"/>
      <c r="Y91" s="10"/>
    </row>
    <row r="92" spans="1:25" s="8" customFormat="1" ht="102" x14ac:dyDescent="0.2">
      <c r="A92" s="85">
        <v>85</v>
      </c>
      <c r="B92" s="90" t="s">
        <v>11</v>
      </c>
      <c r="C92" s="91" t="s">
        <v>512</v>
      </c>
      <c r="D92" s="90" t="s">
        <v>292</v>
      </c>
      <c r="E92" s="90" t="s">
        <v>293</v>
      </c>
      <c r="F92" s="90" t="s">
        <v>457</v>
      </c>
      <c r="G92" s="11">
        <v>238979</v>
      </c>
      <c r="H92" s="11">
        <f>91894-4426</f>
        <v>87468</v>
      </c>
      <c r="I92" s="12">
        <v>22112</v>
      </c>
      <c r="J92" s="12">
        <v>20617</v>
      </c>
      <c r="K92" s="12">
        <v>19849</v>
      </c>
      <c r="L92" s="12">
        <v>19079</v>
      </c>
      <c r="M92" s="12">
        <v>17257</v>
      </c>
      <c r="N92" s="12">
        <v>32</v>
      </c>
      <c r="O92" s="12">
        <v>0</v>
      </c>
      <c r="P92" s="12">
        <v>0</v>
      </c>
      <c r="Q92" s="13">
        <f t="shared" si="1"/>
        <v>98946</v>
      </c>
      <c r="R92" s="10"/>
      <c r="S92" s="10"/>
      <c r="T92" s="10"/>
      <c r="U92" s="10"/>
      <c r="V92" s="10"/>
      <c r="W92" s="10"/>
      <c r="X92" s="10"/>
      <c r="Y92" s="10"/>
    </row>
    <row r="93" spans="1:25" s="8" customFormat="1" ht="38.25" x14ac:dyDescent="0.2">
      <c r="A93" s="85">
        <v>86</v>
      </c>
      <c r="B93" s="90" t="s">
        <v>11</v>
      </c>
      <c r="C93" s="91" t="s">
        <v>294</v>
      </c>
      <c r="D93" s="90" t="s">
        <v>295</v>
      </c>
      <c r="E93" s="90" t="s">
        <v>296</v>
      </c>
      <c r="F93" s="90" t="s">
        <v>297</v>
      </c>
      <c r="G93" s="11">
        <v>698589</v>
      </c>
      <c r="H93" s="11">
        <f>639960-6075</f>
        <v>633885</v>
      </c>
      <c r="I93" s="12">
        <v>55598</v>
      </c>
      <c r="J93" s="12">
        <v>51473</v>
      </c>
      <c r="K93" s="12">
        <v>50385</v>
      </c>
      <c r="L93" s="12">
        <v>49295</v>
      </c>
      <c r="M93" s="12">
        <v>48268</v>
      </c>
      <c r="N93" s="12">
        <v>47112</v>
      </c>
      <c r="O93" s="12">
        <v>46022</v>
      </c>
      <c r="P93" s="12">
        <v>669688</v>
      </c>
      <c r="Q93" s="13">
        <f t="shared" si="1"/>
        <v>1017841</v>
      </c>
      <c r="R93" s="10"/>
      <c r="S93" s="10"/>
      <c r="T93" s="10"/>
      <c r="U93" s="10"/>
      <c r="V93" s="10"/>
      <c r="W93" s="10"/>
      <c r="X93" s="10"/>
      <c r="Y93" s="10"/>
    </row>
    <row r="94" spans="1:25" s="8" customFormat="1" ht="105" customHeight="1" x14ac:dyDescent="0.2">
      <c r="A94" s="85">
        <v>87</v>
      </c>
      <c r="B94" s="14" t="s">
        <v>11</v>
      </c>
      <c r="C94" s="102" t="s">
        <v>298</v>
      </c>
      <c r="D94" s="101" t="s">
        <v>299</v>
      </c>
      <c r="E94" s="16" t="s">
        <v>300</v>
      </c>
      <c r="F94" s="16" t="s">
        <v>301</v>
      </c>
      <c r="G94" s="17">
        <v>91175</v>
      </c>
      <c r="H94" s="17">
        <v>15087</v>
      </c>
      <c r="I94" s="18">
        <v>15118</v>
      </c>
      <c r="J94" s="18">
        <v>0</v>
      </c>
      <c r="K94" s="18">
        <v>0</v>
      </c>
      <c r="L94" s="18">
        <v>0</v>
      </c>
      <c r="M94" s="18">
        <v>0</v>
      </c>
      <c r="N94" s="18">
        <v>0</v>
      </c>
      <c r="O94" s="18">
        <v>0</v>
      </c>
      <c r="P94" s="18">
        <v>0</v>
      </c>
      <c r="Q94" s="20">
        <f t="shared" si="1"/>
        <v>15118</v>
      </c>
      <c r="R94" s="10"/>
      <c r="S94" s="10"/>
      <c r="T94" s="10"/>
      <c r="U94" s="10"/>
      <c r="V94" s="10"/>
      <c r="W94" s="10"/>
      <c r="X94" s="10"/>
      <c r="Y94" s="10"/>
    </row>
    <row r="95" spans="1:25" s="8" customFormat="1" ht="25.5" x14ac:dyDescent="0.2">
      <c r="A95" s="92">
        <v>88</v>
      </c>
      <c r="B95" s="90" t="s">
        <v>11</v>
      </c>
      <c r="C95" s="91" t="s">
        <v>302</v>
      </c>
      <c r="D95" s="90" t="s">
        <v>303</v>
      </c>
      <c r="E95" s="90" t="s">
        <v>304</v>
      </c>
      <c r="F95" s="90" t="s">
        <v>305</v>
      </c>
      <c r="G95" s="11">
        <v>660540</v>
      </c>
      <c r="H95" s="11">
        <f>614352-6609</f>
        <v>607743</v>
      </c>
      <c r="I95" s="12">
        <v>56689</v>
      </c>
      <c r="J95" s="12">
        <v>52566</v>
      </c>
      <c r="K95" s="12">
        <v>51371</v>
      </c>
      <c r="L95" s="12">
        <v>50174</v>
      </c>
      <c r="M95" s="12">
        <v>49036</v>
      </c>
      <c r="N95" s="12">
        <v>47777</v>
      </c>
      <c r="O95" s="12">
        <v>46580</v>
      </c>
      <c r="P95" s="12">
        <v>582447</v>
      </c>
      <c r="Q95" s="20">
        <f t="shared" si="1"/>
        <v>936640</v>
      </c>
      <c r="R95" s="10"/>
      <c r="S95" s="10"/>
      <c r="T95" s="10"/>
      <c r="U95" s="10"/>
      <c r="V95" s="10"/>
      <c r="W95" s="10"/>
      <c r="X95" s="10"/>
      <c r="Y95" s="10"/>
    </row>
    <row r="96" spans="1:25" s="8" customFormat="1" ht="38.25" x14ac:dyDescent="0.2">
      <c r="A96" s="85">
        <v>89</v>
      </c>
      <c r="B96" s="90" t="s">
        <v>11</v>
      </c>
      <c r="C96" s="91" t="s">
        <v>306</v>
      </c>
      <c r="D96" s="90" t="s">
        <v>307</v>
      </c>
      <c r="E96" s="90" t="s">
        <v>304</v>
      </c>
      <c r="F96" s="90" t="s">
        <v>85</v>
      </c>
      <c r="G96" s="11">
        <v>315428</v>
      </c>
      <c r="H96" s="11">
        <f>275328-5736</f>
        <v>269592</v>
      </c>
      <c r="I96" s="12">
        <v>35291</v>
      </c>
      <c r="J96" s="12">
        <v>33049</v>
      </c>
      <c r="K96" s="12">
        <v>32097</v>
      </c>
      <c r="L96" s="12">
        <v>31143</v>
      </c>
      <c r="M96" s="12">
        <v>30206</v>
      </c>
      <c r="N96" s="12">
        <v>29232</v>
      </c>
      <c r="O96" s="12">
        <v>28279</v>
      </c>
      <c r="P96" s="12">
        <v>121345</v>
      </c>
      <c r="Q96" s="20">
        <f t="shared" si="1"/>
        <v>340642</v>
      </c>
      <c r="R96" s="10"/>
      <c r="S96" s="10"/>
      <c r="T96" s="10"/>
      <c r="U96" s="10"/>
      <c r="V96" s="10"/>
      <c r="W96" s="10"/>
      <c r="X96" s="10"/>
      <c r="Y96" s="10"/>
    </row>
    <row r="97" spans="1:25" s="8" customFormat="1" ht="63.75" x14ac:dyDescent="0.2">
      <c r="A97" s="85">
        <v>90</v>
      </c>
      <c r="B97" s="90" t="s">
        <v>11</v>
      </c>
      <c r="C97" s="91" t="s">
        <v>308</v>
      </c>
      <c r="D97" s="90" t="s">
        <v>309</v>
      </c>
      <c r="E97" s="90" t="s">
        <v>310</v>
      </c>
      <c r="F97" s="90" t="s">
        <v>311</v>
      </c>
      <c r="G97" s="11">
        <v>230000</v>
      </c>
      <c r="H97" s="11">
        <f>208863-3027</f>
        <v>205836</v>
      </c>
      <c r="I97" s="12">
        <v>21900</v>
      </c>
      <c r="J97" s="12">
        <v>20274</v>
      </c>
      <c r="K97" s="12">
        <v>19759</v>
      </c>
      <c r="L97" s="12">
        <v>19244</v>
      </c>
      <c r="M97" s="12">
        <v>18745</v>
      </c>
      <c r="N97" s="12">
        <v>18211</v>
      </c>
      <c r="O97" s="12">
        <v>17696</v>
      </c>
      <c r="P97" s="12">
        <v>148672</v>
      </c>
      <c r="Q97" s="13">
        <f>SUM(I97:P97)</f>
        <v>284501</v>
      </c>
      <c r="R97" s="10"/>
      <c r="S97" s="10"/>
      <c r="T97" s="10"/>
      <c r="U97" s="10"/>
      <c r="V97" s="10"/>
      <c r="W97" s="10"/>
      <c r="X97" s="10"/>
      <c r="Y97" s="10"/>
    </row>
    <row r="98" spans="1:25" s="8" customFormat="1" ht="38.25" x14ac:dyDescent="0.2">
      <c r="A98" s="85">
        <v>91</v>
      </c>
      <c r="B98" s="90" t="s">
        <v>11</v>
      </c>
      <c r="C98" s="91" t="s">
        <v>312</v>
      </c>
      <c r="D98" s="90" t="s">
        <v>313</v>
      </c>
      <c r="E98" s="90" t="s">
        <v>310</v>
      </c>
      <c r="F98" s="90" t="s">
        <v>311</v>
      </c>
      <c r="G98" s="11">
        <v>98000</v>
      </c>
      <c r="H98" s="11">
        <f>84525-1225</f>
        <v>83300</v>
      </c>
      <c r="I98" s="12">
        <v>8863</v>
      </c>
      <c r="J98" s="12">
        <v>8205</v>
      </c>
      <c r="K98" s="12">
        <v>7996</v>
      </c>
      <c r="L98" s="12">
        <v>7788</v>
      </c>
      <c r="M98" s="12">
        <v>7586</v>
      </c>
      <c r="N98" s="12">
        <v>7370</v>
      </c>
      <c r="O98" s="12">
        <v>7161</v>
      </c>
      <c r="P98" s="12">
        <v>60166</v>
      </c>
      <c r="Q98" s="13">
        <f t="shared" ref="Q98:Q134" si="2">SUM(I98:P98)</f>
        <v>115135</v>
      </c>
      <c r="R98" s="10"/>
      <c r="S98" s="10"/>
      <c r="T98" s="10"/>
      <c r="U98" s="10"/>
      <c r="V98" s="10"/>
      <c r="W98" s="10"/>
      <c r="X98" s="10"/>
      <c r="Y98" s="10"/>
    </row>
    <row r="99" spans="1:25" s="8" customFormat="1" ht="63.75" x14ac:dyDescent="0.2">
      <c r="A99" s="85">
        <v>92</v>
      </c>
      <c r="B99" s="90" t="s">
        <v>11</v>
      </c>
      <c r="C99" s="91" t="s">
        <v>314</v>
      </c>
      <c r="D99" s="90" t="s">
        <v>315</v>
      </c>
      <c r="E99" s="90" t="s">
        <v>310</v>
      </c>
      <c r="F99" s="90" t="s">
        <v>311</v>
      </c>
      <c r="G99" s="11">
        <v>113860</v>
      </c>
      <c r="H99" s="11">
        <f>98256-1424</f>
        <v>96832</v>
      </c>
      <c r="I99" s="12">
        <v>10302</v>
      </c>
      <c r="J99" s="12">
        <v>9537</v>
      </c>
      <c r="K99" s="12">
        <v>9295</v>
      </c>
      <c r="L99" s="12">
        <v>9053</v>
      </c>
      <c r="M99" s="12">
        <v>8818</v>
      </c>
      <c r="N99" s="12">
        <v>8567</v>
      </c>
      <c r="O99" s="12">
        <v>8325</v>
      </c>
      <c r="P99" s="12">
        <v>69941</v>
      </c>
      <c r="Q99" s="13">
        <f t="shared" si="2"/>
        <v>133838</v>
      </c>
      <c r="R99" s="10"/>
      <c r="S99" s="10"/>
      <c r="T99" s="10"/>
      <c r="U99" s="10"/>
      <c r="V99" s="10"/>
      <c r="W99" s="10"/>
      <c r="X99" s="10"/>
      <c r="Y99" s="10"/>
    </row>
    <row r="100" spans="1:25" s="8" customFormat="1" ht="51" customHeight="1" x14ac:dyDescent="0.2">
      <c r="A100" s="92">
        <v>93</v>
      </c>
      <c r="B100" s="90" t="s">
        <v>11</v>
      </c>
      <c r="C100" s="91" t="s">
        <v>316</v>
      </c>
      <c r="D100" s="90" t="s">
        <v>317</v>
      </c>
      <c r="E100" s="90" t="s">
        <v>318</v>
      </c>
      <c r="F100" s="90" t="s">
        <v>319</v>
      </c>
      <c r="G100" s="11">
        <v>121491</v>
      </c>
      <c r="H100" s="11">
        <f>106032-2209</f>
        <v>103823</v>
      </c>
      <c r="I100" s="12">
        <v>13853</v>
      </c>
      <c r="J100" s="12">
        <v>12754</v>
      </c>
      <c r="K100" s="12">
        <v>12383</v>
      </c>
      <c r="L100" s="12">
        <v>12013</v>
      </c>
      <c r="M100" s="12">
        <v>11651</v>
      </c>
      <c r="N100" s="12">
        <v>11273</v>
      </c>
      <c r="O100" s="12">
        <v>10903</v>
      </c>
      <c r="P100" s="12">
        <v>46770</v>
      </c>
      <c r="Q100" s="13">
        <f t="shared" si="2"/>
        <v>131600</v>
      </c>
      <c r="R100" s="10"/>
      <c r="S100" s="10"/>
      <c r="T100" s="10"/>
      <c r="U100" s="10"/>
      <c r="V100" s="10"/>
      <c r="W100" s="10"/>
      <c r="X100" s="10"/>
      <c r="Y100" s="10"/>
    </row>
    <row r="101" spans="1:25" s="8" customFormat="1" ht="63.75" x14ac:dyDescent="0.2">
      <c r="A101" s="85">
        <v>94</v>
      </c>
      <c r="B101" s="90" t="s">
        <v>11</v>
      </c>
      <c r="C101" s="91" t="s">
        <v>477</v>
      </c>
      <c r="D101" s="90" t="s">
        <v>320</v>
      </c>
      <c r="E101" s="90" t="s">
        <v>321</v>
      </c>
      <c r="F101" s="90" t="s">
        <v>322</v>
      </c>
      <c r="G101" s="11">
        <v>91190</v>
      </c>
      <c r="H101" s="11">
        <f>64600-3800</f>
        <v>60800</v>
      </c>
      <c r="I101" s="12">
        <v>15348</v>
      </c>
      <c r="J101" s="12">
        <v>15310</v>
      </c>
      <c r="K101" s="12">
        <v>15271</v>
      </c>
      <c r="L101" s="12">
        <v>15233</v>
      </c>
      <c r="M101" s="12">
        <v>1</v>
      </c>
      <c r="N101" s="12">
        <v>0</v>
      </c>
      <c r="O101" s="12">
        <v>0</v>
      </c>
      <c r="P101" s="12">
        <v>0</v>
      </c>
      <c r="Q101" s="13">
        <f t="shared" si="2"/>
        <v>61163</v>
      </c>
      <c r="R101" s="10"/>
      <c r="S101" s="10"/>
      <c r="T101" s="10"/>
      <c r="U101" s="10"/>
      <c r="V101" s="10"/>
      <c r="W101" s="10"/>
      <c r="X101" s="10"/>
      <c r="Y101" s="10"/>
    </row>
    <row r="102" spans="1:25" s="8" customFormat="1" ht="38.25" x14ac:dyDescent="0.2">
      <c r="A102" s="85">
        <v>95</v>
      </c>
      <c r="B102" s="90" t="s">
        <v>11</v>
      </c>
      <c r="C102" s="91" t="s">
        <v>323</v>
      </c>
      <c r="D102" s="90" t="s">
        <v>324</v>
      </c>
      <c r="E102" s="90" t="s">
        <v>325</v>
      </c>
      <c r="F102" s="90" t="s">
        <v>326</v>
      </c>
      <c r="G102" s="11">
        <v>400000</v>
      </c>
      <c r="H102" s="11">
        <f>383826-5406</f>
        <v>378420</v>
      </c>
      <c r="I102" s="12">
        <v>37889</v>
      </c>
      <c r="J102" s="12">
        <v>35911</v>
      </c>
      <c r="K102" s="12">
        <v>35039</v>
      </c>
      <c r="L102" s="12">
        <v>34164</v>
      </c>
      <c r="M102" s="12">
        <v>33320</v>
      </c>
      <c r="N102" s="12">
        <v>32413</v>
      </c>
      <c r="O102" s="12">
        <v>31539</v>
      </c>
      <c r="P102" s="12">
        <v>278469</v>
      </c>
      <c r="Q102" s="13">
        <f t="shared" si="2"/>
        <v>518744</v>
      </c>
      <c r="R102" s="10"/>
      <c r="S102" s="10"/>
      <c r="T102" s="10"/>
      <c r="U102" s="10"/>
      <c r="V102" s="10"/>
      <c r="W102" s="10"/>
      <c r="X102" s="10"/>
      <c r="Y102" s="10"/>
    </row>
    <row r="103" spans="1:25" s="8" customFormat="1" ht="25.5" x14ac:dyDescent="0.2">
      <c r="A103" s="85">
        <v>96</v>
      </c>
      <c r="B103" s="90" t="s">
        <v>11</v>
      </c>
      <c r="C103" s="91" t="s">
        <v>327</v>
      </c>
      <c r="D103" s="90" t="s">
        <v>328</v>
      </c>
      <c r="E103" s="90" t="s">
        <v>329</v>
      </c>
      <c r="F103" s="90" t="s">
        <v>330</v>
      </c>
      <c r="G103" s="11">
        <v>72515</v>
      </c>
      <c r="H103" s="11">
        <f>49455-3297</f>
        <v>46158</v>
      </c>
      <c r="I103" s="12">
        <v>13300</v>
      </c>
      <c r="J103" s="12">
        <v>13266</v>
      </c>
      <c r="K103" s="12">
        <v>13233</v>
      </c>
      <c r="L103" s="12">
        <v>6606</v>
      </c>
      <c r="M103" s="12">
        <v>0</v>
      </c>
      <c r="N103" s="12">
        <v>0</v>
      </c>
      <c r="O103" s="12">
        <v>0</v>
      </c>
      <c r="P103" s="12">
        <v>0</v>
      </c>
      <c r="Q103" s="13">
        <f t="shared" si="2"/>
        <v>46405</v>
      </c>
      <c r="R103" s="10"/>
      <c r="S103" s="10"/>
      <c r="T103" s="10"/>
      <c r="U103" s="10"/>
      <c r="V103" s="10"/>
      <c r="W103" s="10"/>
      <c r="X103" s="10"/>
      <c r="Y103" s="10"/>
    </row>
    <row r="104" spans="1:25" s="8" customFormat="1" ht="40.15" customHeight="1" x14ac:dyDescent="0.2">
      <c r="A104" s="92">
        <v>97</v>
      </c>
      <c r="B104" s="14" t="s">
        <v>11</v>
      </c>
      <c r="C104" s="102" t="s">
        <v>331</v>
      </c>
      <c r="D104" s="101" t="s">
        <v>332</v>
      </c>
      <c r="E104" s="16" t="s">
        <v>329</v>
      </c>
      <c r="F104" s="16" t="s">
        <v>333</v>
      </c>
      <c r="G104" s="17">
        <v>7677320</v>
      </c>
      <c r="H104" s="17">
        <v>5620803</v>
      </c>
      <c r="I104" s="18">
        <v>602013</v>
      </c>
      <c r="J104" s="18">
        <v>589495</v>
      </c>
      <c r="K104" s="18">
        <v>576978</v>
      </c>
      <c r="L104" s="18">
        <v>564460</v>
      </c>
      <c r="M104" s="18">
        <v>551943</v>
      </c>
      <c r="N104" s="18">
        <v>539425</v>
      </c>
      <c r="O104" s="19">
        <v>526908</v>
      </c>
      <c r="P104" s="18">
        <v>8042288</v>
      </c>
      <c r="Q104" s="20">
        <f t="shared" si="2"/>
        <v>11993510</v>
      </c>
      <c r="R104" s="10"/>
      <c r="S104" s="10"/>
      <c r="T104" s="10"/>
      <c r="U104" s="10"/>
      <c r="V104" s="10"/>
      <c r="W104" s="10"/>
      <c r="X104" s="10"/>
      <c r="Y104" s="10"/>
    </row>
    <row r="105" spans="1:25" s="8" customFormat="1" ht="25.5" x14ac:dyDescent="0.2">
      <c r="A105" s="85">
        <v>98</v>
      </c>
      <c r="B105" s="90" t="s">
        <v>11</v>
      </c>
      <c r="C105" s="91" t="s">
        <v>334</v>
      </c>
      <c r="D105" s="90" t="s">
        <v>335</v>
      </c>
      <c r="E105" s="90" t="s">
        <v>336</v>
      </c>
      <c r="F105" s="90" t="s">
        <v>333</v>
      </c>
      <c r="G105" s="11">
        <v>2370000</v>
      </c>
      <c r="H105" s="11">
        <f>2307690-20790</f>
        <v>2286900</v>
      </c>
      <c r="I105" s="12">
        <v>190550</v>
      </c>
      <c r="J105" s="12">
        <v>176607</v>
      </c>
      <c r="K105" s="12">
        <v>173068</v>
      </c>
      <c r="L105" s="12">
        <v>169518</v>
      </c>
      <c r="M105" s="12">
        <v>166190</v>
      </c>
      <c r="N105" s="12">
        <v>162414</v>
      </c>
      <c r="O105" s="12">
        <v>158867</v>
      </c>
      <c r="P105" s="12">
        <v>2475914</v>
      </c>
      <c r="Q105" s="13">
        <f t="shared" si="2"/>
        <v>3673128</v>
      </c>
      <c r="R105" s="10"/>
      <c r="S105" s="10"/>
      <c r="T105" s="10"/>
      <c r="U105" s="10"/>
      <c r="V105" s="10"/>
      <c r="W105" s="10"/>
      <c r="X105" s="10"/>
      <c r="Y105" s="10"/>
    </row>
    <row r="106" spans="1:25" s="8" customFormat="1" ht="38.25" x14ac:dyDescent="0.2">
      <c r="A106" s="85">
        <v>99</v>
      </c>
      <c r="B106" s="90" t="s">
        <v>11</v>
      </c>
      <c r="C106" s="91" t="s">
        <v>337</v>
      </c>
      <c r="D106" s="90" t="s">
        <v>338</v>
      </c>
      <c r="E106" s="90" t="s">
        <v>339</v>
      </c>
      <c r="F106" s="90" t="s">
        <v>333</v>
      </c>
      <c r="G106" s="11">
        <v>2260000</v>
      </c>
      <c r="H106" s="11">
        <f>2200575-19825</f>
        <v>2180750</v>
      </c>
      <c r="I106" s="103">
        <v>183844</v>
      </c>
      <c r="J106" s="103">
        <v>169045</v>
      </c>
      <c r="K106" s="103">
        <v>165646</v>
      </c>
      <c r="L106" s="103">
        <v>162237</v>
      </c>
      <c r="M106" s="103">
        <v>159040</v>
      </c>
      <c r="N106" s="103">
        <v>155414</v>
      </c>
      <c r="O106" s="103">
        <v>152007</v>
      </c>
      <c r="P106" s="103">
        <v>2366236</v>
      </c>
      <c r="Q106" s="13">
        <f t="shared" si="2"/>
        <v>3513469</v>
      </c>
      <c r="R106" s="10"/>
      <c r="S106" s="10"/>
      <c r="T106" s="10"/>
      <c r="U106" s="10"/>
      <c r="V106" s="10"/>
      <c r="W106" s="10"/>
      <c r="X106" s="10"/>
      <c r="Y106" s="10"/>
    </row>
    <row r="107" spans="1:25" s="8" customFormat="1" ht="79.5" customHeight="1" x14ac:dyDescent="0.2">
      <c r="A107" s="85">
        <v>100</v>
      </c>
      <c r="B107" s="14" t="s">
        <v>11</v>
      </c>
      <c r="C107" s="102" t="s">
        <v>494</v>
      </c>
      <c r="D107" s="101" t="s">
        <v>340</v>
      </c>
      <c r="E107" s="16" t="s">
        <v>341</v>
      </c>
      <c r="F107" s="16" t="s">
        <v>461</v>
      </c>
      <c r="G107" s="17">
        <v>160283</v>
      </c>
      <c r="H107" s="17">
        <f>61794-2915</f>
        <v>58879</v>
      </c>
      <c r="I107" s="18">
        <v>13324.36</v>
      </c>
      <c r="J107" s="18">
        <v>12264</v>
      </c>
      <c r="K107" s="18">
        <v>4952</v>
      </c>
      <c r="L107" s="18">
        <v>0</v>
      </c>
      <c r="M107" s="18">
        <v>0</v>
      </c>
      <c r="N107" s="18">
        <v>0</v>
      </c>
      <c r="O107" s="19">
        <v>0</v>
      </c>
      <c r="P107" s="18">
        <v>0</v>
      </c>
      <c r="Q107" s="20">
        <f t="shared" si="2"/>
        <v>30540.36</v>
      </c>
      <c r="R107" s="10"/>
      <c r="S107" s="10"/>
      <c r="T107" s="10"/>
      <c r="U107" s="10"/>
      <c r="V107" s="10"/>
      <c r="W107" s="10"/>
      <c r="X107" s="10"/>
      <c r="Y107" s="10"/>
    </row>
    <row r="108" spans="1:25" s="8" customFormat="1" ht="38.25" x14ac:dyDescent="0.2">
      <c r="A108" s="85">
        <v>101</v>
      </c>
      <c r="B108" s="31" t="s">
        <v>11</v>
      </c>
      <c r="C108" s="102" t="s">
        <v>342</v>
      </c>
      <c r="D108" s="101" t="s">
        <v>343</v>
      </c>
      <c r="E108" s="16" t="s">
        <v>341</v>
      </c>
      <c r="F108" s="16" t="s">
        <v>344</v>
      </c>
      <c r="G108" s="17">
        <v>208435</v>
      </c>
      <c r="H108" s="17">
        <f>171040-5345</f>
        <v>165695</v>
      </c>
      <c r="I108" s="18">
        <v>28723</v>
      </c>
      <c r="J108" s="18">
        <v>27072</v>
      </c>
      <c r="K108" s="18">
        <v>26211</v>
      </c>
      <c r="L108" s="18">
        <v>25347</v>
      </c>
      <c r="M108" s="18">
        <v>24490</v>
      </c>
      <c r="N108" s="18">
        <v>23618</v>
      </c>
      <c r="O108" s="19">
        <v>22755</v>
      </c>
      <c r="P108" s="18">
        <v>16529</v>
      </c>
      <c r="Q108" s="20">
        <f t="shared" si="2"/>
        <v>194745</v>
      </c>
      <c r="R108" s="10"/>
      <c r="S108" s="10"/>
      <c r="T108" s="10"/>
      <c r="U108" s="10"/>
      <c r="V108" s="10"/>
      <c r="W108" s="10"/>
      <c r="X108" s="10"/>
      <c r="Y108" s="10"/>
    </row>
    <row r="109" spans="1:25" s="8" customFormat="1" ht="63.75" x14ac:dyDescent="0.2">
      <c r="A109" s="92">
        <v>102</v>
      </c>
      <c r="B109" s="31" t="s">
        <v>11</v>
      </c>
      <c r="C109" s="102" t="s">
        <v>345</v>
      </c>
      <c r="D109" s="101" t="s">
        <v>346</v>
      </c>
      <c r="E109" s="16" t="s">
        <v>347</v>
      </c>
      <c r="F109" s="16" t="s">
        <v>348</v>
      </c>
      <c r="G109" s="17">
        <v>250550</v>
      </c>
      <c r="H109" s="17">
        <f>216704-6772</f>
        <v>209932</v>
      </c>
      <c r="I109" s="18">
        <v>36516</v>
      </c>
      <c r="J109" s="18">
        <v>34073</v>
      </c>
      <c r="K109" s="18">
        <v>33004</v>
      </c>
      <c r="L109" s="18">
        <v>31946</v>
      </c>
      <c r="M109" s="18">
        <v>30897</v>
      </c>
      <c r="N109" s="18">
        <v>29829</v>
      </c>
      <c r="O109" s="19">
        <v>28772</v>
      </c>
      <c r="P109" s="18">
        <v>20945</v>
      </c>
      <c r="Q109" s="20">
        <f t="shared" si="2"/>
        <v>245982</v>
      </c>
      <c r="R109" s="10"/>
      <c r="S109" s="10"/>
      <c r="T109" s="10"/>
      <c r="U109" s="10"/>
      <c r="V109" s="10"/>
      <c r="W109" s="10"/>
      <c r="X109" s="10"/>
      <c r="Y109" s="10"/>
    </row>
    <row r="110" spans="1:25" s="8" customFormat="1" ht="38.25" x14ac:dyDescent="0.2">
      <c r="A110" s="85">
        <v>103</v>
      </c>
      <c r="B110" s="31" t="s">
        <v>11</v>
      </c>
      <c r="C110" s="102" t="s">
        <v>349</v>
      </c>
      <c r="D110" s="101" t="s">
        <v>350</v>
      </c>
      <c r="E110" s="16" t="s">
        <v>351</v>
      </c>
      <c r="F110" s="16" t="s">
        <v>348</v>
      </c>
      <c r="G110" s="17">
        <v>220000</v>
      </c>
      <c r="H110" s="17">
        <f>180544-5642</f>
        <v>174902</v>
      </c>
      <c r="I110" s="18">
        <v>30364</v>
      </c>
      <c r="J110" s="18">
        <v>28477</v>
      </c>
      <c r="K110" s="18">
        <v>27552</v>
      </c>
      <c r="L110" s="18">
        <v>26661</v>
      </c>
      <c r="M110" s="18">
        <v>25777</v>
      </c>
      <c r="N110" s="18">
        <v>24877</v>
      </c>
      <c r="O110" s="19">
        <v>23987</v>
      </c>
      <c r="P110" s="18">
        <v>17455</v>
      </c>
      <c r="Q110" s="20">
        <f t="shared" si="2"/>
        <v>205150</v>
      </c>
      <c r="R110" s="10"/>
      <c r="S110" s="10"/>
      <c r="T110" s="10"/>
      <c r="U110" s="10"/>
      <c r="V110" s="10"/>
      <c r="W110" s="10"/>
      <c r="X110" s="10"/>
      <c r="Y110" s="10"/>
    </row>
    <row r="111" spans="1:25" s="8" customFormat="1" ht="63.75" x14ac:dyDescent="0.2">
      <c r="A111" s="85">
        <v>104</v>
      </c>
      <c r="B111" s="21" t="s">
        <v>11</v>
      </c>
      <c r="C111" s="104" t="s">
        <v>495</v>
      </c>
      <c r="D111" s="105" t="s">
        <v>352</v>
      </c>
      <c r="E111" s="32" t="s">
        <v>353</v>
      </c>
      <c r="F111" s="32" t="s">
        <v>354</v>
      </c>
      <c r="G111" s="33">
        <v>117198</v>
      </c>
      <c r="H111" s="33">
        <f>70692-3214</f>
        <v>67478</v>
      </c>
      <c r="I111" s="34">
        <v>15685</v>
      </c>
      <c r="J111" s="34">
        <v>15029</v>
      </c>
      <c r="K111" s="34">
        <v>14467</v>
      </c>
      <c r="L111" s="34">
        <v>13946</v>
      </c>
      <c r="M111" s="34">
        <v>13426</v>
      </c>
      <c r="N111" s="34">
        <v>3287</v>
      </c>
      <c r="O111" s="106">
        <v>0</v>
      </c>
      <c r="P111" s="34">
        <v>0</v>
      </c>
      <c r="Q111" s="35">
        <f t="shared" si="2"/>
        <v>75840</v>
      </c>
      <c r="R111" s="10"/>
      <c r="S111" s="10"/>
      <c r="T111" s="10"/>
      <c r="U111" s="10"/>
      <c r="V111" s="10"/>
      <c r="W111" s="10"/>
      <c r="X111" s="10"/>
      <c r="Y111" s="10"/>
    </row>
    <row r="112" spans="1:25" s="8" customFormat="1" ht="69" customHeight="1" x14ac:dyDescent="0.2">
      <c r="A112" s="85">
        <v>105</v>
      </c>
      <c r="B112" s="14" t="s">
        <v>11</v>
      </c>
      <c r="C112" s="102" t="s">
        <v>513</v>
      </c>
      <c r="D112" s="107" t="s">
        <v>355</v>
      </c>
      <c r="E112" s="16" t="s">
        <v>356</v>
      </c>
      <c r="F112" s="16" t="s">
        <v>357</v>
      </c>
      <c r="G112" s="17">
        <v>3249914</v>
      </c>
      <c r="H112" s="17">
        <v>3249914</v>
      </c>
      <c r="I112" s="18">
        <v>287072</v>
      </c>
      <c r="J112" s="18">
        <v>273126</v>
      </c>
      <c r="K112" s="18">
        <v>267320</v>
      </c>
      <c r="L112" s="18">
        <v>261498</v>
      </c>
      <c r="M112" s="18">
        <v>256055</v>
      </c>
      <c r="N112" s="18">
        <v>249846</v>
      </c>
      <c r="O112" s="19">
        <v>244028</v>
      </c>
      <c r="P112" s="18">
        <v>3811342</v>
      </c>
      <c r="Q112" s="26">
        <f t="shared" si="2"/>
        <v>5650287</v>
      </c>
      <c r="R112" s="10"/>
      <c r="S112" s="10"/>
      <c r="T112" s="10"/>
      <c r="U112" s="10"/>
      <c r="V112" s="10"/>
      <c r="W112" s="10"/>
      <c r="X112" s="10"/>
      <c r="Y112" s="10"/>
    </row>
    <row r="113" spans="1:38" s="8" customFormat="1" ht="56.45" customHeight="1" x14ac:dyDescent="0.2">
      <c r="A113" s="92">
        <v>106</v>
      </c>
      <c r="B113" s="14" t="s">
        <v>11</v>
      </c>
      <c r="C113" s="102" t="s">
        <v>514</v>
      </c>
      <c r="D113" s="101" t="s">
        <v>358</v>
      </c>
      <c r="E113" s="16" t="s">
        <v>356</v>
      </c>
      <c r="F113" s="16" t="s">
        <v>359</v>
      </c>
      <c r="G113" s="17">
        <v>1255956</v>
      </c>
      <c r="H113" s="17">
        <v>1255956</v>
      </c>
      <c r="I113" s="18">
        <v>129104</v>
      </c>
      <c r="J113" s="18">
        <v>122895</v>
      </c>
      <c r="K113" s="18">
        <v>119731</v>
      </c>
      <c r="L113" s="18">
        <v>116557</v>
      </c>
      <c r="M113" s="18">
        <v>113504</v>
      </c>
      <c r="N113" s="69">
        <v>110206</v>
      </c>
      <c r="O113" s="19">
        <v>107035</v>
      </c>
      <c r="P113" s="18">
        <v>1003287</v>
      </c>
      <c r="Q113" s="20">
        <f t="shared" si="2"/>
        <v>1822319</v>
      </c>
      <c r="R113" s="10"/>
      <c r="S113" s="10"/>
      <c r="T113" s="10"/>
      <c r="U113" s="10"/>
      <c r="V113" s="10"/>
      <c r="W113" s="10"/>
      <c r="X113" s="10"/>
      <c r="Y113" s="10"/>
    </row>
    <row r="114" spans="1:38" s="8" customFormat="1" ht="43.5" customHeight="1" x14ac:dyDescent="0.2">
      <c r="A114" s="85">
        <v>107</v>
      </c>
      <c r="B114" s="14" t="s">
        <v>11</v>
      </c>
      <c r="C114" s="102" t="s">
        <v>496</v>
      </c>
      <c r="D114" s="101" t="s">
        <v>360</v>
      </c>
      <c r="E114" s="16" t="s">
        <v>361</v>
      </c>
      <c r="F114" s="16" t="s">
        <v>166</v>
      </c>
      <c r="G114" s="17">
        <v>1000000</v>
      </c>
      <c r="H114" s="17">
        <v>1000000</v>
      </c>
      <c r="I114" s="18">
        <v>108105</v>
      </c>
      <c r="J114" s="18">
        <v>100654</v>
      </c>
      <c r="K114" s="18">
        <v>97973</v>
      </c>
      <c r="L114" s="18">
        <v>95285</v>
      </c>
      <c r="M114" s="18">
        <v>92697</v>
      </c>
      <c r="N114" s="18">
        <v>89904</v>
      </c>
      <c r="O114" s="19">
        <v>87217</v>
      </c>
      <c r="P114" s="18">
        <v>810226</v>
      </c>
      <c r="Q114" s="20">
        <f t="shared" si="2"/>
        <v>1482061</v>
      </c>
      <c r="R114" s="10"/>
      <c r="S114" s="10"/>
      <c r="T114" s="10"/>
      <c r="U114" s="10"/>
      <c r="V114" s="10"/>
      <c r="W114" s="10"/>
      <c r="X114" s="10"/>
      <c r="Y114" s="10"/>
    </row>
    <row r="115" spans="1:38" s="8" customFormat="1" ht="67.150000000000006" customHeight="1" x14ac:dyDescent="0.2">
      <c r="A115" s="85">
        <v>108</v>
      </c>
      <c r="B115" s="21" t="s">
        <v>11</v>
      </c>
      <c r="C115" s="108" t="s">
        <v>497</v>
      </c>
      <c r="D115" s="109" t="s">
        <v>362</v>
      </c>
      <c r="E115" s="23" t="s">
        <v>361</v>
      </c>
      <c r="F115" s="23" t="s">
        <v>363</v>
      </c>
      <c r="G115" s="24">
        <v>217024</v>
      </c>
      <c r="H115" s="24">
        <v>217024</v>
      </c>
      <c r="I115" s="25">
        <v>35937</v>
      </c>
      <c r="J115" s="25">
        <v>34458</v>
      </c>
      <c r="K115" s="25">
        <v>33246</v>
      </c>
      <c r="L115" s="25">
        <v>32030</v>
      </c>
      <c r="M115" s="25">
        <v>30827</v>
      </c>
      <c r="N115" s="25">
        <v>29597</v>
      </c>
      <c r="O115" s="93">
        <v>28382</v>
      </c>
      <c r="P115" s="25">
        <v>40369</v>
      </c>
      <c r="Q115" s="26">
        <f t="shared" si="2"/>
        <v>264846</v>
      </c>
      <c r="R115" s="10"/>
      <c r="S115" s="10"/>
      <c r="T115" s="10"/>
      <c r="U115" s="10"/>
      <c r="V115" s="10"/>
      <c r="W115" s="10"/>
      <c r="X115" s="10"/>
      <c r="Y115" s="10"/>
    </row>
    <row r="116" spans="1:38" s="8" customFormat="1" ht="76.5" customHeight="1" x14ac:dyDescent="0.2">
      <c r="A116" s="85">
        <v>109</v>
      </c>
      <c r="B116" s="14" t="s">
        <v>11</v>
      </c>
      <c r="C116" s="36" t="s">
        <v>498</v>
      </c>
      <c r="D116" s="101" t="s">
        <v>364</v>
      </c>
      <c r="E116" s="16" t="s">
        <v>365</v>
      </c>
      <c r="F116" s="16" t="s">
        <v>459</v>
      </c>
      <c r="G116" s="17">
        <v>152598</v>
      </c>
      <c r="H116" s="17">
        <f>11646-3913</f>
        <v>7733</v>
      </c>
      <c r="I116" s="18">
        <v>186</v>
      </c>
      <c r="J116" s="18">
        <v>0</v>
      </c>
      <c r="K116" s="18">
        <v>0</v>
      </c>
      <c r="L116" s="18">
        <v>0</v>
      </c>
      <c r="M116" s="18">
        <v>0</v>
      </c>
      <c r="N116" s="18">
        <v>0</v>
      </c>
      <c r="O116" s="18">
        <v>0</v>
      </c>
      <c r="P116" s="18">
        <v>0</v>
      </c>
      <c r="Q116" s="20">
        <f t="shared" si="2"/>
        <v>186</v>
      </c>
      <c r="R116" s="37"/>
      <c r="S116" s="38"/>
      <c r="T116" s="38"/>
      <c r="U116" s="38"/>
      <c r="V116" s="38"/>
      <c r="W116" s="38"/>
      <c r="X116" s="38"/>
      <c r="Y116" s="38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40"/>
    </row>
    <row r="117" spans="1:38" s="8" customFormat="1" ht="70.900000000000006" customHeight="1" x14ac:dyDescent="0.2">
      <c r="A117" s="85">
        <v>110</v>
      </c>
      <c r="B117" s="14" t="s">
        <v>11</v>
      </c>
      <c r="C117" s="36" t="s">
        <v>499</v>
      </c>
      <c r="D117" s="101" t="s">
        <v>366</v>
      </c>
      <c r="E117" s="16" t="s">
        <v>365</v>
      </c>
      <c r="F117" s="16" t="s">
        <v>367</v>
      </c>
      <c r="G117" s="17">
        <v>69808</v>
      </c>
      <c r="H117" s="17">
        <f>63421-1802</f>
        <v>61619</v>
      </c>
      <c r="I117" s="18">
        <v>10552</v>
      </c>
      <c r="J117" s="18">
        <v>9900</v>
      </c>
      <c r="K117" s="17">
        <v>9536</v>
      </c>
      <c r="L117" s="18">
        <v>9172</v>
      </c>
      <c r="M117" s="18">
        <v>8812</v>
      </c>
      <c r="N117" s="18">
        <v>8443</v>
      </c>
      <c r="O117" s="19">
        <v>8079</v>
      </c>
      <c r="P117" s="18">
        <v>11814</v>
      </c>
      <c r="Q117" s="20">
        <f t="shared" si="2"/>
        <v>76308</v>
      </c>
      <c r="R117" s="10"/>
      <c r="S117" s="10"/>
      <c r="T117" s="10"/>
      <c r="U117" s="10"/>
      <c r="V117" s="10"/>
      <c r="W117" s="10"/>
      <c r="X117" s="10"/>
      <c r="Y117" s="10"/>
    </row>
    <row r="118" spans="1:38" s="8" customFormat="1" ht="51" x14ac:dyDescent="0.2">
      <c r="A118" s="92">
        <v>111</v>
      </c>
      <c r="B118" s="14" t="s">
        <v>11</v>
      </c>
      <c r="C118" s="36" t="s">
        <v>515</v>
      </c>
      <c r="D118" s="101" t="s">
        <v>368</v>
      </c>
      <c r="E118" s="16" t="s">
        <v>365</v>
      </c>
      <c r="F118" s="16" t="s">
        <v>367</v>
      </c>
      <c r="G118" s="17">
        <v>304590</v>
      </c>
      <c r="H118" s="17">
        <v>304590</v>
      </c>
      <c r="I118" s="18">
        <v>51110</v>
      </c>
      <c r="J118" s="18">
        <v>48267</v>
      </c>
      <c r="K118" s="48">
        <v>46499</v>
      </c>
      <c r="L118" s="17">
        <v>44726</v>
      </c>
      <c r="M118" s="18">
        <v>42973</v>
      </c>
      <c r="N118" s="18">
        <v>41178</v>
      </c>
      <c r="O118" s="18">
        <v>39406</v>
      </c>
      <c r="P118" s="18">
        <v>64715</v>
      </c>
      <c r="Q118" s="20">
        <f t="shared" si="2"/>
        <v>378874</v>
      </c>
      <c r="R118" s="10"/>
      <c r="S118" s="10"/>
      <c r="T118" s="10"/>
      <c r="U118" s="10"/>
      <c r="V118" s="10"/>
      <c r="W118" s="10"/>
      <c r="X118" s="10"/>
      <c r="Y118" s="10"/>
    </row>
    <row r="119" spans="1:38" s="8" customFormat="1" ht="51" x14ac:dyDescent="0.2">
      <c r="A119" s="85">
        <v>112</v>
      </c>
      <c r="B119" s="14" t="s">
        <v>11</v>
      </c>
      <c r="C119" s="36" t="s">
        <v>500</v>
      </c>
      <c r="D119" s="101" t="s">
        <v>369</v>
      </c>
      <c r="E119" s="16" t="s">
        <v>365</v>
      </c>
      <c r="F119" s="16" t="s">
        <v>367</v>
      </c>
      <c r="G119" s="17">
        <v>85445</v>
      </c>
      <c r="H119" s="17">
        <f>78659-2266</f>
        <v>76393</v>
      </c>
      <c r="I119" s="18">
        <v>13209</v>
      </c>
      <c r="J119" s="18">
        <v>12394</v>
      </c>
      <c r="K119" s="17">
        <v>11937</v>
      </c>
      <c r="L119" s="18">
        <v>11479</v>
      </c>
      <c r="M119" s="18">
        <v>11025</v>
      </c>
      <c r="N119" s="18">
        <v>10562</v>
      </c>
      <c r="O119" s="19">
        <v>10104</v>
      </c>
      <c r="P119" s="18">
        <v>13666</v>
      </c>
      <c r="Q119" s="20">
        <f t="shared" si="2"/>
        <v>94376</v>
      </c>
      <c r="R119" s="10"/>
      <c r="S119" s="10"/>
      <c r="T119" s="10"/>
      <c r="U119" s="10"/>
      <c r="V119" s="10"/>
      <c r="W119" s="10"/>
      <c r="X119" s="10"/>
      <c r="Y119" s="10"/>
    </row>
    <row r="120" spans="1:38" s="8" customFormat="1" ht="38.25" x14ac:dyDescent="0.2">
      <c r="A120" s="85">
        <v>113</v>
      </c>
      <c r="B120" s="14" t="s">
        <v>11</v>
      </c>
      <c r="C120" s="36" t="s">
        <v>501</v>
      </c>
      <c r="D120" s="101" t="s">
        <v>370</v>
      </c>
      <c r="E120" s="16" t="s">
        <v>365</v>
      </c>
      <c r="F120" s="16" t="s">
        <v>367</v>
      </c>
      <c r="G120" s="17">
        <v>111292</v>
      </c>
      <c r="H120" s="17">
        <f>101399-3307</f>
        <v>98092</v>
      </c>
      <c r="I120" s="18">
        <v>18537</v>
      </c>
      <c r="J120" s="18">
        <v>17411</v>
      </c>
      <c r="K120" s="17">
        <v>16744</v>
      </c>
      <c r="L120" s="18">
        <v>16075</v>
      </c>
      <c r="M120" s="18">
        <v>15411</v>
      </c>
      <c r="N120" s="18">
        <v>14737</v>
      </c>
      <c r="O120" s="19">
        <v>14069</v>
      </c>
      <c r="P120" s="18">
        <v>5690</v>
      </c>
      <c r="Q120" s="20">
        <f t="shared" si="2"/>
        <v>118674</v>
      </c>
      <c r="R120" s="10"/>
      <c r="S120" s="10"/>
      <c r="T120" s="10"/>
      <c r="U120" s="10"/>
      <c r="V120" s="10"/>
      <c r="W120" s="10"/>
      <c r="X120" s="10"/>
      <c r="Y120" s="10"/>
    </row>
    <row r="121" spans="1:38" s="8" customFormat="1" ht="67.150000000000006" customHeight="1" x14ac:dyDescent="0.2">
      <c r="A121" s="85">
        <v>114</v>
      </c>
      <c r="B121" s="21" t="s">
        <v>11</v>
      </c>
      <c r="C121" s="41" t="s">
        <v>502</v>
      </c>
      <c r="D121" s="109" t="s">
        <v>371</v>
      </c>
      <c r="E121" s="23" t="s">
        <v>365</v>
      </c>
      <c r="F121" s="23" t="s">
        <v>367</v>
      </c>
      <c r="G121" s="24">
        <v>104699</v>
      </c>
      <c r="H121" s="24">
        <v>100237</v>
      </c>
      <c r="I121" s="25">
        <v>18960</v>
      </c>
      <c r="J121" s="25">
        <v>17875</v>
      </c>
      <c r="K121" s="24">
        <v>17189</v>
      </c>
      <c r="L121" s="25">
        <v>16501</v>
      </c>
      <c r="M121" s="25">
        <v>15818</v>
      </c>
      <c r="N121" s="25">
        <v>15125</v>
      </c>
      <c r="O121" s="93">
        <v>14438</v>
      </c>
      <c r="P121" s="25">
        <v>5214</v>
      </c>
      <c r="Q121" s="26">
        <f t="shared" si="2"/>
        <v>121120</v>
      </c>
      <c r="R121" s="10"/>
      <c r="S121" s="10"/>
      <c r="T121" s="10"/>
      <c r="U121" s="10"/>
      <c r="V121" s="10"/>
      <c r="W121" s="10"/>
      <c r="X121" s="10"/>
      <c r="Y121" s="10"/>
    </row>
    <row r="122" spans="1:38" s="8" customFormat="1" ht="63.75" x14ac:dyDescent="0.2">
      <c r="A122" s="92">
        <v>115</v>
      </c>
      <c r="B122" s="21" t="s">
        <v>11</v>
      </c>
      <c r="C122" s="110" t="s">
        <v>478</v>
      </c>
      <c r="D122" s="109" t="s">
        <v>372</v>
      </c>
      <c r="E122" s="16" t="s">
        <v>373</v>
      </c>
      <c r="F122" s="16" t="s">
        <v>374</v>
      </c>
      <c r="G122" s="17">
        <v>1561658</v>
      </c>
      <c r="H122" s="17">
        <v>1561658</v>
      </c>
      <c r="I122" s="18">
        <v>178162</v>
      </c>
      <c r="J122" s="18">
        <v>171959</v>
      </c>
      <c r="K122" s="18">
        <v>166939</v>
      </c>
      <c r="L122" s="18">
        <v>161905</v>
      </c>
      <c r="M122" s="18">
        <v>157068</v>
      </c>
      <c r="N122" s="18">
        <v>151831</v>
      </c>
      <c r="O122" s="19">
        <v>146800</v>
      </c>
      <c r="P122" s="18">
        <v>1369674</v>
      </c>
      <c r="Q122" s="26">
        <f t="shared" si="2"/>
        <v>2504338</v>
      </c>
      <c r="R122" s="10"/>
      <c r="S122" s="10"/>
      <c r="T122" s="10"/>
      <c r="U122" s="10"/>
      <c r="V122" s="10"/>
      <c r="W122" s="10"/>
      <c r="X122" s="10"/>
      <c r="Y122" s="10"/>
    </row>
    <row r="123" spans="1:38" s="8" customFormat="1" ht="89.25" x14ac:dyDescent="0.2">
      <c r="A123" s="85">
        <v>116</v>
      </c>
      <c r="B123" s="21" t="s">
        <v>11</v>
      </c>
      <c r="C123" s="36" t="s">
        <v>375</v>
      </c>
      <c r="D123" s="109" t="s">
        <v>376</v>
      </c>
      <c r="E123" s="16" t="s">
        <v>373</v>
      </c>
      <c r="F123" s="16" t="s">
        <v>460</v>
      </c>
      <c r="G123" s="17">
        <v>188595</v>
      </c>
      <c r="H123" s="17">
        <v>168638</v>
      </c>
      <c r="I123" s="18">
        <v>28150</v>
      </c>
      <c r="J123" s="18">
        <v>25704</v>
      </c>
      <c r="K123" s="18">
        <v>24520</v>
      </c>
      <c r="L123" s="18">
        <v>23332</v>
      </c>
      <c r="M123" s="18">
        <v>22146</v>
      </c>
      <c r="N123" s="18">
        <v>3428</v>
      </c>
      <c r="O123" s="19">
        <v>0</v>
      </c>
      <c r="P123" s="18">
        <v>0</v>
      </c>
      <c r="Q123" s="26">
        <f t="shared" si="2"/>
        <v>127280</v>
      </c>
      <c r="R123" s="10"/>
      <c r="S123" s="10"/>
      <c r="T123" s="10"/>
      <c r="U123" s="10"/>
      <c r="V123" s="10"/>
      <c r="W123" s="10"/>
      <c r="X123" s="10"/>
      <c r="Y123" s="10"/>
    </row>
    <row r="124" spans="1:38" s="8" customFormat="1" ht="89.25" x14ac:dyDescent="0.2">
      <c r="A124" s="85">
        <v>117</v>
      </c>
      <c r="B124" s="14" t="s">
        <v>11</v>
      </c>
      <c r="C124" s="36" t="s">
        <v>377</v>
      </c>
      <c r="D124" s="101" t="s">
        <v>378</v>
      </c>
      <c r="E124" s="16" t="s">
        <v>373</v>
      </c>
      <c r="F124" s="16" t="s">
        <v>460</v>
      </c>
      <c r="G124" s="17">
        <v>75785</v>
      </c>
      <c r="H124" s="24">
        <v>72293</v>
      </c>
      <c r="I124" s="25">
        <v>16264</v>
      </c>
      <c r="J124" s="25">
        <v>15391</v>
      </c>
      <c r="K124" s="25">
        <v>14696</v>
      </c>
      <c r="L124" s="25">
        <v>13999</v>
      </c>
      <c r="M124" s="25">
        <v>13303</v>
      </c>
      <c r="N124" s="25">
        <v>1567</v>
      </c>
      <c r="O124" s="93">
        <v>0</v>
      </c>
      <c r="P124" s="25">
        <v>0</v>
      </c>
      <c r="Q124" s="26">
        <f t="shared" si="2"/>
        <v>75220</v>
      </c>
      <c r="R124" s="10"/>
      <c r="S124" s="10"/>
      <c r="T124" s="10"/>
      <c r="U124" s="10"/>
      <c r="V124" s="10"/>
      <c r="W124" s="10"/>
      <c r="X124" s="10"/>
      <c r="Y124" s="10"/>
    </row>
    <row r="125" spans="1:38" s="8" customFormat="1" ht="63.75" x14ac:dyDescent="0.2">
      <c r="A125" s="85">
        <v>118</v>
      </c>
      <c r="B125" s="14" t="s">
        <v>11</v>
      </c>
      <c r="C125" s="36" t="s">
        <v>478</v>
      </c>
      <c r="D125" s="101" t="s">
        <v>379</v>
      </c>
      <c r="E125" s="16" t="s">
        <v>380</v>
      </c>
      <c r="F125" s="16" t="s">
        <v>381</v>
      </c>
      <c r="G125" s="17">
        <v>1862367</v>
      </c>
      <c r="H125" s="17">
        <v>1542963</v>
      </c>
      <c r="I125" s="18">
        <v>178250</v>
      </c>
      <c r="J125" s="18">
        <v>174273</v>
      </c>
      <c r="K125" s="18">
        <v>169996</v>
      </c>
      <c r="L125" s="18">
        <v>165718</v>
      </c>
      <c r="M125" s="18">
        <v>161441</v>
      </c>
      <c r="N125" s="19">
        <v>157164</v>
      </c>
      <c r="O125" s="18">
        <v>152887</v>
      </c>
      <c r="P125" s="18">
        <v>1526005</v>
      </c>
      <c r="Q125" s="20">
        <f t="shared" si="2"/>
        <v>2685734</v>
      </c>
      <c r="R125" s="10"/>
      <c r="S125" s="10"/>
      <c r="T125" s="10"/>
      <c r="U125" s="10"/>
      <c r="V125" s="10"/>
      <c r="W125" s="10"/>
      <c r="X125" s="10"/>
      <c r="Y125" s="10"/>
    </row>
    <row r="126" spans="1:38" s="8" customFormat="1" ht="38.25" x14ac:dyDescent="0.2">
      <c r="A126" s="85">
        <v>119</v>
      </c>
      <c r="B126" s="31" t="s">
        <v>11</v>
      </c>
      <c r="C126" s="41" t="s">
        <v>503</v>
      </c>
      <c r="D126" s="109" t="s">
        <v>382</v>
      </c>
      <c r="E126" s="23" t="s">
        <v>383</v>
      </c>
      <c r="F126" s="23" t="s">
        <v>206</v>
      </c>
      <c r="G126" s="24">
        <v>831711</v>
      </c>
      <c r="H126" s="24">
        <v>831711</v>
      </c>
      <c r="I126" s="25">
        <v>78952</v>
      </c>
      <c r="J126" s="25">
        <v>78390</v>
      </c>
      <c r="K126" s="25">
        <v>76446</v>
      </c>
      <c r="L126" s="25">
        <v>74496</v>
      </c>
      <c r="M126" s="25">
        <v>72626</v>
      </c>
      <c r="N126" s="25">
        <v>70595</v>
      </c>
      <c r="O126" s="93">
        <v>68646</v>
      </c>
      <c r="P126" s="25">
        <v>693878</v>
      </c>
      <c r="Q126" s="26">
        <f t="shared" si="2"/>
        <v>1214029</v>
      </c>
      <c r="R126" s="10"/>
      <c r="S126" s="10"/>
      <c r="T126" s="10"/>
      <c r="U126" s="10"/>
      <c r="V126" s="10"/>
      <c r="W126" s="10"/>
      <c r="X126" s="10"/>
      <c r="Y126" s="10"/>
    </row>
    <row r="127" spans="1:38" s="8" customFormat="1" ht="73.900000000000006" customHeight="1" x14ac:dyDescent="0.2">
      <c r="A127" s="92">
        <v>120</v>
      </c>
      <c r="B127" s="14" t="s">
        <v>11</v>
      </c>
      <c r="C127" s="36" t="s">
        <v>504</v>
      </c>
      <c r="D127" s="101" t="s">
        <v>384</v>
      </c>
      <c r="E127" s="16" t="s">
        <v>385</v>
      </c>
      <c r="F127" s="16" t="s">
        <v>43</v>
      </c>
      <c r="G127" s="17">
        <v>817850</v>
      </c>
      <c r="H127" s="17">
        <v>817850</v>
      </c>
      <c r="I127" s="18">
        <v>119834</v>
      </c>
      <c r="J127" s="18">
        <v>116748</v>
      </c>
      <c r="K127" s="18">
        <v>113082</v>
      </c>
      <c r="L127" s="18">
        <v>109405</v>
      </c>
      <c r="M127" s="18">
        <v>105777</v>
      </c>
      <c r="N127" s="19">
        <v>102047</v>
      </c>
      <c r="O127" s="19">
        <v>98374</v>
      </c>
      <c r="P127" s="18">
        <v>229992</v>
      </c>
      <c r="Q127" s="20">
        <f t="shared" si="2"/>
        <v>995259</v>
      </c>
      <c r="R127" s="10"/>
      <c r="S127" s="10"/>
      <c r="T127" s="10"/>
      <c r="U127" s="10"/>
      <c r="V127" s="10"/>
      <c r="W127" s="10"/>
      <c r="X127" s="10"/>
      <c r="Y127" s="10"/>
    </row>
    <row r="128" spans="1:38" s="8" customFormat="1" ht="93.75" customHeight="1" x14ac:dyDescent="0.2">
      <c r="A128" s="85">
        <v>121</v>
      </c>
      <c r="B128" s="14" t="s">
        <v>11</v>
      </c>
      <c r="C128" s="36" t="s">
        <v>505</v>
      </c>
      <c r="D128" s="101" t="s">
        <v>386</v>
      </c>
      <c r="E128" s="16" t="s">
        <v>387</v>
      </c>
      <c r="F128" s="16" t="s">
        <v>458</v>
      </c>
      <c r="G128" s="17">
        <v>363474</v>
      </c>
      <c r="H128" s="17">
        <v>363474</v>
      </c>
      <c r="I128" s="18">
        <v>39266</v>
      </c>
      <c r="J128" s="18">
        <v>39943</v>
      </c>
      <c r="K128" s="18">
        <v>38831</v>
      </c>
      <c r="L128" s="18">
        <v>37715</v>
      </c>
      <c r="M128" s="18">
        <v>36630</v>
      </c>
      <c r="N128" s="19">
        <v>35483</v>
      </c>
      <c r="O128" s="19">
        <v>34368</v>
      </c>
      <c r="P128" s="18">
        <v>222317</v>
      </c>
      <c r="Q128" s="20">
        <f t="shared" si="2"/>
        <v>484553</v>
      </c>
      <c r="R128" s="10"/>
      <c r="S128" s="10"/>
      <c r="T128" s="10"/>
      <c r="U128" s="10"/>
      <c r="V128" s="10"/>
      <c r="W128" s="10"/>
      <c r="X128" s="10"/>
      <c r="Y128" s="10"/>
    </row>
    <row r="129" spans="1:38" s="8" customFormat="1" ht="55.5" customHeight="1" x14ac:dyDescent="0.2">
      <c r="A129" s="85">
        <v>122</v>
      </c>
      <c r="B129" s="14" t="s">
        <v>11</v>
      </c>
      <c r="C129" s="36" t="s">
        <v>506</v>
      </c>
      <c r="D129" s="101" t="s">
        <v>388</v>
      </c>
      <c r="E129" s="16" t="s">
        <v>387</v>
      </c>
      <c r="F129" s="16" t="s">
        <v>458</v>
      </c>
      <c r="G129" s="17">
        <v>424514</v>
      </c>
      <c r="H129" s="17">
        <v>424514</v>
      </c>
      <c r="I129" s="18">
        <v>46317</v>
      </c>
      <c r="J129" s="18">
        <v>46653</v>
      </c>
      <c r="K129" s="18">
        <v>45354</v>
      </c>
      <c r="L129" s="18">
        <v>44051</v>
      </c>
      <c r="M129" s="18">
        <v>42783</v>
      </c>
      <c r="N129" s="19">
        <v>41443</v>
      </c>
      <c r="O129" s="19">
        <v>40141</v>
      </c>
      <c r="P129" s="18">
        <v>259630</v>
      </c>
      <c r="Q129" s="20">
        <f t="shared" si="2"/>
        <v>566372</v>
      </c>
      <c r="R129" s="10"/>
      <c r="S129" s="10"/>
      <c r="T129" s="10"/>
      <c r="U129" s="10"/>
      <c r="V129" s="10"/>
      <c r="W129" s="10"/>
      <c r="X129" s="10"/>
      <c r="Y129" s="10"/>
    </row>
    <row r="130" spans="1:38" s="8" customFormat="1" ht="63.75" x14ac:dyDescent="0.2">
      <c r="A130" s="85">
        <v>123</v>
      </c>
      <c r="B130" s="14" t="s">
        <v>11</v>
      </c>
      <c r="C130" s="111" t="s">
        <v>478</v>
      </c>
      <c r="D130" s="101" t="s">
        <v>389</v>
      </c>
      <c r="E130" s="112" t="s">
        <v>390</v>
      </c>
      <c r="F130" s="16" t="s">
        <v>391</v>
      </c>
      <c r="G130" s="17">
        <v>60653</v>
      </c>
      <c r="H130" s="17">
        <v>60653</v>
      </c>
      <c r="I130" s="18">
        <v>6219</v>
      </c>
      <c r="J130" s="18">
        <v>6059</v>
      </c>
      <c r="K130" s="18">
        <v>5899</v>
      </c>
      <c r="L130" s="18">
        <v>5738</v>
      </c>
      <c r="M130" s="18">
        <v>5584</v>
      </c>
      <c r="N130" s="18">
        <v>5416</v>
      </c>
      <c r="O130" s="19">
        <v>5255</v>
      </c>
      <c r="P130" s="18">
        <v>52915</v>
      </c>
      <c r="Q130" s="20">
        <f t="shared" si="2"/>
        <v>93085</v>
      </c>
      <c r="R130" s="10"/>
      <c r="S130" s="10"/>
      <c r="T130" s="10"/>
      <c r="U130" s="10"/>
      <c r="V130" s="10"/>
      <c r="W130" s="10"/>
      <c r="X130" s="10"/>
      <c r="Y130" s="10"/>
    </row>
    <row r="131" spans="1:38" s="8" customFormat="1" ht="38.25" x14ac:dyDescent="0.2">
      <c r="A131" s="92">
        <v>124</v>
      </c>
      <c r="B131" s="14" t="s">
        <v>11</v>
      </c>
      <c r="C131" s="36" t="s">
        <v>507</v>
      </c>
      <c r="D131" s="101" t="s">
        <v>456</v>
      </c>
      <c r="E131" s="112" t="s">
        <v>392</v>
      </c>
      <c r="F131" s="16" t="s">
        <v>34</v>
      </c>
      <c r="G131" s="17">
        <v>92004</v>
      </c>
      <c r="H131" s="17">
        <v>92004</v>
      </c>
      <c r="I131" s="18">
        <v>12776</v>
      </c>
      <c r="J131" s="18">
        <v>12860</v>
      </c>
      <c r="K131" s="18">
        <v>12463</v>
      </c>
      <c r="L131" s="18">
        <v>12065</v>
      </c>
      <c r="M131" s="18">
        <v>11672</v>
      </c>
      <c r="N131" s="19">
        <v>11267</v>
      </c>
      <c r="O131" s="19">
        <v>10869</v>
      </c>
      <c r="P131" s="18">
        <v>27810</v>
      </c>
      <c r="Q131" s="20">
        <f t="shared" si="2"/>
        <v>111782</v>
      </c>
      <c r="R131" s="10"/>
      <c r="S131" s="10"/>
      <c r="T131" s="10"/>
      <c r="U131" s="10"/>
      <c r="V131" s="10"/>
      <c r="W131" s="10"/>
      <c r="X131" s="10"/>
      <c r="Y131" s="10"/>
    </row>
    <row r="132" spans="1:38" s="8" customFormat="1" ht="67.5" customHeight="1" x14ac:dyDescent="0.2">
      <c r="A132" s="85">
        <v>125</v>
      </c>
      <c r="B132" s="14" t="s">
        <v>11</v>
      </c>
      <c r="C132" s="36" t="s">
        <v>508</v>
      </c>
      <c r="D132" s="101" t="s">
        <v>393</v>
      </c>
      <c r="E132" s="16" t="s">
        <v>394</v>
      </c>
      <c r="F132" s="16" t="s">
        <v>395</v>
      </c>
      <c r="G132" s="17">
        <v>239876</v>
      </c>
      <c r="H132" s="17">
        <v>23988</v>
      </c>
      <c r="I132" s="18">
        <v>5740</v>
      </c>
      <c r="J132" s="18">
        <v>27743</v>
      </c>
      <c r="K132" s="18">
        <v>27031</v>
      </c>
      <c r="L132" s="18">
        <v>26272</v>
      </c>
      <c r="M132" s="18">
        <v>25513</v>
      </c>
      <c r="N132" s="19">
        <v>24753</v>
      </c>
      <c r="O132" s="19">
        <v>23994</v>
      </c>
      <c r="P132" s="18">
        <v>160229</v>
      </c>
      <c r="Q132" s="20">
        <f t="shared" si="2"/>
        <v>321275</v>
      </c>
      <c r="R132" s="10"/>
      <c r="S132" s="10"/>
      <c r="T132" s="10"/>
      <c r="U132" s="10"/>
      <c r="V132" s="10"/>
      <c r="W132" s="10"/>
      <c r="X132" s="10"/>
      <c r="Y132" s="10"/>
    </row>
    <row r="133" spans="1:38" s="8" customFormat="1" ht="70.900000000000006" customHeight="1" x14ac:dyDescent="0.2">
      <c r="A133" s="85">
        <v>126</v>
      </c>
      <c r="B133" s="14" t="s">
        <v>11</v>
      </c>
      <c r="C133" s="36" t="s">
        <v>509</v>
      </c>
      <c r="D133" s="101" t="s">
        <v>396</v>
      </c>
      <c r="E133" s="16" t="s">
        <v>394</v>
      </c>
      <c r="F133" s="16" t="s">
        <v>395</v>
      </c>
      <c r="G133" s="17">
        <v>472143</v>
      </c>
      <c r="H133" s="17">
        <v>47122</v>
      </c>
      <c r="I133" s="18">
        <v>11297</v>
      </c>
      <c r="J133" s="18">
        <v>54603</v>
      </c>
      <c r="K133" s="18">
        <v>53202</v>
      </c>
      <c r="L133" s="18">
        <v>51708</v>
      </c>
      <c r="M133" s="18">
        <v>50214</v>
      </c>
      <c r="N133" s="19">
        <v>48720</v>
      </c>
      <c r="O133" s="19">
        <v>47226</v>
      </c>
      <c r="P133" s="18">
        <v>315398</v>
      </c>
      <c r="Q133" s="20">
        <f t="shared" si="2"/>
        <v>632368</v>
      </c>
      <c r="R133" s="10"/>
      <c r="S133" s="10"/>
      <c r="T133" s="10"/>
      <c r="U133" s="10"/>
      <c r="V133" s="10"/>
      <c r="W133" s="10"/>
      <c r="X133" s="10"/>
      <c r="Y133" s="10"/>
    </row>
    <row r="134" spans="1:38" s="8" customFormat="1" ht="54.75" customHeight="1" x14ac:dyDescent="0.2">
      <c r="A134" s="85">
        <v>127</v>
      </c>
      <c r="B134" s="14" t="s">
        <v>11</v>
      </c>
      <c r="C134" s="36" t="s">
        <v>510</v>
      </c>
      <c r="D134" s="101" t="s">
        <v>397</v>
      </c>
      <c r="E134" s="16" t="s">
        <v>394</v>
      </c>
      <c r="F134" s="16" t="s">
        <v>395</v>
      </c>
      <c r="G134" s="17">
        <v>382014</v>
      </c>
      <c r="H134" s="17">
        <v>382014</v>
      </c>
      <c r="I134" s="18">
        <v>39198</v>
      </c>
      <c r="J134" s="18">
        <v>41432</v>
      </c>
      <c r="K134" s="18">
        <v>40292</v>
      </c>
      <c r="L134" s="18">
        <v>39149</v>
      </c>
      <c r="M134" s="18">
        <v>38036</v>
      </c>
      <c r="N134" s="19">
        <v>36860</v>
      </c>
      <c r="O134" s="19">
        <v>35718</v>
      </c>
      <c r="P134" s="18">
        <v>238144</v>
      </c>
      <c r="Q134" s="20">
        <f t="shared" si="2"/>
        <v>508829</v>
      </c>
      <c r="R134" s="10"/>
      <c r="S134" s="10"/>
      <c r="T134" s="10"/>
      <c r="U134" s="10"/>
      <c r="V134" s="10"/>
      <c r="W134" s="10"/>
      <c r="X134" s="10"/>
      <c r="Y134" s="10"/>
    </row>
    <row r="135" spans="1:38" s="87" customFormat="1" ht="63.75" x14ac:dyDescent="0.2">
      <c r="A135" s="85">
        <v>128</v>
      </c>
      <c r="B135" s="14" t="s">
        <v>11</v>
      </c>
      <c r="C135" s="113" t="s">
        <v>511</v>
      </c>
      <c r="D135" s="101" t="s">
        <v>398</v>
      </c>
      <c r="E135" s="16" t="s">
        <v>399</v>
      </c>
      <c r="F135" s="114" t="s">
        <v>400</v>
      </c>
      <c r="G135" s="115">
        <v>324703</v>
      </c>
      <c r="H135" s="115">
        <v>324703</v>
      </c>
      <c r="I135" s="116">
        <v>23743</v>
      </c>
      <c r="J135" s="117">
        <v>26519</v>
      </c>
      <c r="K135" s="117">
        <v>25974</v>
      </c>
      <c r="L135" s="117">
        <v>25428</v>
      </c>
      <c r="M135" s="117">
        <v>24919</v>
      </c>
      <c r="N135" s="117">
        <v>24335</v>
      </c>
      <c r="O135" s="117">
        <v>23789</v>
      </c>
      <c r="P135" s="117">
        <v>376627</v>
      </c>
      <c r="Q135" s="117">
        <f>SUM(I135:P135)</f>
        <v>551334</v>
      </c>
      <c r="R135" s="89"/>
      <c r="S135" s="89"/>
      <c r="T135" s="89"/>
      <c r="U135" s="89"/>
      <c r="V135" s="89"/>
      <c r="W135" s="89"/>
      <c r="X135" s="89"/>
      <c r="Y135" s="89"/>
    </row>
    <row r="136" spans="1:38" s="8" customFormat="1" ht="25.5" x14ac:dyDescent="0.2">
      <c r="A136" s="92">
        <v>129</v>
      </c>
      <c r="B136" s="14" t="s">
        <v>11</v>
      </c>
      <c r="C136" s="36" t="s">
        <v>401</v>
      </c>
      <c r="D136" s="101" t="s">
        <v>402</v>
      </c>
      <c r="E136" s="16" t="s">
        <v>399</v>
      </c>
      <c r="F136" s="16" t="s">
        <v>244</v>
      </c>
      <c r="G136" s="17">
        <v>94525</v>
      </c>
      <c r="H136" s="17">
        <v>94525</v>
      </c>
      <c r="I136" s="118">
        <v>17790</v>
      </c>
      <c r="J136" s="119">
        <v>17319</v>
      </c>
      <c r="K136" s="119">
        <v>16727</v>
      </c>
      <c r="L136" s="119">
        <v>16134</v>
      </c>
      <c r="M136" s="119">
        <v>15545</v>
      </c>
      <c r="N136" s="119">
        <v>14948</v>
      </c>
      <c r="O136" s="120">
        <v>10852</v>
      </c>
      <c r="P136" s="119">
        <v>0</v>
      </c>
      <c r="Q136" s="117">
        <f>SUM(I136:P136)</f>
        <v>109315</v>
      </c>
      <c r="R136" s="10"/>
      <c r="S136" s="10"/>
      <c r="T136" s="10"/>
      <c r="U136" s="10"/>
      <c r="V136" s="10"/>
      <c r="W136" s="10"/>
      <c r="X136" s="10"/>
      <c r="Y136" s="10"/>
    </row>
    <row r="137" spans="1:38" s="1" customFormat="1" ht="12.75" x14ac:dyDescent="0.2">
      <c r="A137" s="94"/>
      <c r="B137" s="42" t="s">
        <v>403</v>
      </c>
      <c r="C137" s="43"/>
      <c r="D137" s="121"/>
      <c r="E137" s="94" t="s">
        <v>404</v>
      </c>
      <c r="F137" s="94"/>
      <c r="G137" s="44">
        <f t="shared" ref="G137:Q137" si="3">SUM(G8:G136)</f>
        <v>83516155</v>
      </c>
      <c r="H137" s="44">
        <f t="shared" si="3"/>
        <v>54526093</v>
      </c>
      <c r="I137" s="44">
        <f t="shared" si="3"/>
        <v>6717389.3600000003</v>
      </c>
      <c r="J137" s="44">
        <f t="shared" si="3"/>
        <v>6339105</v>
      </c>
      <c r="K137" s="44">
        <f t="shared" si="3"/>
        <v>6054806</v>
      </c>
      <c r="L137" s="44">
        <f t="shared" si="3"/>
        <v>5696144</v>
      </c>
      <c r="M137" s="44">
        <f t="shared" si="3"/>
        <v>5285656</v>
      </c>
      <c r="N137" s="44">
        <f t="shared" si="3"/>
        <v>4777577</v>
      </c>
      <c r="O137" s="44">
        <f t="shared" si="3"/>
        <v>4557699</v>
      </c>
      <c r="P137" s="44">
        <f t="shared" si="3"/>
        <v>43094147</v>
      </c>
      <c r="Q137" s="44">
        <f t="shared" si="3"/>
        <v>82522523.359999999</v>
      </c>
      <c r="R137" s="44">
        <f t="shared" ref="R137:AL137" si="4">SUM(R8:R129)</f>
        <v>0</v>
      </c>
      <c r="S137" s="44">
        <f t="shared" si="4"/>
        <v>0</v>
      </c>
      <c r="T137" s="44">
        <f t="shared" si="4"/>
        <v>0</v>
      </c>
      <c r="U137" s="44">
        <f t="shared" si="4"/>
        <v>0</v>
      </c>
      <c r="V137" s="44">
        <f t="shared" si="4"/>
        <v>0</v>
      </c>
      <c r="W137" s="44">
        <f t="shared" si="4"/>
        <v>0</v>
      </c>
      <c r="X137" s="44">
        <f t="shared" si="4"/>
        <v>0</v>
      </c>
      <c r="Y137" s="44">
        <f t="shared" si="4"/>
        <v>0</v>
      </c>
      <c r="Z137" s="44">
        <f t="shared" si="4"/>
        <v>0</v>
      </c>
      <c r="AA137" s="44">
        <f t="shared" si="4"/>
        <v>0</v>
      </c>
      <c r="AB137" s="44">
        <f t="shared" si="4"/>
        <v>0</v>
      </c>
      <c r="AC137" s="44">
        <f t="shared" si="4"/>
        <v>0</v>
      </c>
      <c r="AD137" s="44">
        <f t="shared" si="4"/>
        <v>0</v>
      </c>
      <c r="AE137" s="44">
        <f t="shared" si="4"/>
        <v>0</v>
      </c>
      <c r="AF137" s="44">
        <f t="shared" si="4"/>
        <v>0</v>
      </c>
      <c r="AG137" s="44">
        <f t="shared" si="4"/>
        <v>0</v>
      </c>
      <c r="AH137" s="44">
        <f t="shared" si="4"/>
        <v>0</v>
      </c>
      <c r="AI137" s="44">
        <f t="shared" si="4"/>
        <v>0</v>
      </c>
      <c r="AJ137" s="44">
        <f t="shared" si="4"/>
        <v>0</v>
      </c>
      <c r="AK137" s="44">
        <f t="shared" si="4"/>
        <v>0</v>
      </c>
      <c r="AL137" s="44">
        <f t="shared" si="4"/>
        <v>0</v>
      </c>
    </row>
    <row r="138" spans="1:38" s="49" customFormat="1" ht="18" hidden="1" customHeight="1" x14ac:dyDescent="0.2">
      <c r="A138" s="84"/>
      <c r="B138" s="122"/>
      <c r="C138" s="122"/>
      <c r="D138" s="122"/>
      <c r="E138" s="84"/>
      <c r="F138" s="84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V138" s="50"/>
      <c r="Y138" s="50"/>
    </row>
    <row r="139" spans="1:38" s="49" customFormat="1" ht="18" customHeight="1" x14ac:dyDescent="0.2">
      <c r="A139" s="51"/>
      <c r="B139" s="142" t="s">
        <v>462</v>
      </c>
      <c r="C139" s="142"/>
      <c r="D139" s="52"/>
      <c r="E139" s="53"/>
      <c r="F139" s="53"/>
      <c r="G139" s="54"/>
      <c r="H139" s="54"/>
      <c r="I139" s="47"/>
      <c r="J139" s="47"/>
      <c r="K139" s="47"/>
      <c r="L139" s="47"/>
      <c r="M139" s="47"/>
      <c r="N139" s="47"/>
      <c r="O139" s="47"/>
      <c r="P139" s="47"/>
      <c r="Q139" s="47"/>
      <c r="V139" s="50"/>
      <c r="Y139" s="50"/>
    </row>
    <row r="140" spans="1:38" s="49" customFormat="1" ht="37.5" customHeight="1" x14ac:dyDescent="0.25">
      <c r="A140" s="90" t="s">
        <v>405</v>
      </c>
      <c r="B140" s="90" t="s">
        <v>11</v>
      </c>
      <c r="C140" s="91" t="s">
        <v>406</v>
      </c>
      <c r="D140" s="90" t="s">
        <v>407</v>
      </c>
      <c r="E140" s="90" t="s">
        <v>408</v>
      </c>
      <c r="F140" s="90" t="s">
        <v>409</v>
      </c>
      <c r="G140" s="11">
        <v>1665239.53</v>
      </c>
      <c r="H140" s="11">
        <v>915843</v>
      </c>
      <c r="I140" s="55">
        <v>120714</v>
      </c>
      <c r="J140" s="55">
        <v>117729</v>
      </c>
      <c r="K140" s="55">
        <v>114235</v>
      </c>
      <c r="L140" s="55">
        <v>110731</v>
      </c>
      <c r="M140" s="55">
        <v>107288</v>
      </c>
      <c r="N140" s="55">
        <v>106556</v>
      </c>
      <c r="O140" s="55">
        <v>100219</v>
      </c>
      <c r="P140" s="55">
        <v>365868</v>
      </c>
      <c r="Q140" s="13">
        <f t="shared" ref="Q140:Q147" si="5">SUM(I140:P140)</f>
        <v>1143340</v>
      </c>
      <c r="V140" s="50"/>
      <c r="Y140" s="50"/>
    </row>
    <row r="141" spans="1:38" s="49" customFormat="1" ht="38.25" x14ac:dyDescent="0.25">
      <c r="A141" s="90" t="s">
        <v>410</v>
      </c>
      <c r="B141" s="90" t="s">
        <v>11</v>
      </c>
      <c r="C141" s="91" t="s">
        <v>411</v>
      </c>
      <c r="D141" s="90" t="s">
        <v>412</v>
      </c>
      <c r="E141" s="90" t="s">
        <v>408</v>
      </c>
      <c r="F141" s="90" t="s">
        <v>413</v>
      </c>
      <c r="G141" s="11">
        <v>135399.06</v>
      </c>
      <c r="H141" s="11">
        <v>61370</v>
      </c>
      <c r="I141" s="55">
        <v>9721</v>
      </c>
      <c r="J141" s="55">
        <v>9452</v>
      </c>
      <c r="K141" s="55">
        <v>9149</v>
      </c>
      <c r="L141" s="55">
        <v>8845</v>
      </c>
      <c r="M141" s="55">
        <v>8544</v>
      </c>
      <c r="N141" s="55">
        <v>8237</v>
      </c>
      <c r="O141" s="55">
        <v>7933</v>
      </c>
      <c r="P141" s="55">
        <v>11313</v>
      </c>
      <c r="Q141" s="13">
        <f t="shared" si="5"/>
        <v>73194</v>
      </c>
      <c r="V141" s="50"/>
      <c r="Y141" s="50"/>
    </row>
    <row r="142" spans="1:38" s="49" customFormat="1" ht="38.25" x14ac:dyDescent="0.25">
      <c r="A142" s="90" t="s">
        <v>414</v>
      </c>
      <c r="B142" s="90" t="s">
        <v>11</v>
      </c>
      <c r="C142" s="91" t="s">
        <v>415</v>
      </c>
      <c r="D142" s="90" t="s">
        <v>416</v>
      </c>
      <c r="E142" s="90" t="s">
        <v>408</v>
      </c>
      <c r="F142" s="90" t="s">
        <v>413</v>
      </c>
      <c r="G142" s="11">
        <v>197450</v>
      </c>
      <c r="H142" s="11">
        <v>89466</v>
      </c>
      <c r="I142" s="55">
        <v>14178</v>
      </c>
      <c r="J142" s="55">
        <v>13785</v>
      </c>
      <c r="K142" s="55">
        <v>13343</v>
      </c>
      <c r="L142" s="55">
        <v>12900</v>
      </c>
      <c r="M142" s="55">
        <v>12461</v>
      </c>
      <c r="N142" s="55">
        <v>12012</v>
      </c>
      <c r="O142" s="55">
        <v>11570</v>
      </c>
      <c r="P142" s="55">
        <v>16451</v>
      </c>
      <c r="Q142" s="13">
        <f t="shared" si="5"/>
        <v>106700</v>
      </c>
      <c r="V142" s="50"/>
      <c r="Y142" s="50"/>
    </row>
    <row r="143" spans="1:38" s="49" customFormat="1" ht="51" x14ac:dyDescent="0.25">
      <c r="A143" s="90" t="s">
        <v>417</v>
      </c>
      <c r="B143" s="90" t="s">
        <v>11</v>
      </c>
      <c r="C143" s="91" t="s">
        <v>418</v>
      </c>
      <c r="D143" s="90" t="s">
        <v>419</v>
      </c>
      <c r="E143" s="90" t="s">
        <v>420</v>
      </c>
      <c r="F143" s="90" t="s">
        <v>129</v>
      </c>
      <c r="G143" s="11">
        <v>383989</v>
      </c>
      <c r="H143" s="11">
        <v>189525</v>
      </c>
      <c r="I143" s="55">
        <v>28433</v>
      </c>
      <c r="J143" s="55">
        <v>28004</v>
      </c>
      <c r="K143" s="55">
        <v>27121</v>
      </c>
      <c r="L143" s="55">
        <v>26235</v>
      </c>
      <c r="M143" s="55">
        <v>25359</v>
      </c>
      <c r="N143" s="55">
        <v>24461</v>
      </c>
      <c r="O143" s="55">
        <v>23576</v>
      </c>
      <c r="P143" s="55">
        <v>44551</v>
      </c>
      <c r="Q143" s="13">
        <f t="shared" si="5"/>
        <v>227740</v>
      </c>
      <c r="V143" s="50"/>
      <c r="Y143" s="50"/>
    </row>
    <row r="144" spans="1:38" s="49" customFormat="1" ht="51" x14ac:dyDescent="0.2">
      <c r="A144" s="90" t="s">
        <v>421</v>
      </c>
      <c r="B144" s="101" t="s">
        <v>11</v>
      </c>
      <c r="C144" s="123" t="s">
        <v>463</v>
      </c>
      <c r="D144" s="124" t="s">
        <v>422</v>
      </c>
      <c r="E144" s="125" t="s">
        <v>423</v>
      </c>
      <c r="F144" s="126" t="s">
        <v>424</v>
      </c>
      <c r="G144" s="17">
        <v>401250</v>
      </c>
      <c r="H144" s="17">
        <v>109347</v>
      </c>
      <c r="I144" s="17">
        <v>14917</v>
      </c>
      <c r="J144" s="17">
        <v>14747</v>
      </c>
      <c r="K144" s="17">
        <v>14300</v>
      </c>
      <c r="L144" s="17">
        <v>13851</v>
      </c>
      <c r="M144" s="17">
        <v>13409</v>
      </c>
      <c r="N144" s="17">
        <v>12953</v>
      </c>
      <c r="O144" s="76">
        <v>12504</v>
      </c>
      <c r="P144" s="76">
        <v>37552</v>
      </c>
      <c r="Q144" s="20">
        <f t="shared" si="5"/>
        <v>134233</v>
      </c>
      <c r="V144" s="50"/>
      <c r="Y144" s="50"/>
    </row>
    <row r="145" spans="1:25" s="49" customFormat="1" ht="51" x14ac:dyDescent="0.2">
      <c r="A145" s="90" t="s">
        <v>425</v>
      </c>
      <c r="B145" s="101" t="s">
        <v>11</v>
      </c>
      <c r="C145" s="123" t="s">
        <v>464</v>
      </c>
      <c r="D145" s="124" t="s">
        <v>426</v>
      </c>
      <c r="E145" s="125" t="s">
        <v>423</v>
      </c>
      <c r="F145" s="126" t="s">
        <v>427</v>
      </c>
      <c r="G145" s="17">
        <v>112407</v>
      </c>
      <c r="H145" s="17">
        <v>15480</v>
      </c>
      <c r="I145" s="17">
        <v>2149</v>
      </c>
      <c r="J145" s="17">
        <v>2124</v>
      </c>
      <c r="K145" s="17">
        <v>2059</v>
      </c>
      <c r="L145" s="17">
        <v>1994</v>
      </c>
      <c r="M145" s="17">
        <v>1929</v>
      </c>
      <c r="N145" s="17">
        <v>1863</v>
      </c>
      <c r="O145" s="76">
        <v>1798</v>
      </c>
      <c r="P145" s="76">
        <v>5008</v>
      </c>
      <c r="Q145" s="20">
        <f t="shared" si="5"/>
        <v>18924</v>
      </c>
      <c r="V145" s="50"/>
      <c r="Y145" s="50"/>
    </row>
    <row r="146" spans="1:25" s="49" customFormat="1" ht="51" x14ac:dyDescent="0.25">
      <c r="A146" s="90" t="s">
        <v>428</v>
      </c>
      <c r="B146" s="90" t="s">
        <v>11</v>
      </c>
      <c r="C146" s="91" t="s">
        <v>429</v>
      </c>
      <c r="D146" s="124" t="s">
        <v>430</v>
      </c>
      <c r="E146" s="90" t="s">
        <v>431</v>
      </c>
      <c r="F146" s="90" t="s">
        <v>432</v>
      </c>
      <c r="G146" s="11">
        <v>2594247</v>
      </c>
      <c r="H146" s="11">
        <v>550908</v>
      </c>
      <c r="I146" s="55">
        <v>83176</v>
      </c>
      <c r="J146" s="55">
        <v>81418</v>
      </c>
      <c r="K146" s="55">
        <v>78833</v>
      </c>
      <c r="L146" s="55">
        <v>76258</v>
      </c>
      <c r="M146" s="55">
        <v>73712</v>
      </c>
      <c r="N146" s="55">
        <v>71103</v>
      </c>
      <c r="O146" s="55">
        <v>68529</v>
      </c>
      <c r="P146" s="55">
        <v>129498</v>
      </c>
      <c r="Q146" s="20">
        <f t="shared" si="5"/>
        <v>662527</v>
      </c>
      <c r="V146" s="50"/>
      <c r="Y146" s="50"/>
    </row>
    <row r="147" spans="1:25" s="49" customFormat="1" ht="51" x14ac:dyDescent="0.25">
      <c r="A147" s="90" t="s">
        <v>433</v>
      </c>
      <c r="B147" s="127" t="s">
        <v>11</v>
      </c>
      <c r="C147" s="128" t="s">
        <v>434</v>
      </c>
      <c r="D147" s="124" t="s">
        <v>435</v>
      </c>
      <c r="E147" s="127" t="s">
        <v>436</v>
      </c>
      <c r="F147" s="127" t="s">
        <v>437</v>
      </c>
      <c r="G147" s="57">
        <v>1468540</v>
      </c>
      <c r="H147" s="57">
        <v>1267371</v>
      </c>
      <c r="I147" s="58">
        <v>130542</v>
      </c>
      <c r="J147" s="58">
        <v>128513</v>
      </c>
      <c r="K147" s="58">
        <v>125228</v>
      </c>
      <c r="L147" s="58">
        <v>121933</v>
      </c>
      <c r="M147" s="58">
        <v>118738</v>
      </c>
      <c r="N147" s="58">
        <v>114227</v>
      </c>
      <c r="O147" s="58">
        <v>111008</v>
      </c>
      <c r="P147" s="58">
        <v>832291</v>
      </c>
      <c r="Q147" s="59">
        <f t="shared" si="5"/>
        <v>1682480</v>
      </c>
      <c r="V147" s="50"/>
      <c r="Y147" s="50"/>
    </row>
    <row r="148" spans="1:25" s="49" customFormat="1" ht="63.75" x14ac:dyDescent="0.25">
      <c r="A148" s="90" t="s">
        <v>438</v>
      </c>
      <c r="B148" s="90" t="s">
        <v>11</v>
      </c>
      <c r="C148" s="91" t="s">
        <v>440</v>
      </c>
      <c r="D148" s="124" t="s">
        <v>441</v>
      </c>
      <c r="E148" s="90" t="s">
        <v>442</v>
      </c>
      <c r="F148" s="90" t="s">
        <v>311</v>
      </c>
      <c r="G148" s="11">
        <v>1093100</v>
      </c>
      <c r="H148" s="11">
        <v>973837</v>
      </c>
      <c r="I148" s="56">
        <v>110896</v>
      </c>
      <c r="J148" s="56">
        <v>108550</v>
      </c>
      <c r="K148" s="56">
        <v>105297</v>
      </c>
      <c r="L148" s="56">
        <v>101973</v>
      </c>
      <c r="M148" s="56">
        <v>98907</v>
      </c>
      <c r="N148" s="56">
        <v>95538</v>
      </c>
      <c r="O148" s="56">
        <v>92289</v>
      </c>
      <c r="P148" s="56">
        <v>749207</v>
      </c>
      <c r="Q148" s="13">
        <f>SUM(I148:P148)</f>
        <v>1462657</v>
      </c>
      <c r="V148" s="50"/>
      <c r="Y148" s="50"/>
    </row>
    <row r="149" spans="1:25" s="49" customFormat="1" ht="38.25" x14ac:dyDescent="0.25">
      <c r="A149" s="90" t="s">
        <v>439</v>
      </c>
      <c r="B149" s="90" t="s">
        <v>11</v>
      </c>
      <c r="C149" s="91" t="s">
        <v>516</v>
      </c>
      <c r="D149" s="124" t="s">
        <v>444</v>
      </c>
      <c r="E149" s="90" t="s">
        <v>442</v>
      </c>
      <c r="F149" s="90" t="s">
        <v>311</v>
      </c>
      <c r="G149" s="11">
        <v>340358</v>
      </c>
      <c r="H149" s="11">
        <v>303227</v>
      </c>
      <c r="I149" s="56">
        <v>34527</v>
      </c>
      <c r="J149" s="56">
        <v>33798</v>
      </c>
      <c r="K149" s="56">
        <v>32785</v>
      </c>
      <c r="L149" s="56">
        <v>31772</v>
      </c>
      <c r="M149" s="56">
        <v>30795</v>
      </c>
      <c r="N149" s="56">
        <v>29746</v>
      </c>
      <c r="O149" s="56">
        <v>28735</v>
      </c>
      <c r="P149" s="56">
        <v>231806</v>
      </c>
      <c r="Q149" s="13">
        <f>SUM(I149:P149)</f>
        <v>453964</v>
      </c>
      <c r="V149" s="50"/>
      <c r="Y149" s="50"/>
    </row>
    <row r="150" spans="1:25" s="49" customFormat="1" ht="51" x14ac:dyDescent="0.25">
      <c r="A150" s="90" t="s">
        <v>443</v>
      </c>
      <c r="B150" s="127" t="s">
        <v>11</v>
      </c>
      <c r="C150" s="128" t="s">
        <v>517</v>
      </c>
      <c r="D150" s="129" t="s">
        <v>446</v>
      </c>
      <c r="E150" s="127" t="s">
        <v>447</v>
      </c>
      <c r="F150" s="127" t="s">
        <v>93</v>
      </c>
      <c r="G150" s="57">
        <v>158392</v>
      </c>
      <c r="H150" s="57">
        <v>141504</v>
      </c>
      <c r="I150" s="58">
        <v>15468</v>
      </c>
      <c r="J150" s="58">
        <v>15050</v>
      </c>
      <c r="K150" s="58">
        <v>14619</v>
      </c>
      <c r="L150" s="58">
        <v>14196</v>
      </c>
      <c r="M150" s="58">
        <v>13814</v>
      </c>
      <c r="N150" s="58">
        <v>13349</v>
      </c>
      <c r="O150" s="58">
        <v>12927</v>
      </c>
      <c r="P150" s="58">
        <v>103896</v>
      </c>
      <c r="Q150" s="59">
        <f>SUM(I150:P150)</f>
        <v>203319</v>
      </c>
      <c r="V150" s="50"/>
      <c r="Y150" s="50"/>
    </row>
    <row r="151" spans="1:25" s="49" customFormat="1" ht="12.75" x14ac:dyDescent="0.25">
      <c r="A151" s="90" t="s">
        <v>445</v>
      </c>
      <c r="B151" s="127" t="s">
        <v>11</v>
      </c>
      <c r="C151" s="100" t="s">
        <v>465</v>
      </c>
      <c r="D151" s="130" t="s">
        <v>448</v>
      </c>
      <c r="E151" s="101" t="s">
        <v>449</v>
      </c>
      <c r="F151" s="101" t="s">
        <v>450</v>
      </c>
      <c r="G151" s="77">
        <v>214000</v>
      </c>
      <c r="H151" s="77">
        <v>46892</v>
      </c>
      <c r="I151" s="76">
        <v>48019</v>
      </c>
      <c r="J151" s="76">
        <v>9</v>
      </c>
      <c r="K151" s="76">
        <v>0</v>
      </c>
      <c r="L151" s="76">
        <v>0</v>
      </c>
      <c r="M151" s="76">
        <v>0</v>
      </c>
      <c r="N151" s="76">
        <v>0</v>
      </c>
      <c r="O151" s="76">
        <v>0</v>
      </c>
      <c r="P151" s="76">
        <v>0</v>
      </c>
      <c r="Q151" s="59">
        <f>SUM(I151:P151)</f>
        <v>48028</v>
      </c>
      <c r="V151" s="50"/>
      <c r="Y151" s="50"/>
    </row>
    <row r="152" spans="1:25" s="1" customFormat="1" ht="12.75" x14ac:dyDescent="0.2">
      <c r="A152" s="101"/>
      <c r="B152" s="60" t="s">
        <v>403</v>
      </c>
      <c r="C152" s="101" t="s">
        <v>404</v>
      </c>
      <c r="D152" s="101" t="s">
        <v>404</v>
      </c>
      <c r="E152" s="101" t="s">
        <v>404</v>
      </c>
      <c r="F152" s="101" t="s">
        <v>404</v>
      </c>
      <c r="G152" s="61">
        <f t="shared" ref="G152:Q152" si="6">SUM(G140:G151)</f>
        <v>8764371.5899999999</v>
      </c>
      <c r="H152" s="61">
        <f t="shared" si="6"/>
        <v>4664770</v>
      </c>
      <c r="I152" s="62">
        <f t="shared" si="6"/>
        <v>612740</v>
      </c>
      <c r="J152" s="62">
        <f t="shared" si="6"/>
        <v>553179</v>
      </c>
      <c r="K152" s="62">
        <f t="shared" si="6"/>
        <v>536969</v>
      </c>
      <c r="L152" s="62">
        <f t="shared" si="6"/>
        <v>520688</v>
      </c>
      <c r="M152" s="62">
        <f t="shared" si="6"/>
        <v>504956</v>
      </c>
      <c r="N152" s="62">
        <f t="shared" si="6"/>
        <v>490045</v>
      </c>
      <c r="O152" s="62">
        <f t="shared" si="6"/>
        <v>471088</v>
      </c>
      <c r="P152" s="62">
        <f t="shared" si="6"/>
        <v>2527441</v>
      </c>
      <c r="Q152" s="62">
        <f t="shared" si="6"/>
        <v>6217106</v>
      </c>
      <c r="V152" s="2"/>
      <c r="Y152" s="2"/>
    </row>
    <row r="153" spans="1:25" s="1" customFormat="1" ht="12.75" x14ac:dyDescent="0.2">
      <c r="A153" s="84"/>
      <c r="B153" s="122"/>
      <c r="C153" s="122"/>
      <c r="D153" s="122"/>
      <c r="E153" s="84"/>
      <c r="F153" s="84"/>
      <c r="G153" s="45"/>
      <c r="H153" s="45"/>
      <c r="I153" s="46"/>
      <c r="J153" s="46"/>
      <c r="K153" s="46"/>
      <c r="L153" s="46"/>
      <c r="M153" s="46"/>
      <c r="N153" s="46"/>
      <c r="O153" s="46"/>
      <c r="P153" s="46"/>
      <c r="Q153" s="63"/>
      <c r="V153" s="2"/>
      <c r="Y153" s="2"/>
    </row>
    <row r="154" spans="1:25" s="1" customFormat="1" ht="12.75" x14ac:dyDescent="0.2">
      <c r="A154" s="84"/>
      <c r="B154" s="65"/>
      <c r="C154" s="65"/>
      <c r="D154" s="65"/>
      <c r="E154" s="53"/>
      <c r="F154" s="53"/>
      <c r="G154" s="54"/>
      <c r="H154" s="54"/>
      <c r="I154" s="46"/>
      <c r="J154" s="46"/>
      <c r="K154" s="46"/>
      <c r="L154" s="46"/>
      <c r="M154" s="46"/>
      <c r="N154" s="46"/>
      <c r="O154" s="46"/>
      <c r="P154" s="46"/>
      <c r="Q154" s="66"/>
      <c r="V154" s="2"/>
      <c r="Y154" s="2"/>
    </row>
    <row r="155" spans="1:25" s="1" customFormat="1" ht="25.5" x14ac:dyDescent="0.2">
      <c r="A155" s="84"/>
      <c r="B155" s="64" t="s">
        <v>451</v>
      </c>
      <c r="C155" s="131" t="s">
        <v>466</v>
      </c>
      <c r="D155" s="131"/>
      <c r="E155" s="132"/>
      <c r="F155" s="132"/>
      <c r="G155" s="67">
        <f t="shared" ref="G155:Q155" si="7">G137+G152</f>
        <v>92280526.590000004</v>
      </c>
      <c r="H155" s="67">
        <f t="shared" si="7"/>
        <v>59190863</v>
      </c>
      <c r="I155" s="68">
        <f t="shared" si="7"/>
        <v>7330129.3600000003</v>
      </c>
      <c r="J155" s="68">
        <f t="shared" si="7"/>
        <v>6892284</v>
      </c>
      <c r="K155" s="68">
        <f t="shared" si="7"/>
        <v>6591775</v>
      </c>
      <c r="L155" s="68">
        <f t="shared" si="7"/>
        <v>6216832</v>
      </c>
      <c r="M155" s="68">
        <f t="shared" si="7"/>
        <v>5790612</v>
      </c>
      <c r="N155" s="68">
        <f t="shared" si="7"/>
        <v>5267622</v>
      </c>
      <c r="O155" s="68">
        <f t="shared" si="7"/>
        <v>5028787</v>
      </c>
      <c r="P155" s="68">
        <f t="shared" si="7"/>
        <v>45621588</v>
      </c>
      <c r="Q155" s="68">
        <f t="shared" si="7"/>
        <v>88739629.359999999</v>
      </c>
      <c r="V155" s="2"/>
      <c r="Y155" s="2"/>
    </row>
    <row r="156" spans="1:25" s="1" customFormat="1" ht="12.75" x14ac:dyDescent="0.2">
      <c r="A156" s="84"/>
      <c r="B156" s="65"/>
      <c r="C156" s="65"/>
      <c r="D156" s="65"/>
      <c r="E156" s="65"/>
      <c r="F156" s="65"/>
      <c r="G156" s="54"/>
      <c r="H156" s="54"/>
      <c r="I156" s="46"/>
      <c r="J156" s="46"/>
      <c r="K156" s="46"/>
      <c r="L156" s="46"/>
      <c r="M156" s="46"/>
      <c r="N156" s="46"/>
      <c r="O156" s="46"/>
      <c r="P156" s="46"/>
      <c r="Q156" s="69"/>
      <c r="V156" s="2"/>
      <c r="Y156" s="2"/>
    </row>
    <row r="157" spans="1:25" s="1" customFormat="1" ht="18.75" customHeight="1" x14ac:dyDescent="0.2">
      <c r="A157" s="84"/>
      <c r="B157" s="143" t="s">
        <v>452</v>
      </c>
      <c r="C157" s="143"/>
      <c r="D157" s="143"/>
      <c r="E157" s="143"/>
      <c r="F157" s="91"/>
      <c r="G157" s="11" t="s">
        <v>404</v>
      </c>
      <c r="H157" s="11" t="s">
        <v>404</v>
      </c>
      <c r="I157" s="83">
        <f>ROUND(I155/$Q$159*100,2)</f>
        <v>14.66</v>
      </c>
      <c r="J157" s="83">
        <f t="shared" ref="J157:O157" si="8">ROUND(J155/$Q$159*100,2)</f>
        <v>13.78</v>
      </c>
      <c r="K157" s="83">
        <f t="shared" si="8"/>
        <v>13.18</v>
      </c>
      <c r="L157" s="83">
        <f t="shared" si="8"/>
        <v>12.43</v>
      </c>
      <c r="M157" s="83">
        <f t="shared" si="8"/>
        <v>11.58</v>
      </c>
      <c r="N157" s="83">
        <f t="shared" si="8"/>
        <v>10.53</v>
      </c>
      <c r="O157" s="83">
        <f t="shared" si="8"/>
        <v>10.06</v>
      </c>
      <c r="P157" s="70" t="s">
        <v>404</v>
      </c>
      <c r="Q157" s="70" t="s">
        <v>404</v>
      </c>
      <c r="V157" s="2"/>
      <c r="Y157" s="2"/>
    </row>
    <row r="158" spans="1:25" s="1" customFormat="1" ht="12.75" x14ac:dyDescent="0.2">
      <c r="A158" s="122"/>
      <c r="B158" s="133"/>
      <c r="C158" s="71"/>
      <c r="D158" s="71"/>
      <c r="E158" s="71"/>
      <c r="F158" s="71"/>
      <c r="G158" s="72"/>
      <c r="H158" s="72"/>
      <c r="I158" s="73"/>
      <c r="J158" s="73"/>
      <c r="K158" s="73"/>
      <c r="L158" s="73"/>
      <c r="M158" s="73"/>
      <c r="N158" s="73"/>
      <c r="O158" s="73"/>
      <c r="P158" s="73"/>
      <c r="Q158" s="134"/>
      <c r="V158" s="2"/>
      <c r="Y158" s="2"/>
    </row>
    <row r="159" spans="1:25" s="1" customFormat="1" ht="51.6" customHeight="1" x14ac:dyDescent="0.2">
      <c r="A159" s="122"/>
      <c r="B159" s="144" t="s">
        <v>453</v>
      </c>
      <c r="C159" s="144"/>
      <c r="D159" s="144"/>
      <c r="E159" s="144"/>
      <c r="F159" s="135"/>
      <c r="G159" s="136"/>
      <c r="H159" s="136"/>
      <c r="I159" s="137"/>
      <c r="J159" s="137"/>
      <c r="K159" s="137"/>
      <c r="L159" s="137"/>
      <c r="M159" s="137"/>
      <c r="N159" s="137"/>
      <c r="O159" s="137"/>
      <c r="P159" s="138"/>
      <c r="Q159" s="139">
        <f>67618743-17279428-414521+79385</f>
        <v>50004179</v>
      </c>
      <c r="V159" s="2"/>
      <c r="Y159" s="2"/>
    </row>
    <row r="160" spans="1:25" s="1" customFormat="1" ht="409.5" customHeight="1" x14ac:dyDescent="0.25">
      <c r="B160" s="2"/>
      <c r="C160" s="2"/>
      <c r="D160" s="2"/>
      <c r="E160" s="2"/>
      <c r="F160" s="2"/>
      <c r="G160" s="3"/>
      <c r="H160" s="3"/>
      <c r="I160" s="140"/>
      <c r="J160" s="78"/>
      <c r="K160" s="78"/>
      <c r="L160" s="78"/>
      <c r="M160" s="78"/>
      <c r="N160" s="78"/>
      <c r="O160" s="78"/>
      <c r="P160" s="78"/>
      <c r="Q160" s="79"/>
      <c r="V160" s="2"/>
      <c r="Y160" s="2"/>
    </row>
  </sheetData>
  <sheetProtection selectLockedCells="1" selectUnlockedCells="1"/>
  <mergeCells count="16">
    <mergeCell ref="B7:C7"/>
    <mergeCell ref="B139:C139"/>
    <mergeCell ref="B157:E157"/>
    <mergeCell ref="B159:E159"/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H5:H6"/>
    <mergeCell ref="I5:Q5"/>
  </mergeCells>
  <conditionalFormatting sqref="D1:D11 D13:D37 D40:D55 D84:D105">
    <cfRule type="containsText" dxfId="1" priority="10" operator="containsText" text=".06.">
      <formula>NOT(ISERROR(SEARCH(".06.",D1)))</formula>
    </cfRule>
  </conditionalFormatting>
  <conditionalFormatting sqref="D58:D82 D109:D1048576">
    <cfRule type="containsText" dxfId="0" priority="9" operator="containsText" text=".06.">
      <formula>NOT(ISERROR(SEARCH(".06.",D58)))</formula>
    </cfRule>
  </conditionalFormatting>
  <pageMargins left="0" right="0" top="0" bottom="0" header="0" footer="0"/>
  <pageSetup paperSize="8" scale="62" fitToHeight="0" orientation="landscape" useFirstPageNumber="1" r:id="rId1"/>
  <headerFooter alignWithMargins="0">
    <oddFooter>&amp;L&amp;"Times New Roman,Regular"Bauskas novada administrācija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6_pielikums</vt:lpstr>
      <vt:lpstr>'6_pielikums'!Excel_BuiltIn_Print_Titles_1</vt:lpstr>
      <vt:lpstr>'6_pielikums'!Print_Area</vt:lpstr>
      <vt:lpstr>'6_pielikums'!Print_Titles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Uldis Ervalds</cp:lastModifiedBy>
  <cp:lastPrinted>2024-02-09T08:17:29Z</cp:lastPrinted>
  <dcterms:created xsi:type="dcterms:W3CDTF">2023-10-19T13:01:43Z</dcterms:created>
  <dcterms:modified xsi:type="dcterms:W3CDTF">2024-02-27T08:34:38Z</dcterms:modified>
</cp:coreProperties>
</file>