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hidePivotFieldList="1"/>
  <bookViews>
    <workbookView xWindow="-120" yWindow="-120" windowWidth="23280" windowHeight="13200" firstSheet="1" activeTab="1"/>
  </bookViews>
  <sheets>
    <sheet name="Sheet1" sheetId="2" state="hidden" r:id="rId1"/>
    <sheet name="Kopsav_2024" sheetId="4" r:id="rId2"/>
    <sheet name="Sheet2" sheetId="5" state="hidden" r:id="rId3"/>
    <sheet name="Kopsav_2022" sheetId="1" state="hidden" r:id="rId4"/>
  </sheets>
  <definedNames>
    <definedName name="_xlnm.Print_Area" localSheetId="3">Kopsav_2022!$A$1:$Y$1236</definedName>
    <definedName name="_xlnm.Print_Area" localSheetId="1">Kopsav_2024!$A$1:$L$708</definedName>
    <definedName name="_xlnm.Print_Titles" localSheetId="3">Kopsav_2022!$14:$15</definedName>
    <definedName name="_xlnm.Print_Titles" localSheetId="1">Kopsav_2024!$11:$11</definedName>
  </definedNames>
  <calcPr calcId="145621"/>
  <pivotCaches>
    <pivotCache cacheId="0" r:id="rId5"/>
  </pivotCaches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703" i="4" l="1"/>
  <c r="Q1234" i="1"/>
  <c r="T1233" i="1"/>
  <c r="S1233" i="1"/>
  <c r="R1233" i="1"/>
  <c r="Q1233" i="1"/>
  <c r="X1228" i="1"/>
  <c r="W1228" i="1"/>
  <c r="V1228" i="1"/>
  <c r="U1228" i="1"/>
  <c r="T1228" i="1"/>
  <c r="S1228" i="1"/>
  <c r="R1228" i="1"/>
  <c r="Q1228" i="1"/>
  <c r="P1228" i="1"/>
  <c r="O1228" i="1"/>
  <c r="N1228" i="1"/>
  <c r="M1228" i="1"/>
  <c r="L1228" i="1"/>
  <c r="K1228" i="1"/>
  <c r="J1228" i="1"/>
  <c r="I1228" i="1"/>
  <c r="H1228" i="1"/>
  <c r="G1228" i="1"/>
  <c r="F1228" i="1"/>
  <c r="E1228" i="1"/>
  <c r="D1228" i="1"/>
  <c r="M1226" i="1"/>
  <c r="L1226" i="1"/>
  <c r="G1226" i="1"/>
  <c r="X1225" i="1"/>
  <c r="W1225" i="1"/>
  <c r="V1225" i="1"/>
  <c r="U1225" i="1"/>
  <c r="T1225" i="1"/>
  <c r="S1225" i="1"/>
  <c r="R1225" i="1"/>
  <c r="Q1225" i="1"/>
  <c r="P1225" i="1"/>
  <c r="O1225" i="1"/>
  <c r="N1225" i="1"/>
  <c r="M1225" i="1"/>
  <c r="L1225" i="1"/>
  <c r="K1225" i="1"/>
  <c r="J1225" i="1"/>
  <c r="I1225" i="1"/>
  <c r="H1225" i="1"/>
  <c r="G1225" i="1"/>
  <c r="F1225" i="1"/>
  <c r="E1225" i="1"/>
  <c r="D1225" i="1"/>
  <c r="M1224" i="1"/>
  <c r="L1224" i="1"/>
  <c r="G1224" i="1"/>
  <c r="M1223" i="1"/>
  <c r="L1223" i="1"/>
  <c r="G1223" i="1"/>
  <c r="M1222" i="1"/>
  <c r="L1222" i="1"/>
  <c r="G1222" i="1"/>
  <c r="M1221" i="1"/>
  <c r="L1221" i="1"/>
  <c r="G1221" i="1"/>
  <c r="U1220" i="1"/>
  <c r="M1220" i="1"/>
  <c r="L1220" i="1"/>
  <c r="G1220" i="1"/>
  <c r="M1219" i="1"/>
  <c r="L1219" i="1"/>
  <c r="G1219" i="1"/>
  <c r="M1218" i="1"/>
  <c r="L1218" i="1"/>
  <c r="G1218" i="1"/>
  <c r="M1217" i="1"/>
  <c r="L1217" i="1"/>
  <c r="G1217" i="1"/>
  <c r="M1216" i="1"/>
  <c r="L1216" i="1"/>
  <c r="G1216" i="1"/>
  <c r="M1215" i="1"/>
  <c r="L1215" i="1"/>
  <c r="G1215" i="1"/>
  <c r="M1214" i="1"/>
  <c r="L1214" i="1"/>
  <c r="G1214" i="1"/>
  <c r="M1213" i="1"/>
  <c r="L1213" i="1"/>
  <c r="G1213" i="1"/>
  <c r="M1212" i="1"/>
  <c r="L1212" i="1"/>
  <c r="G1212" i="1"/>
  <c r="M1211" i="1"/>
  <c r="L1211" i="1"/>
  <c r="G1211" i="1"/>
  <c r="M1210" i="1"/>
  <c r="L1210" i="1"/>
  <c r="G1210" i="1"/>
  <c r="M1209" i="1"/>
  <c r="L1209" i="1"/>
  <c r="G1209" i="1"/>
  <c r="M1208" i="1"/>
  <c r="L1208" i="1"/>
  <c r="G1208" i="1"/>
  <c r="M1207" i="1"/>
  <c r="L1207" i="1"/>
  <c r="G1207" i="1"/>
  <c r="M1206" i="1"/>
  <c r="L1206" i="1"/>
  <c r="G1206" i="1"/>
  <c r="M1205" i="1"/>
  <c r="L1205" i="1"/>
  <c r="G1205" i="1"/>
  <c r="M1204" i="1"/>
  <c r="L1204" i="1"/>
  <c r="G1204" i="1"/>
  <c r="M1203" i="1"/>
  <c r="L1203" i="1"/>
  <c r="G1203" i="1"/>
  <c r="M1202" i="1"/>
  <c r="L1202" i="1"/>
  <c r="G1202" i="1"/>
  <c r="M1201" i="1"/>
  <c r="L1201" i="1"/>
  <c r="G1201" i="1"/>
  <c r="M1200" i="1"/>
  <c r="L1200" i="1"/>
  <c r="G1200" i="1"/>
  <c r="M1199" i="1"/>
  <c r="L1199" i="1"/>
  <c r="G1199" i="1"/>
  <c r="M1198" i="1"/>
  <c r="L1198" i="1"/>
  <c r="G1198" i="1"/>
  <c r="M1197" i="1"/>
  <c r="L1197" i="1"/>
  <c r="G1197" i="1"/>
  <c r="M1196" i="1"/>
  <c r="L1196" i="1"/>
  <c r="G1196" i="1"/>
  <c r="M1195" i="1"/>
  <c r="L1195" i="1"/>
  <c r="G1195" i="1"/>
  <c r="M1194" i="1"/>
  <c r="L1194" i="1"/>
  <c r="G1194" i="1"/>
  <c r="M1193" i="1"/>
  <c r="L1193" i="1"/>
  <c r="G1193" i="1"/>
  <c r="M1192" i="1"/>
  <c r="L1192" i="1"/>
  <c r="G1192" i="1"/>
  <c r="M1191" i="1"/>
  <c r="L1191" i="1"/>
  <c r="G1191" i="1"/>
  <c r="M1190" i="1"/>
  <c r="L1190" i="1"/>
  <c r="G1190" i="1"/>
  <c r="M1189" i="1"/>
  <c r="L1189" i="1"/>
  <c r="G1189" i="1"/>
  <c r="M1188" i="1"/>
  <c r="L1188" i="1"/>
  <c r="G1188" i="1"/>
  <c r="M1187" i="1"/>
  <c r="L1187" i="1"/>
  <c r="G1187" i="1"/>
  <c r="U1186" i="1"/>
  <c r="M1186" i="1"/>
  <c r="L1186" i="1"/>
  <c r="G1186" i="1"/>
  <c r="U1185" i="1"/>
  <c r="M1185" i="1"/>
  <c r="L1185" i="1"/>
  <c r="G1185" i="1"/>
  <c r="M1184" i="1"/>
  <c r="L1184" i="1"/>
  <c r="G1184" i="1"/>
  <c r="M1183" i="1"/>
  <c r="L1183" i="1"/>
  <c r="G1183" i="1"/>
  <c r="M1182" i="1"/>
  <c r="L1182" i="1"/>
  <c r="G1182" i="1"/>
  <c r="M1181" i="1"/>
  <c r="L1181" i="1"/>
  <c r="G1181" i="1"/>
  <c r="M1180" i="1"/>
  <c r="M1179" i="1"/>
  <c r="L1179" i="1"/>
  <c r="G1179" i="1"/>
  <c r="X1178" i="1"/>
  <c r="W1178" i="1"/>
  <c r="V1178" i="1"/>
  <c r="U1178" i="1"/>
  <c r="T1178" i="1"/>
  <c r="S1178" i="1"/>
  <c r="R1178" i="1"/>
  <c r="Q1178" i="1"/>
  <c r="P1178" i="1"/>
  <c r="O1178" i="1"/>
  <c r="N1178" i="1"/>
  <c r="M1178" i="1"/>
  <c r="L1178" i="1"/>
  <c r="K1178" i="1"/>
  <c r="J1178" i="1"/>
  <c r="I1178" i="1"/>
  <c r="H1178" i="1"/>
  <c r="G1178" i="1"/>
  <c r="F1178" i="1"/>
  <c r="E1178" i="1"/>
  <c r="D1178" i="1"/>
  <c r="M1177" i="1"/>
  <c r="L1177" i="1"/>
  <c r="G1177" i="1"/>
  <c r="M1176" i="1"/>
  <c r="L1176" i="1"/>
  <c r="G1176" i="1"/>
  <c r="U1175" i="1"/>
  <c r="M1175" i="1"/>
  <c r="L1175" i="1"/>
  <c r="G1175" i="1"/>
  <c r="M1174" i="1"/>
  <c r="L1174" i="1"/>
  <c r="G1174" i="1"/>
  <c r="U1173" i="1"/>
  <c r="M1173" i="1"/>
  <c r="L1173" i="1"/>
  <c r="G1173" i="1"/>
  <c r="M1172" i="1"/>
  <c r="L1172" i="1"/>
  <c r="G1172" i="1"/>
  <c r="M1171" i="1"/>
  <c r="L1171" i="1"/>
  <c r="G1171" i="1"/>
  <c r="M1170" i="1"/>
  <c r="L1170" i="1"/>
  <c r="G1170" i="1"/>
  <c r="M1169" i="1"/>
  <c r="L1169" i="1"/>
  <c r="G1169" i="1"/>
  <c r="M1168" i="1"/>
  <c r="L1168" i="1"/>
  <c r="G1168" i="1"/>
  <c r="X1167" i="1"/>
  <c r="W1167" i="1"/>
  <c r="V1167" i="1"/>
  <c r="U1167" i="1"/>
  <c r="T1167" i="1"/>
  <c r="S1167" i="1"/>
  <c r="R1167" i="1"/>
  <c r="Q1167" i="1"/>
  <c r="P1167" i="1"/>
  <c r="O1167" i="1"/>
  <c r="N1167" i="1"/>
  <c r="M1167" i="1"/>
  <c r="L1167" i="1"/>
  <c r="K1167" i="1"/>
  <c r="J1167" i="1"/>
  <c r="I1167" i="1"/>
  <c r="H1167" i="1"/>
  <c r="G1167" i="1"/>
  <c r="F1167" i="1"/>
  <c r="E1167" i="1"/>
  <c r="D1167" i="1"/>
  <c r="M1166" i="1"/>
  <c r="L1166" i="1"/>
  <c r="G1166" i="1"/>
  <c r="M1165" i="1"/>
  <c r="L1165" i="1"/>
  <c r="G1165" i="1"/>
  <c r="M1164" i="1"/>
  <c r="L1164" i="1"/>
  <c r="H1164" i="1"/>
  <c r="G1164" i="1"/>
  <c r="M1163" i="1"/>
  <c r="L1163" i="1"/>
  <c r="H1163" i="1"/>
  <c r="G1163" i="1"/>
  <c r="M1162" i="1"/>
  <c r="L1162" i="1"/>
  <c r="G1162" i="1"/>
  <c r="M1161" i="1"/>
  <c r="L1161" i="1"/>
  <c r="G1161" i="1"/>
  <c r="M1160" i="1"/>
  <c r="L1160" i="1"/>
  <c r="G1160" i="1"/>
  <c r="M1159" i="1"/>
  <c r="L1159" i="1"/>
  <c r="G1159" i="1"/>
  <c r="M1157" i="1"/>
  <c r="L1157" i="1"/>
  <c r="K1157" i="1"/>
  <c r="J1157" i="1"/>
  <c r="I1157" i="1"/>
  <c r="G1157" i="1"/>
  <c r="F1157" i="1"/>
  <c r="E1157" i="1"/>
  <c r="D1157" i="1"/>
  <c r="X1156" i="1"/>
  <c r="W1156" i="1"/>
  <c r="V1156" i="1"/>
  <c r="U1156" i="1"/>
  <c r="T1156" i="1"/>
  <c r="S1156" i="1"/>
  <c r="R1156" i="1"/>
  <c r="Q1156" i="1"/>
  <c r="P1156" i="1"/>
  <c r="O1156" i="1"/>
  <c r="N1156" i="1"/>
  <c r="M1156" i="1"/>
  <c r="L1156" i="1"/>
  <c r="K1156" i="1"/>
  <c r="J1156" i="1"/>
  <c r="I1156" i="1"/>
  <c r="H1156" i="1"/>
  <c r="G1156" i="1"/>
  <c r="F1156" i="1"/>
  <c r="E1156" i="1"/>
  <c r="D1156" i="1"/>
  <c r="M1155" i="1"/>
  <c r="L1155" i="1"/>
  <c r="G1155" i="1"/>
  <c r="M1154" i="1"/>
  <c r="L1154" i="1"/>
  <c r="G1154" i="1"/>
  <c r="M1153" i="1"/>
  <c r="L1153" i="1"/>
  <c r="G1153" i="1"/>
  <c r="M1152" i="1"/>
  <c r="L1152" i="1"/>
  <c r="G1152" i="1"/>
  <c r="M1151" i="1"/>
  <c r="L1151" i="1"/>
  <c r="G1151" i="1"/>
  <c r="M1150" i="1"/>
  <c r="L1150" i="1"/>
  <c r="G1150" i="1"/>
  <c r="M1149" i="1"/>
  <c r="L1149" i="1"/>
  <c r="G1149" i="1"/>
  <c r="M1148" i="1"/>
  <c r="L1148" i="1"/>
  <c r="G1148" i="1"/>
  <c r="M1147" i="1"/>
  <c r="L1147" i="1"/>
  <c r="G1147" i="1"/>
  <c r="M1146" i="1"/>
  <c r="L1146" i="1"/>
  <c r="G1146" i="1"/>
  <c r="M1145" i="1"/>
  <c r="L1145" i="1"/>
  <c r="G1145" i="1"/>
  <c r="M1144" i="1"/>
  <c r="L1144" i="1"/>
  <c r="G1144" i="1"/>
  <c r="M1143" i="1"/>
  <c r="L1143" i="1"/>
  <c r="G1143" i="1"/>
  <c r="M1142" i="1"/>
  <c r="L1142" i="1"/>
  <c r="G1142" i="1"/>
  <c r="M1141" i="1"/>
  <c r="L1141" i="1"/>
  <c r="G1141" i="1"/>
  <c r="M1140" i="1"/>
  <c r="L1140" i="1"/>
  <c r="G1140" i="1"/>
  <c r="X1139" i="1"/>
  <c r="W1139" i="1"/>
  <c r="V1139" i="1"/>
  <c r="U1139" i="1"/>
  <c r="T1139" i="1"/>
  <c r="S1139" i="1"/>
  <c r="R1139" i="1"/>
  <c r="Q1139" i="1"/>
  <c r="P1139" i="1"/>
  <c r="O1139" i="1"/>
  <c r="N1139" i="1"/>
  <c r="M1139" i="1"/>
  <c r="L1139" i="1"/>
  <c r="K1139" i="1"/>
  <c r="J1139" i="1"/>
  <c r="I1139" i="1"/>
  <c r="H1139" i="1"/>
  <c r="G1139" i="1"/>
  <c r="F1139" i="1"/>
  <c r="E1139" i="1"/>
  <c r="D1139" i="1"/>
  <c r="M1138" i="1"/>
  <c r="L1138" i="1"/>
  <c r="G1138" i="1"/>
  <c r="M1137" i="1"/>
  <c r="L1137" i="1"/>
  <c r="G1137" i="1"/>
  <c r="M1136" i="1"/>
  <c r="L1136" i="1"/>
  <c r="G1136" i="1"/>
  <c r="M1135" i="1"/>
  <c r="L1135" i="1"/>
  <c r="G1135" i="1"/>
  <c r="M1134" i="1"/>
  <c r="L1134" i="1"/>
  <c r="G1134" i="1"/>
  <c r="M1133" i="1"/>
  <c r="L1133" i="1"/>
  <c r="G1133" i="1"/>
  <c r="M1132" i="1"/>
  <c r="L1132" i="1"/>
  <c r="G1132" i="1"/>
  <c r="M1131" i="1"/>
  <c r="L1131" i="1"/>
  <c r="G1131" i="1"/>
  <c r="M1130" i="1"/>
  <c r="L1130" i="1"/>
  <c r="G1130" i="1"/>
  <c r="M1129" i="1"/>
  <c r="L1129" i="1"/>
  <c r="G1129" i="1"/>
  <c r="M1128" i="1"/>
  <c r="L1128" i="1"/>
  <c r="G1128" i="1"/>
  <c r="M1127" i="1"/>
  <c r="L1127" i="1"/>
  <c r="G1127" i="1"/>
  <c r="M1126" i="1"/>
  <c r="L1126" i="1"/>
  <c r="G1126" i="1"/>
  <c r="M1125" i="1"/>
  <c r="L1125" i="1"/>
  <c r="G1125" i="1"/>
  <c r="M1124" i="1"/>
  <c r="L1124" i="1"/>
  <c r="G1124" i="1"/>
  <c r="M1123" i="1"/>
  <c r="L1123" i="1"/>
  <c r="G1123" i="1"/>
  <c r="M1122" i="1"/>
  <c r="L1122" i="1"/>
  <c r="G1122" i="1"/>
  <c r="X1121" i="1"/>
  <c r="W1121" i="1"/>
  <c r="V1121" i="1"/>
  <c r="U1121" i="1"/>
  <c r="T1121" i="1"/>
  <c r="S1121" i="1"/>
  <c r="R1121" i="1"/>
  <c r="Q1121" i="1"/>
  <c r="P1121" i="1"/>
  <c r="O1121" i="1"/>
  <c r="N1121" i="1"/>
  <c r="M1121" i="1"/>
  <c r="L1121" i="1"/>
  <c r="K1121" i="1"/>
  <c r="J1121" i="1"/>
  <c r="I1121" i="1"/>
  <c r="H1121" i="1"/>
  <c r="G1121" i="1"/>
  <c r="F1121" i="1"/>
  <c r="E1121" i="1"/>
  <c r="D1121" i="1"/>
  <c r="M1120" i="1"/>
  <c r="L1120" i="1"/>
  <c r="G1120" i="1"/>
  <c r="M1119" i="1"/>
  <c r="L1119" i="1"/>
  <c r="G1119" i="1"/>
  <c r="M1118" i="1"/>
  <c r="L1118" i="1"/>
  <c r="G1118" i="1"/>
  <c r="M1117" i="1"/>
  <c r="L1117" i="1"/>
  <c r="G1117" i="1"/>
  <c r="M1116" i="1"/>
  <c r="L1116" i="1"/>
  <c r="G1116" i="1"/>
  <c r="M1115" i="1"/>
  <c r="L1115" i="1"/>
  <c r="G1115" i="1"/>
  <c r="M1114" i="1"/>
  <c r="L1114" i="1"/>
  <c r="G1114" i="1"/>
  <c r="M1113" i="1"/>
  <c r="L1113" i="1"/>
  <c r="G1113" i="1"/>
  <c r="M1112" i="1"/>
  <c r="L1112" i="1"/>
  <c r="G1112" i="1"/>
  <c r="M1111" i="1"/>
  <c r="L1111" i="1"/>
  <c r="G1111" i="1"/>
  <c r="M1110" i="1"/>
  <c r="L1110" i="1"/>
  <c r="G1110" i="1"/>
  <c r="X1109" i="1"/>
  <c r="W1109" i="1"/>
  <c r="V1109" i="1"/>
  <c r="U1109" i="1"/>
  <c r="T1109" i="1"/>
  <c r="S1109" i="1"/>
  <c r="R1109" i="1"/>
  <c r="Q1109" i="1"/>
  <c r="P1109" i="1"/>
  <c r="O1109" i="1"/>
  <c r="N1109" i="1"/>
  <c r="M1109" i="1"/>
  <c r="L1109" i="1"/>
  <c r="K1109" i="1"/>
  <c r="J1109" i="1"/>
  <c r="I1109" i="1"/>
  <c r="H1109" i="1"/>
  <c r="G1109" i="1"/>
  <c r="F1109" i="1"/>
  <c r="E1109" i="1"/>
  <c r="D1109" i="1"/>
  <c r="M1108" i="1"/>
  <c r="L1108" i="1"/>
  <c r="G1108" i="1"/>
  <c r="M1107" i="1"/>
  <c r="L1107" i="1"/>
  <c r="G1107" i="1"/>
  <c r="M1106" i="1"/>
  <c r="L1106" i="1"/>
  <c r="G1106" i="1"/>
  <c r="M1105" i="1"/>
  <c r="L1105" i="1"/>
  <c r="G1105" i="1"/>
  <c r="M1104" i="1"/>
  <c r="L1104" i="1"/>
  <c r="G1104" i="1"/>
  <c r="M1103" i="1"/>
  <c r="L1103" i="1"/>
  <c r="G1103" i="1"/>
  <c r="M1102" i="1"/>
  <c r="L1102" i="1"/>
  <c r="G1102" i="1"/>
  <c r="M1101" i="1"/>
  <c r="L1101" i="1"/>
  <c r="G1101" i="1"/>
  <c r="M1100" i="1"/>
  <c r="L1100" i="1"/>
  <c r="G1100" i="1"/>
  <c r="X1099" i="1"/>
  <c r="W1099" i="1"/>
  <c r="V1099" i="1"/>
  <c r="U1099" i="1"/>
  <c r="T1099" i="1"/>
  <c r="S1099" i="1"/>
  <c r="R1099" i="1"/>
  <c r="Q1099" i="1"/>
  <c r="P1099" i="1"/>
  <c r="O1099" i="1"/>
  <c r="N1099" i="1"/>
  <c r="M1099" i="1"/>
  <c r="L1099" i="1"/>
  <c r="K1099" i="1"/>
  <c r="J1099" i="1"/>
  <c r="I1099" i="1"/>
  <c r="H1099" i="1"/>
  <c r="G1099" i="1"/>
  <c r="F1099" i="1"/>
  <c r="E1099" i="1"/>
  <c r="D1099" i="1"/>
  <c r="M1098" i="1"/>
  <c r="L1098" i="1"/>
  <c r="G1098" i="1"/>
  <c r="M1097" i="1"/>
  <c r="L1097" i="1"/>
  <c r="G1097" i="1"/>
  <c r="M1096" i="1"/>
  <c r="L1096" i="1"/>
  <c r="G1096" i="1"/>
  <c r="M1095" i="1"/>
  <c r="L1095" i="1"/>
  <c r="G1095" i="1"/>
  <c r="M1094" i="1"/>
  <c r="L1094" i="1"/>
  <c r="G1094" i="1"/>
  <c r="X1093" i="1"/>
  <c r="W1093" i="1"/>
  <c r="V1093" i="1"/>
  <c r="U1093" i="1"/>
  <c r="T1093" i="1"/>
  <c r="S1093" i="1"/>
  <c r="R1093" i="1"/>
  <c r="Q1093" i="1"/>
  <c r="P1093" i="1"/>
  <c r="O1093" i="1"/>
  <c r="N1093" i="1"/>
  <c r="M1093" i="1"/>
  <c r="L1093" i="1"/>
  <c r="K1093" i="1"/>
  <c r="J1093" i="1"/>
  <c r="I1093" i="1"/>
  <c r="H1093" i="1"/>
  <c r="G1093" i="1"/>
  <c r="F1093" i="1"/>
  <c r="E1093" i="1"/>
  <c r="D1093" i="1"/>
  <c r="M1092" i="1"/>
  <c r="L1092" i="1"/>
  <c r="G1092" i="1"/>
  <c r="M1091" i="1"/>
  <c r="L1091" i="1"/>
  <c r="G1091" i="1"/>
  <c r="M1090" i="1"/>
  <c r="L1090" i="1"/>
  <c r="G1090" i="1"/>
  <c r="M1089" i="1"/>
  <c r="L1089" i="1"/>
  <c r="G1089" i="1"/>
  <c r="M1088" i="1"/>
  <c r="L1088" i="1"/>
  <c r="G1088" i="1"/>
  <c r="M1087" i="1"/>
  <c r="L1087" i="1"/>
  <c r="G1087" i="1"/>
  <c r="M1086" i="1"/>
  <c r="L1086" i="1"/>
  <c r="G1086" i="1"/>
  <c r="M1085" i="1"/>
  <c r="L1085" i="1"/>
  <c r="G1085" i="1"/>
  <c r="M1084" i="1"/>
  <c r="L1084" i="1"/>
  <c r="G1084" i="1"/>
  <c r="M1083" i="1"/>
  <c r="L1083" i="1"/>
  <c r="G1083" i="1"/>
  <c r="M1082" i="1"/>
  <c r="L1082" i="1"/>
  <c r="G1082" i="1"/>
  <c r="M1081" i="1"/>
  <c r="L1081" i="1"/>
  <c r="G1081" i="1"/>
  <c r="T1080" i="1"/>
  <c r="M1080" i="1"/>
  <c r="L1080" i="1"/>
  <c r="G1080" i="1"/>
  <c r="M1079" i="1"/>
  <c r="L1079" i="1"/>
  <c r="G1079" i="1"/>
  <c r="M1078" i="1"/>
  <c r="L1078" i="1"/>
  <c r="G1078" i="1"/>
  <c r="M1077" i="1"/>
  <c r="L1077" i="1"/>
  <c r="G1077" i="1"/>
  <c r="M1076" i="1"/>
  <c r="L1076" i="1"/>
  <c r="G1076" i="1"/>
  <c r="M1075" i="1"/>
  <c r="L1075" i="1"/>
  <c r="G1075" i="1"/>
  <c r="M1074" i="1"/>
  <c r="L1074" i="1"/>
  <c r="G1074" i="1"/>
  <c r="M1073" i="1"/>
  <c r="L1073" i="1"/>
  <c r="G1073" i="1"/>
  <c r="M1072" i="1"/>
  <c r="L1072" i="1"/>
  <c r="G1072" i="1"/>
  <c r="M1071" i="1"/>
  <c r="L1071" i="1"/>
  <c r="G1071" i="1"/>
  <c r="M1070" i="1"/>
  <c r="L1070" i="1"/>
  <c r="G1070" i="1"/>
  <c r="M1069" i="1"/>
  <c r="L1069" i="1"/>
  <c r="G1069" i="1"/>
  <c r="M1068" i="1"/>
  <c r="L1068" i="1"/>
  <c r="G1068" i="1"/>
  <c r="M1067" i="1"/>
  <c r="L1067" i="1"/>
  <c r="G1067" i="1"/>
  <c r="M1066" i="1"/>
  <c r="L1066" i="1"/>
  <c r="G1066" i="1"/>
  <c r="M1065" i="1"/>
  <c r="L1065" i="1"/>
  <c r="G1065" i="1"/>
  <c r="M1064" i="1"/>
  <c r="L1064" i="1"/>
  <c r="G1064" i="1"/>
  <c r="M1063" i="1"/>
  <c r="L1063" i="1"/>
  <c r="G1063" i="1"/>
  <c r="X1062" i="1"/>
  <c r="W1062" i="1"/>
  <c r="V1062" i="1"/>
  <c r="U1062" i="1"/>
  <c r="T1062" i="1"/>
  <c r="S1062" i="1"/>
  <c r="R1062" i="1"/>
  <c r="Q1062" i="1"/>
  <c r="P1062" i="1"/>
  <c r="O1062" i="1"/>
  <c r="N1062" i="1"/>
  <c r="M1062" i="1"/>
  <c r="L1062" i="1"/>
  <c r="K1062" i="1"/>
  <c r="J1062" i="1"/>
  <c r="I1062" i="1"/>
  <c r="H1062" i="1"/>
  <c r="G1062" i="1"/>
  <c r="F1062" i="1"/>
  <c r="E1062" i="1"/>
  <c r="D1062" i="1"/>
  <c r="X1061" i="1"/>
  <c r="W1061" i="1"/>
  <c r="V1061" i="1"/>
  <c r="U1061" i="1"/>
  <c r="T1061" i="1"/>
  <c r="S1061" i="1"/>
  <c r="R1061" i="1"/>
  <c r="Q1061" i="1"/>
  <c r="P1061" i="1"/>
  <c r="O1061" i="1"/>
  <c r="N1061" i="1"/>
  <c r="M1061" i="1"/>
  <c r="L1061" i="1"/>
  <c r="K1061" i="1"/>
  <c r="J1061" i="1"/>
  <c r="I1061" i="1"/>
  <c r="H1061" i="1"/>
  <c r="G1061" i="1"/>
  <c r="F1061" i="1"/>
  <c r="E1061" i="1"/>
  <c r="D1061" i="1"/>
  <c r="M1060" i="1"/>
  <c r="L1060" i="1"/>
  <c r="G1060" i="1"/>
  <c r="M1059" i="1"/>
  <c r="L1059" i="1"/>
  <c r="G1059" i="1"/>
  <c r="M1058" i="1"/>
  <c r="L1058" i="1"/>
  <c r="G1058" i="1"/>
  <c r="M1057" i="1"/>
  <c r="L1057" i="1"/>
  <c r="G1057" i="1"/>
  <c r="M1056" i="1"/>
  <c r="L1056" i="1"/>
  <c r="G1056" i="1"/>
  <c r="M1055" i="1"/>
  <c r="L1055" i="1"/>
  <c r="G1055" i="1"/>
  <c r="M1054" i="1"/>
  <c r="L1054" i="1"/>
  <c r="G1054" i="1"/>
  <c r="M1053" i="1"/>
  <c r="L1053" i="1"/>
  <c r="G1053" i="1"/>
  <c r="M1052" i="1"/>
  <c r="L1052" i="1"/>
  <c r="G1052" i="1"/>
  <c r="M1051" i="1"/>
  <c r="L1051" i="1"/>
  <c r="G1051" i="1"/>
  <c r="M1050" i="1"/>
  <c r="L1050" i="1"/>
  <c r="G1050" i="1"/>
  <c r="A1050" i="1"/>
  <c r="M1049" i="1"/>
  <c r="L1049" i="1"/>
  <c r="G1049" i="1"/>
  <c r="A1049" i="1"/>
  <c r="M1048" i="1"/>
  <c r="L1048" i="1"/>
  <c r="G1048" i="1"/>
  <c r="A1048" i="1"/>
  <c r="M1047" i="1"/>
  <c r="L1047" i="1"/>
  <c r="G1047" i="1"/>
  <c r="A1047" i="1"/>
  <c r="M1046" i="1"/>
  <c r="L1046" i="1"/>
  <c r="G1046" i="1"/>
  <c r="A1046" i="1"/>
  <c r="M1045" i="1"/>
  <c r="L1045" i="1"/>
  <c r="G1045" i="1"/>
  <c r="A1045" i="1"/>
  <c r="M1044" i="1"/>
  <c r="L1044" i="1"/>
  <c r="G1044" i="1"/>
  <c r="A1044" i="1"/>
  <c r="M1043" i="1"/>
  <c r="L1043" i="1"/>
  <c r="G1043" i="1"/>
  <c r="A1043" i="1"/>
  <c r="M1042" i="1"/>
  <c r="L1042" i="1"/>
  <c r="G1042" i="1"/>
  <c r="A1042" i="1"/>
  <c r="M1041" i="1"/>
  <c r="L1041" i="1"/>
  <c r="G1041" i="1"/>
  <c r="A1041" i="1"/>
  <c r="M1040" i="1"/>
  <c r="L1040" i="1"/>
  <c r="G1040" i="1"/>
  <c r="A1040" i="1"/>
  <c r="M1039" i="1"/>
  <c r="L1039" i="1"/>
  <c r="G1039" i="1"/>
  <c r="A1039" i="1"/>
  <c r="X1038" i="1"/>
  <c r="W1038" i="1"/>
  <c r="V1038" i="1"/>
  <c r="U1038" i="1"/>
  <c r="T1038" i="1"/>
  <c r="S1038" i="1"/>
  <c r="R1038" i="1"/>
  <c r="O1038" i="1"/>
  <c r="N1038" i="1"/>
  <c r="M1038" i="1"/>
  <c r="L1038" i="1"/>
  <c r="K1038" i="1"/>
  <c r="J1038" i="1"/>
  <c r="I1038" i="1"/>
  <c r="G1038" i="1"/>
  <c r="F1038" i="1"/>
  <c r="E1038" i="1"/>
  <c r="D1038" i="1"/>
  <c r="M1037" i="1"/>
  <c r="L1037" i="1"/>
  <c r="G1037" i="1"/>
  <c r="A1037" i="1"/>
  <c r="M1036" i="1"/>
  <c r="L1036" i="1"/>
  <c r="G1036" i="1"/>
  <c r="A1036" i="1"/>
  <c r="M1035" i="1"/>
  <c r="L1035" i="1"/>
  <c r="G1035" i="1"/>
  <c r="A1035" i="1"/>
  <c r="M1034" i="1"/>
  <c r="L1034" i="1"/>
  <c r="G1034" i="1"/>
  <c r="A1034" i="1"/>
  <c r="M1033" i="1"/>
  <c r="L1033" i="1"/>
  <c r="G1033" i="1"/>
  <c r="A1033" i="1"/>
  <c r="M1032" i="1"/>
  <c r="L1032" i="1"/>
  <c r="G1032" i="1"/>
  <c r="A1032" i="1"/>
  <c r="M1031" i="1"/>
  <c r="L1031" i="1"/>
  <c r="G1031" i="1"/>
  <c r="A1031" i="1"/>
  <c r="M1030" i="1"/>
  <c r="L1030" i="1"/>
  <c r="G1030" i="1"/>
  <c r="A1030" i="1"/>
  <c r="M1029" i="1"/>
  <c r="L1029" i="1"/>
  <c r="G1029" i="1"/>
  <c r="A1029" i="1"/>
  <c r="M1028" i="1"/>
  <c r="L1028" i="1"/>
  <c r="G1028" i="1"/>
  <c r="A1028" i="1"/>
  <c r="X1027" i="1"/>
  <c r="W1027" i="1"/>
  <c r="V1027" i="1"/>
  <c r="U1027" i="1"/>
  <c r="T1027" i="1"/>
  <c r="S1027" i="1"/>
  <c r="R1027" i="1"/>
  <c r="Q1027" i="1"/>
  <c r="P1027" i="1"/>
  <c r="O1027" i="1"/>
  <c r="N1027" i="1"/>
  <c r="M1027" i="1"/>
  <c r="L1027" i="1"/>
  <c r="K1027" i="1"/>
  <c r="J1027" i="1"/>
  <c r="I1027" i="1"/>
  <c r="H1027" i="1"/>
  <c r="G1027" i="1"/>
  <c r="F1027" i="1"/>
  <c r="E1027" i="1"/>
  <c r="D1027" i="1"/>
  <c r="M1026" i="1"/>
  <c r="L1026" i="1"/>
  <c r="G1026" i="1"/>
  <c r="M1025" i="1"/>
  <c r="L1025" i="1"/>
  <c r="G1025" i="1"/>
  <c r="M1024" i="1"/>
  <c r="L1024" i="1"/>
  <c r="G1024" i="1"/>
  <c r="M1023" i="1"/>
  <c r="L1023" i="1"/>
  <c r="G1023" i="1"/>
  <c r="A1023" i="1"/>
  <c r="M1022" i="1"/>
  <c r="L1022" i="1"/>
  <c r="G1022" i="1"/>
  <c r="A1022" i="1"/>
  <c r="M1021" i="1"/>
  <c r="L1021" i="1"/>
  <c r="G1021" i="1"/>
  <c r="A1021" i="1"/>
  <c r="M1020" i="1"/>
  <c r="L1020" i="1"/>
  <c r="G1020" i="1"/>
  <c r="A1020" i="1"/>
  <c r="M1019" i="1"/>
  <c r="L1019" i="1"/>
  <c r="G1019" i="1"/>
  <c r="A1019" i="1"/>
  <c r="M1018" i="1"/>
  <c r="L1018" i="1"/>
  <c r="G1018" i="1"/>
  <c r="M1017" i="1"/>
  <c r="L1017" i="1"/>
  <c r="G1017" i="1"/>
  <c r="M1016" i="1"/>
  <c r="L1016" i="1"/>
  <c r="G1016" i="1"/>
  <c r="M1015" i="1"/>
  <c r="L1015" i="1"/>
  <c r="G1015" i="1"/>
  <c r="M1014" i="1"/>
  <c r="L1014" i="1"/>
  <c r="G1014" i="1"/>
  <c r="M1013" i="1"/>
  <c r="L1013" i="1"/>
  <c r="G1013" i="1"/>
  <c r="A1013" i="1"/>
  <c r="M1012" i="1"/>
  <c r="L1012" i="1"/>
  <c r="G1012" i="1"/>
  <c r="A1012" i="1"/>
  <c r="M1011" i="1"/>
  <c r="L1011" i="1"/>
  <c r="G1011" i="1"/>
  <c r="A1011" i="1"/>
  <c r="M1010" i="1"/>
  <c r="L1010" i="1"/>
  <c r="G1010" i="1"/>
  <c r="A1010" i="1"/>
  <c r="M1009" i="1"/>
  <c r="L1009" i="1"/>
  <c r="G1009" i="1"/>
  <c r="A1009" i="1"/>
  <c r="X1008" i="1"/>
  <c r="W1008" i="1"/>
  <c r="V1008" i="1"/>
  <c r="U1008" i="1"/>
  <c r="T1008" i="1"/>
  <c r="S1008" i="1"/>
  <c r="R1008" i="1"/>
  <c r="Q1008" i="1"/>
  <c r="P1008" i="1"/>
  <c r="O1008" i="1"/>
  <c r="N1008" i="1"/>
  <c r="M1008" i="1"/>
  <c r="L1008" i="1"/>
  <c r="K1008" i="1"/>
  <c r="J1008" i="1"/>
  <c r="I1008" i="1"/>
  <c r="H1008" i="1"/>
  <c r="G1008" i="1"/>
  <c r="F1008" i="1"/>
  <c r="E1008" i="1"/>
  <c r="D1008" i="1"/>
  <c r="M1007" i="1"/>
  <c r="L1007" i="1"/>
  <c r="G1007" i="1"/>
  <c r="A1007" i="1"/>
  <c r="M1006" i="1"/>
  <c r="L1006" i="1"/>
  <c r="G1006" i="1"/>
  <c r="A1006" i="1"/>
  <c r="M1005" i="1"/>
  <c r="L1005" i="1"/>
  <c r="G1005" i="1"/>
  <c r="A1005" i="1"/>
  <c r="M1004" i="1"/>
  <c r="L1004" i="1"/>
  <c r="G1004" i="1"/>
  <c r="A1004" i="1"/>
  <c r="M1003" i="1"/>
  <c r="L1003" i="1"/>
  <c r="G1003" i="1"/>
  <c r="A1003" i="1"/>
  <c r="M1002" i="1"/>
  <c r="L1002" i="1"/>
  <c r="G1002" i="1"/>
  <c r="A1002" i="1"/>
  <c r="M1001" i="1"/>
  <c r="L1001" i="1"/>
  <c r="G1001" i="1"/>
  <c r="M1000" i="1"/>
  <c r="L1000" i="1"/>
  <c r="G1000" i="1"/>
  <c r="A1000" i="1"/>
  <c r="M999" i="1"/>
  <c r="L999" i="1"/>
  <c r="G999" i="1"/>
  <c r="A999" i="1"/>
  <c r="M998" i="1"/>
  <c r="L998" i="1"/>
  <c r="G998" i="1"/>
  <c r="A998" i="1"/>
  <c r="M997" i="1"/>
  <c r="L997" i="1"/>
  <c r="G997" i="1"/>
  <c r="A997" i="1"/>
  <c r="X996" i="1"/>
  <c r="W996" i="1"/>
  <c r="V996" i="1"/>
  <c r="U996" i="1"/>
  <c r="T996" i="1"/>
  <c r="S996" i="1"/>
  <c r="R996" i="1"/>
  <c r="Q996" i="1"/>
  <c r="P996" i="1"/>
  <c r="O996" i="1"/>
  <c r="N996" i="1"/>
  <c r="M996" i="1"/>
  <c r="L996" i="1"/>
  <c r="K996" i="1"/>
  <c r="J996" i="1"/>
  <c r="I996" i="1"/>
  <c r="H996" i="1"/>
  <c r="G996" i="1"/>
  <c r="F996" i="1"/>
  <c r="E996" i="1"/>
  <c r="D996" i="1"/>
  <c r="M995" i="1"/>
  <c r="L995" i="1"/>
  <c r="G995" i="1"/>
  <c r="M994" i="1"/>
  <c r="L994" i="1"/>
  <c r="G994" i="1"/>
  <c r="M993" i="1"/>
  <c r="L993" i="1"/>
  <c r="G993" i="1"/>
  <c r="M992" i="1"/>
  <c r="L992" i="1"/>
  <c r="G992" i="1"/>
  <c r="M991" i="1"/>
  <c r="L991" i="1"/>
  <c r="G991" i="1"/>
  <c r="M990" i="1"/>
  <c r="L990" i="1"/>
  <c r="G990" i="1"/>
  <c r="M989" i="1"/>
  <c r="L989" i="1"/>
  <c r="G989" i="1"/>
  <c r="M988" i="1"/>
  <c r="L988" i="1"/>
  <c r="G988" i="1"/>
  <c r="M987" i="1"/>
  <c r="L987" i="1"/>
  <c r="G987" i="1"/>
  <c r="M986" i="1"/>
  <c r="L986" i="1"/>
  <c r="G986" i="1"/>
  <c r="M985" i="1"/>
  <c r="L985" i="1"/>
  <c r="G985" i="1"/>
  <c r="A985" i="1"/>
  <c r="M984" i="1"/>
  <c r="L984" i="1"/>
  <c r="G984" i="1"/>
  <c r="A984" i="1"/>
  <c r="M983" i="1"/>
  <c r="L983" i="1"/>
  <c r="G983" i="1"/>
  <c r="M982" i="1"/>
  <c r="L982" i="1"/>
  <c r="G982" i="1"/>
  <c r="M981" i="1"/>
  <c r="L981" i="1"/>
  <c r="G981" i="1"/>
  <c r="M980" i="1"/>
  <c r="L980" i="1"/>
  <c r="G980" i="1"/>
  <c r="A980" i="1"/>
  <c r="M979" i="1"/>
  <c r="L979" i="1"/>
  <c r="G979" i="1"/>
  <c r="A979" i="1"/>
  <c r="M978" i="1"/>
  <c r="L978" i="1"/>
  <c r="G978" i="1"/>
  <c r="A978" i="1"/>
  <c r="M977" i="1"/>
  <c r="L977" i="1"/>
  <c r="G977" i="1"/>
  <c r="M976" i="1"/>
  <c r="L976" i="1"/>
  <c r="G976" i="1"/>
  <c r="M975" i="1"/>
  <c r="L975" i="1"/>
  <c r="G975" i="1"/>
  <c r="A975" i="1"/>
  <c r="M974" i="1"/>
  <c r="L974" i="1"/>
  <c r="G974" i="1"/>
  <c r="A974" i="1"/>
  <c r="M973" i="1"/>
  <c r="L973" i="1"/>
  <c r="G973" i="1"/>
  <c r="A973" i="1"/>
  <c r="M972" i="1"/>
  <c r="L972" i="1"/>
  <c r="G972" i="1"/>
  <c r="A972" i="1"/>
  <c r="X971" i="1"/>
  <c r="W971" i="1"/>
  <c r="V971" i="1"/>
  <c r="U971" i="1"/>
  <c r="T971" i="1"/>
  <c r="S971" i="1"/>
  <c r="R971" i="1"/>
  <c r="O971" i="1"/>
  <c r="N971" i="1"/>
  <c r="M971" i="1"/>
  <c r="L971" i="1"/>
  <c r="K971" i="1"/>
  <c r="J971" i="1"/>
  <c r="I971" i="1"/>
  <c r="G971" i="1"/>
  <c r="F971" i="1"/>
  <c r="E971" i="1"/>
  <c r="D971" i="1"/>
  <c r="M970" i="1"/>
  <c r="L970" i="1"/>
  <c r="G970" i="1"/>
  <c r="A970" i="1"/>
  <c r="M969" i="1"/>
  <c r="L969" i="1"/>
  <c r="G969" i="1"/>
  <c r="A969" i="1"/>
  <c r="M968" i="1"/>
  <c r="L968" i="1"/>
  <c r="G968" i="1"/>
  <c r="A968" i="1"/>
  <c r="M967" i="1"/>
  <c r="L967" i="1"/>
  <c r="G967" i="1"/>
  <c r="A967" i="1"/>
  <c r="M966" i="1"/>
  <c r="L966" i="1"/>
  <c r="G966" i="1"/>
  <c r="A966" i="1"/>
  <c r="M965" i="1"/>
  <c r="L965" i="1"/>
  <c r="G965" i="1"/>
  <c r="A965" i="1"/>
  <c r="M964" i="1"/>
  <c r="L964" i="1"/>
  <c r="G964" i="1"/>
  <c r="A964" i="1"/>
  <c r="M963" i="1"/>
  <c r="L963" i="1"/>
  <c r="G963" i="1"/>
  <c r="A963" i="1"/>
  <c r="M962" i="1"/>
  <c r="L962" i="1"/>
  <c r="G962" i="1"/>
  <c r="A962" i="1"/>
  <c r="X961" i="1"/>
  <c r="W961" i="1"/>
  <c r="V961" i="1"/>
  <c r="U961" i="1"/>
  <c r="T961" i="1"/>
  <c r="S961" i="1"/>
  <c r="R961" i="1"/>
  <c r="Q961" i="1"/>
  <c r="P961" i="1"/>
  <c r="O961" i="1"/>
  <c r="N961" i="1"/>
  <c r="M961" i="1"/>
  <c r="L961" i="1"/>
  <c r="K961" i="1"/>
  <c r="J961" i="1"/>
  <c r="I961" i="1"/>
  <c r="H961" i="1"/>
  <c r="G961" i="1"/>
  <c r="F961" i="1"/>
  <c r="E961" i="1"/>
  <c r="D961" i="1"/>
  <c r="M960" i="1"/>
  <c r="L960" i="1"/>
  <c r="G960" i="1"/>
  <c r="M959" i="1"/>
  <c r="L959" i="1"/>
  <c r="G959" i="1"/>
  <c r="M958" i="1"/>
  <c r="L958" i="1"/>
  <c r="G958" i="1"/>
  <c r="M957" i="1"/>
  <c r="L957" i="1"/>
  <c r="G957" i="1"/>
  <c r="M956" i="1"/>
  <c r="L956" i="1"/>
  <c r="G956" i="1"/>
  <c r="M955" i="1"/>
  <c r="L955" i="1"/>
  <c r="G955" i="1"/>
  <c r="M954" i="1"/>
  <c r="L954" i="1"/>
  <c r="G954" i="1"/>
  <c r="M953" i="1"/>
  <c r="L953" i="1"/>
  <c r="G953" i="1"/>
  <c r="M952" i="1"/>
  <c r="L952" i="1"/>
  <c r="G952" i="1"/>
  <c r="M951" i="1"/>
  <c r="L951" i="1"/>
  <c r="G951" i="1"/>
  <c r="M950" i="1"/>
  <c r="L950" i="1"/>
  <c r="G950" i="1"/>
  <c r="M949" i="1"/>
  <c r="L949" i="1"/>
  <c r="G949" i="1"/>
  <c r="M948" i="1"/>
  <c r="L948" i="1"/>
  <c r="G948" i="1"/>
  <c r="M947" i="1"/>
  <c r="L947" i="1"/>
  <c r="G947" i="1"/>
  <c r="M946" i="1"/>
  <c r="L946" i="1"/>
  <c r="G946" i="1"/>
  <c r="M945" i="1"/>
  <c r="L945" i="1"/>
  <c r="G945" i="1"/>
  <c r="M944" i="1"/>
  <c r="L944" i="1"/>
  <c r="G944" i="1"/>
  <c r="U943" i="1"/>
  <c r="M943" i="1"/>
  <c r="L943" i="1"/>
  <c r="G943" i="1"/>
  <c r="A943" i="1"/>
  <c r="U942" i="1"/>
  <c r="M942" i="1"/>
  <c r="L942" i="1"/>
  <c r="G942" i="1"/>
  <c r="A942" i="1"/>
  <c r="M941" i="1"/>
  <c r="L941" i="1"/>
  <c r="G941" i="1"/>
  <c r="M940" i="1"/>
  <c r="L940" i="1"/>
  <c r="G940" i="1"/>
  <c r="M939" i="1"/>
  <c r="L939" i="1"/>
  <c r="G939" i="1"/>
  <c r="A939" i="1"/>
  <c r="M938" i="1"/>
  <c r="L938" i="1"/>
  <c r="G938" i="1"/>
  <c r="A938" i="1"/>
  <c r="M937" i="1"/>
  <c r="L937" i="1"/>
  <c r="G937" i="1"/>
  <c r="A937" i="1"/>
  <c r="M936" i="1"/>
  <c r="L936" i="1"/>
  <c r="G936" i="1"/>
  <c r="A936" i="1"/>
  <c r="M935" i="1"/>
  <c r="L935" i="1"/>
  <c r="G935" i="1"/>
  <c r="A935" i="1"/>
  <c r="M934" i="1"/>
  <c r="L934" i="1"/>
  <c r="G934" i="1"/>
  <c r="A934" i="1"/>
  <c r="M933" i="1"/>
  <c r="L933" i="1"/>
  <c r="G933" i="1"/>
  <c r="A933" i="1"/>
  <c r="M932" i="1"/>
  <c r="L932" i="1"/>
  <c r="G932" i="1"/>
  <c r="A932" i="1"/>
  <c r="X931" i="1"/>
  <c r="W931" i="1"/>
  <c r="V931" i="1"/>
  <c r="U931" i="1"/>
  <c r="T931" i="1"/>
  <c r="S931" i="1"/>
  <c r="R931" i="1"/>
  <c r="Q931" i="1"/>
  <c r="P931" i="1"/>
  <c r="O931" i="1"/>
  <c r="N931" i="1"/>
  <c r="M931" i="1"/>
  <c r="L931" i="1"/>
  <c r="K931" i="1"/>
  <c r="J931" i="1"/>
  <c r="I931" i="1"/>
  <c r="H931" i="1"/>
  <c r="G931" i="1"/>
  <c r="F931" i="1"/>
  <c r="E931" i="1"/>
  <c r="D931" i="1"/>
  <c r="M930" i="1"/>
  <c r="L930" i="1"/>
  <c r="G930" i="1"/>
  <c r="M929" i="1"/>
  <c r="L929" i="1"/>
  <c r="G929" i="1"/>
  <c r="M928" i="1"/>
  <c r="L928" i="1"/>
  <c r="G928" i="1"/>
  <c r="M927" i="1"/>
  <c r="L927" i="1"/>
  <c r="G927" i="1"/>
  <c r="M926" i="1"/>
  <c r="L926" i="1"/>
  <c r="G926" i="1"/>
  <c r="M925" i="1"/>
  <c r="L925" i="1"/>
  <c r="G925" i="1"/>
  <c r="A925" i="1"/>
  <c r="M924" i="1"/>
  <c r="L924" i="1"/>
  <c r="G924" i="1"/>
  <c r="A924" i="1"/>
  <c r="M923" i="1"/>
  <c r="L923" i="1"/>
  <c r="G923" i="1"/>
  <c r="A923" i="1"/>
  <c r="M922" i="1"/>
  <c r="L922" i="1"/>
  <c r="G922" i="1"/>
  <c r="A922" i="1"/>
  <c r="M921" i="1"/>
  <c r="L921" i="1"/>
  <c r="G921" i="1"/>
  <c r="A921" i="1"/>
  <c r="M920" i="1"/>
  <c r="L920" i="1"/>
  <c r="G920" i="1"/>
  <c r="M919" i="1"/>
  <c r="L919" i="1"/>
  <c r="G919" i="1"/>
  <c r="A919" i="1"/>
  <c r="M918" i="1"/>
  <c r="L918" i="1"/>
  <c r="G918" i="1"/>
  <c r="A918" i="1"/>
  <c r="M917" i="1"/>
  <c r="L917" i="1"/>
  <c r="G917" i="1"/>
  <c r="A917" i="1"/>
  <c r="M916" i="1"/>
  <c r="L916" i="1"/>
  <c r="G916" i="1"/>
  <c r="A916" i="1"/>
  <c r="X915" i="1"/>
  <c r="W915" i="1"/>
  <c r="V915" i="1"/>
  <c r="U915" i="1"/>
  <c r="T915" i="1"/>
  <c r="S915" i="1"/>
  <c r="R915" i="1"/>
  <c r="Q915" i="1"/>
  <c r="P915" i="1"/>
  <c r="O915" i="1"/>
  <c r="N915" i="1"/>
  <c r="M915" i="1"/>
  <c r="L915" i="1"/>
  <c r="K915" i="1"/>
  <c r="J915" i="1"/>
  <c r="I915" i="1"/>
  <c r="H915" i="1"/>
  <c r="G915" i="1"/>
  <c r="F915" i="1"/>
  <c r="E915" i="1"/>
  <c r="D915" i="1"/>
  <c r="M914" i="1"/>
  <c r="L914" i="1"/>
  <c r="G914" i="1"/>
  <c r="A914" i="1"/>
  <c r="M913" i="1"/>
  <c r="L913" i="1"/>
  <c r="G913" i="1"/>
  <c r="A913" i="1"/>
  <c r="M912" i="1"/>
  <c r="L912" i="1"/>
  <c r="G912" i="1"/>
  <c r="A912" i="1"/>
  <c r="M911" i="1"/>
  <c r="L911" i="1"/>
  <c r="G911" i="1"/>
  <c r="A911" i="1"/>
  <c r="M910" i="1"/>
  <c r="L910" i="1"/>
  <c r="G910" i="1"/>
  <c r="A910" i="1"/>
  <c r="M909" i="1"/>
  <c r="L909" i="1"/>
  <c r="G909" i="1"/>
  <c r="A909" i="1"/>
  <c r="M908" i="1"/>
  <c r="L908" i="1"/>
  <c r="G908" i="1"/>
  <c r="M907" i="1"/>
  <c r="L907" i="1"/>
  <c r="G907" i="1"/>
  <c r="U906" i="1"/>
  <c r="M906" i="1"/>
  <c r="L906" i="1"/>
  <c r="G906" i="1"/>
  <c r="M905" i="1"/>
  <c r="L905" i="1"/>
  <c r="G905" i="1"/>
  <c r="M904" i="1"/>
  <c r="L904" i="1"/>
  <c r="G904" i="1"/>
  <c r="A904" i="1"/>
  <c r="M903" i="1"/>
  <c r="L903" i="1"/>
  <c r="G903" i="1"/>
  <c r="A903" i="1"/>
  <c r="M902" i="1"/>
  <c r="L902" i="1"/>
  <c r="G902" i="1"/>
  <c r="A902" i="1"/>
  <c r="M901" i="1"/>
  <c r="L901" i="1"/>
  <c r="G901" i="1"/>
  <c r="A901" i="1"/>
  <c r="M900" i="1"/>
  <c r="L900" i="1"/>
  <c r="G900" i="1"/>
  <c r="A900" i="1"/>
  <c r="M899" i="1"/>
  <c r="L899" i="1"/>
  <c r="G899" i="1"/>
  <c r="A899" i="1"/>
  <c r="M898" i="1"/>
  <c r="L898" i="1"/>
  <c r="G898" i="1"/>
  <c r="A898" i="1"/>
  <c r="X897" i="1"/>
  <c r="W897" i="1"/>
  <c r="V897" i="1"/>
  <c r="U897" i="1"/>
  <c r="T897" i="1"/>
  <c r="S897" i="1"/>
  <c r="R897" i="1"/>
  <c r="Q897" i="1"/>
  <c r="P897" i="1"/>
  <c r="O897" i="1"/>
  <c r="N897" i="1"/>
  <c r="M897" i="1"/>
  <c r="L897" i="1"/>
  <c r="K897" i="1"/>
  <c r="J897" i="1"/>
  <c r="I897" i="1"/>
  <c r="H897" i="1"/>
  <c r="G897" i="1"/>
  <c r="F897" i="1"/>
  <c r="E897" i="1"/>
  <c r="D897" i="1"/>
  <c r="M896" i="1"/>
  <c r="L896" i="1"/>
  <c r="G896" i="1"/>
  <c r="A896" i="1"/>
  <c r="M895" i="1"/>
  <c r="L895" i="1"/>
  <c r="G895" i="1"/>
  <c r="M894" i="1"/>
  <c r="L894" i="1"/>
  <c r="G894" i="1"/>
  <c r="M893" i="1"/>
  <c r="L893" i="1"/>
  <c r="G893" i="1"/>
  <c r="M892" i="1"/>
  <c r="L892" i="1"/>
  <c r="G892" i="1"/>
  <c r="M891" i="1"/>
  <c r="L891" i="1"/>
  <c r="G891" i="1"/>
  <c r="M890" i="1"/>
  <c r="L890" i="1"/>
  <c r="G890" i="1"/>
  <c r="M889" i="1"/>
  <c r="L889" i="1"/>
  <c r="G889" i="1"/>
  <c r="M888" i="1"/>
  <c r="L888" i="1"/>
  <c r="G888" i="1"/>
  <c r="M887" i="1"/>
  <c r="L887" i="1"/>
  <c r="G887" i="1"/>
  <c r="A887" i="1"/>
  <c r="M886" i="1"/>
  <c r="L886" i="1"/>
  <c r="G886" i="1"/>
  <c r="A886" i="1"/>
  <c r="M885" i="1"/>
  <c r="L885" i="1"/>
  <c r="G885" i="1"/>
  <c r="A885" i="1"/>
  <c r="M884" i="1"/>
  <c r="L884" i="1"/>
  <c r="G884" i="1"/>
  <c r="A884" i="1"/>
  <c r="M883" i="1"/>
  <c r="L883" i="1"/>
  <c r="G883" i="1"/>
  <c r="A883" i="1"/>
  <c r="M882" i="1"/>
  <c r="L882" i="1"/>
  <c r="G882" i="1"/>
  <c r="M881" i="1"/>
  <c r="L881" i="1"/>
  <c r="G881" i="1"/>
  <c r="M880" i="1"/>
  <c r="L880" i="1"/>
  <c r="G880" i="1"/>
  <c r="U879" i="1"/>
  <c r="M879" i="1"/>
  <c r="L879" i="1"/>
  <c r="G879" i="1"/>
  <c r="A879" i="1"/>
  <c r="U878" i="1"/>
  <c r="M878" i="1"/>
  <c r="L878" i="1"/>
  <c r="G878" i="1"/>
  <c r="A878" i="1"/>
  <c r="U877" i="1"/>
  <c r="M877" i="1"/>
  <c r="L877" i="1"/>
  <c r="G877" i="1"/>
  <c r="A877" i="1"/>
  <c r="U876" i="1"/>
  <c r="M876" i="1"/>
  <c r="L876" i="1"/>
  <c r="G876" i="1"/>
  <c r="A876" i="1"/>
  <c r="U875" i="1"/>
  <c r="M875" i="1"/>
  <c r="L875" i="1"/>
  <c r="G875" i="1"/>
  <c r="A875" i="1"/>
  <c r="M874" i="1"/>
  <c r="L874" i="1"/>
  <c r="G874" i="1"/>
  <c r="A874" i="1"/>
  <c r="M873" i="1"/>
  <c r="L873" i="1"/>
  <c r="G873" i="1"/>
  <c r="A873" i="1"/>
  <c r="M872" i="1"/>
  <c r="L872" i="1"/>
  <c r="G872" i="1"/>
  <c r="A872" i="1"/>
  <c r="M871" i="1"/>
  <c r="L871" i="1"/>
  <c r="G871" i="1"/>
  <c r="A871" i="1"/>
  <c r="M870" i="1"/>
  <c r="L870" i="1"/>
  <c r="G870" i="1"/>
  <c r="A870" i="1"/>
  <c r="M869" i="1"/>
  <c r="L869" i="1"/>
  <c r="G869" i="1"/>
  <c r="A869" i="1"/>
  <c r="M868" i="1"/>
  <c r="L868" i="1"/>
  <c r="G868" i="1"/>
  <c r="Q866" i="1"/>
  <c r="P866" i="1"/>
  <c r="O866" i="1"/>
  <c r="N866" i="1"/>
  <c r="M866" i="1"/>
  <c r="L866" i="1"/>
  <c r="K866" i="1"/>
  <c r="J866" i="1"/>
  <c r="I866" i="1"/>
  <c r="H866" i="1"/>
  <c r="G866" i="1"/>
  <c r="F866" i="1"/>
  <c r="E866" i="1"/>
  <c r="D866" i="1"/>
  <c r="X865" i="1"/>
  <c r="W865" i="1"/>
  <c r="V865" i="1"/>
  <c r="U865" i="1"/>
  <c r="T865" i="1"/>
  <c r="S865" i="1"/>
  <c r="R865" i="1"/>
  <c r="Q865" i="1"/>
  <c r="P865" i="1"/>
  <c r="O865" i="1"/>
  <c r="N865" i="1"/>
  <c r="M865" i="1"/>
  <c r="L865" i="1"/>
  <c r="K865" i="1"/>
  <c r="J865" i="1"/>
  <c r="I865" i="1"/>
  <c r="H865" i="1"/>
  <c r="G865" i="1"/>
  <c r="F865" i="1"/>
  <c r="E865" i="1"/>
  <c r="D865" i="1"/>
  <c r="M864" i="1"/>
  <c r="L864" i="1"/>
  <c r="G864" i="1"/>
  <c r="M863" i="1"/>
  <c r="L863" i="1"/>
  <c r="G863" i="1"/>
  <c r="M862" i="1"/>
  <c r="L862" i="1"/>
  <c r="G862" i="1"/>
  <c r="M861" i="1"/>
  <c r="L861" i="1"/>
  <c r="G861" i="1"/>
  <c r="M860" i="1"/>
  <c r="L860" i="1"/>
  <c r="G860" i="1"/>
  <c r="M859" i="1"/>
  <c r="L859" i="1"/>
  <c r="G859" i="1"/>
  <c r="M858" i="1"/>
  <c r="L858" i="1"/>
  <c r="G858" i="1"/>
  <c r="M857" i="1"/>
  <c r="L857" i="1"/>
  <c r="G857" i="1"/>
  <c r="M856" i="1"/>
  <c r="L856" i="1"/>
  <c r="G856" i="1"/>
  <c r="M855" i="1"/>
  <c r="L855" i="1"/>
  <c r="G855" i="1"/>
  <c r="M854" i="1"/>
  <c r="L854" i="1"/>
  <c r="G854" i="1"/>
  <c r="M853" i="1"/>
  <c r="L853" i="1"/>
  <c r="G853" i="1"/>
  <c r="M852" i="1"/>
  <c r="L852" i="1"/>
  <c r="G852" i="1"/>
  <c r="X851" i="1"/>
  <c r="W851" i="1"/>
  <c r="V851" i="1"/>
  <c r="U851" i="1"/>
  <c r="T851" i="1"/>
  <c r="S851" i="1"/>
  <c r="R851" i="1"/>
  <c r="Q851" i="1"/>
  <c r="P851" i="1"/>
  <c r="O851" i="1"/>
  <c r="N851" i="1"/>
  <c r="M851" i="1"/>
  <c r="L851" i="1"/>
  <c r="K851" i="1"/>
  <c r="J851" i="1"/>
  <c r="I851" i="1"/>
  <c r="H851" i="1"/>
  <c r="G851" i="1"/>
  <c r="F851" i="1"/>
  <c r="E851" i="1"/>
  <c r="D851" i="1"/>
  <c r="M850" i="1"/>
  <c r="L850" i="1"/>
  <c r="G850" i="1"/>
  <c r="M849" i="1"/>
  <c r="L849" i="1"/>
  <c r="G849" i="1"/>
  <c r="M848" i="1"/>
  <c r="L848" i="1"/>
  <c r="G848" i="1"/>
  <c r="M847" i="1"/>
  <c r="L847" i="1"/>
  <c r="G847" i="1"/>
  <c r="M846" i="1"/>
  <c r="L846" i="1"/>
  <c r="G846" i="1"/>
  <c r="M845" i="1"/>
  <c r="L845" i="1"/>
  <c r="G845" i="1"/>
  <c r="M844" i="1"/>
  <c r="L844" i="1"/>
  <c r="G844" i="1"/>
  <c r="M843" i="1"/>
  <c r="L843" i="1"/>
  <c r="G843" i="1"/>
  <c r="M842" i="1"/>
  <c r="L842" i="1"/>
  <c r="G842" i="1"/>
  <c r="M841" i="1"/>
  <c r="L841" i="1"/>
  <c r="G841" i="1"/>
  <c r="M840" i="1"/>
  <c r="L840" i="1"/>
  <c r="G840" i="1"/>
  <c r="M839" i="1"/>
  <c r="L839" i="1"/>
  <c r="G839" i="1"/>
  <c r="M838" i="1"/>
  <c r="L838" i="1"/>
  <c r="G838" i="1"/>
  <c r="X837" i="1"/>
  <c r="W837" i="1"/>
  <c r="V837" i="1"/>
  <c r="U837" i="1"/>
  <c r="T837" i="1"/>
  <c r="S837" i="1"/>
  <c r="R837" i="1"/>
  <c r="Q837" i="1"/>
  <c r="P837" i="1"/>
  <c r="O837" i="1"/>
  <c r="N837" i="1"/>
  <c r="M837" i="1"/>
  <c r="L837" i="1"/>
  <c r="K837" i="1"/>
  <c r="J837" i="1"/>
  <c r="I837" i="1"/>
  <c r="H837" i="1"/>
  <c r="G837" i="1"/>
  <c r="F837" i="1"/>
  <c r="E837" i="1"/>
  <c r="D837" i="1"/>
  <c r="M836" i="1"/>
  <c r="L836" i="1"/>
  <c r="G836" i="1"/>
  <c r="M835" i="1"/>
  <c r="L835" i="1"/>
  <c r="G835" i="1"/>
  <c r="M834" i="1"/>
  <c r="L834" i="1"/>
  <c r="G834" i="1"/>
  <c r="M833" i="1"/>
  <c r="L833" i="1"/>
  <c r="G833" i="1"/>
  <c r="M832" i="1"/>
  <c r="L832" i="1"/>
  <c r="G832" i="1"/>
  <c r="M831" i="1"/>
  <c r="L831" i="1"/>
  <c r="G831" i="1"/>
  <c r="M830" i="1"/>
  <c r="L830" i="1"/>
  <c r="G830" i="1"/>
  <c r="M829" i="1"/>
  <c r="L829" i="1"/>
  <c r="G829" i="1"/>
  <c r="M828" i="1"/>
  <c r="L828" i="1"/>
  <c r="G828" i="1"/>
  <c r="M827" i="1"/>
  <c r="L827" i="1"/>
  <c r="G827" i="1"/>
  <c r="M826" i="1"/>
  <c r="L826" i="1"/>
  <c r="G826" i="1"/>
  <c r="X825" i="1"/>
  <c r="W825" i="1"/>
  <c r="V825" i="1"/>
  <c r="U825" i="1"/>
  <c r="T825" i="1"/>
  <c r="S825" i="1"/>
  <c r="R825" i="1"/>
  <c r="Q825" i="1"/>
  <c r="P825" i="1"/>
  <c r="O825" i="1"/>
  <c r="N825" i="1"/>
  <c r="M825" i="1"/>
  <c r="L825" i="1"/>
  <c r="K825" i="1"/>
  <c r="J825" i="1"/>
  <c r="I825" i="1"/>
  <c r="H825" i="1"/>
  <c r="G825" i="1"/>
  <c r="F825" i="1"/>
  <c r="E825" i="1"/>
  <c r="D825" i="1"/>
  <c r="M824" i="1"/>
  <c r="L824" i="1"/>
  <c r="G824" i="1"/>
  <c r="M823" i="1"/>
  <c r="L823" i="1"/>
  <c r="G823" i="1"/>
  <c r="M822" i="1"/>
  <c r="L822" i="1"/>
  <c r="G822" i="1"/>
  <c r="M821" i="1"/>
  <c r="L821" i="1"/>
  <c r="G821" i="1"/>
  <c r="M820" i="1"/>
  <c r="L820" i="1"/>
  <c r="G820" i="1"/>
  <c r="M819" i="1"/>
  <c r="L819" i="1"/>
  <c r="G819" i="1"/>
  <c r="M818" i="1"/>
  <c r="L818" i="1"/>
  <c r="G818" i="1"/>
  <c r="M817" i="1"/>
  <c r="L817" i="1"/>
  <c r="G817" i="1"/>
  <c r="M816" i="1"/>
  <c r="L816" i="1"/>
  <c r="G816" i="1"/>
  <c r="M815" i="1"/>
  <c r="L815" i="1"/>
  <c r="G815" i="1"/>
  <c r="M814" i="1"/>
  <c r="L814" i="1"/>
  <c r="G814" i="1"/>
  <c r="M813" i="1"/>
  <c r="L813" i="1"/>
  <c r="G813" i="1"/>
  <c r="M812" i="1"/>
  <c r="L812" i="1"/>
  <c r="G812" i="1"/>
  <c r="M811" i="1"/>
  <c r="L811" i="1"/>
  <c r="G811" i="1"/>
  <c r="M810" i="1"/>
  <c r="L810" i="1"/>
  <c r="G810" i="1"/>
  <c r="M809" i="1"/>
  <c r="L809" i="1"/>
  <c r="G809" i="1"/>
  <c r="X808" i="1"/>
  <c r="W808" i="1"/>
  <c r="V808" i="1"/>
  <c r="U808" i="1"/>
  <c r="T808" i="1"/>
  <c r="S808" i="1"/>
  <c r="R808" i="1"/>
  <c r="Q808" i="1"/>
  <c r="P808" i="1"/>
  <c r="O808" i="1"/>
  <c r="N808" i="1"/>
  <c r="M808" i="1"/>
  <c r="L808" i="1"/>
  <c r="K808" i="1"/>
  <c r="J808" i="1"/>
  <c r="I808" i="1"/>
  <c r="H808" i="1"/>
  <c r="G808" i="1"/>
  <c r="F808" i="1"/>
  <c r="E808" i="1"/>
  <c r="D808" i="1"/>
  <c r="M807" i="1"/>
  <c r="L807" i="1"/>
  <c r="G807" i="1"/>
  <c r="M806" i="1"/>
  <c r="L806" i="1"/>
  <c r="G806" i="1"/>
  <c r="M805" i="1"/>
  <c r="L805" i="1"/>
  <c r="G805" i="1"/>
  <c r="M804" i="1"/>
  <c r="L804" i="1"/>
  <c r="G804" i="1"/>
  <c r="M803" i="1"/>
  <c r="L803" i="1"/>
  <c r="G803" i="1"/>
  <c r="M802" i="1"/>
  <c r="L802" i="1"/>
  <c r="G802" i="1"/>
  <c r="M801" i="1"/>
  <c r="L801" i="1"/>
  <c r="G801" i="1"/>
  <c r="X800" i="1"/>
  <c r="W800" i="1"/>
  <c r="V800" i="1"/>
  <c r="U800" i="1"/>
  <c r="T800" i="1"/>
  <c r="S800" i="1"/>
  <c r="R800" i="1"/>
  <c r="Q800" i="1"/>
  <c r="P800" i="1"/>
  <c r="O800" i="1"/>
  <c r="N800" i="1"/>
  <c r="M800" i="1"/>
  <c r="L800" i="1"/>
  <c r="K800" i="1"/>
  <c r="J800" i="1"/>
  <c r="I800" i="1"/>
  <c r="H800" i="1"/>
  <c r="G800" i="1"/>
  <c r="F800" i="1"/>
  <c r="E800" i="1"/>
  <c r="D800" i="1"/>
  <c r="M799" i="1"/>
  <c r="L799" i="1"/>
  <c r="G799" i="1"/>
  <c r="M798" i="1"/>
  <c r="L798" i="1"/>
  <c r="G798" i="1"/>
  <c r="M797" i="1"/>
  <c r="L797" i="1"/>
  <c r="G797" i="1"/>
  <c r="M796" i="1"/>
  <c r="L796" i="1"/>
  <c r="G796" i="1"/>
  <c r="M795" i="1"/>
  <c r="L795" i="1"/>
  <c r="G795" i="1"/>
  <c r="M794" i="1"/>
  <c r="L794" i="1"/>
  <c r="G794" i="1"/>
  <c r="M793" i="1"/>
  <c r="L793" i="1"/>
  <c r="G793" i="1"/>
  <c r="M792" i="1"/>
  <c r="L792" i="1"/>
  <c r="G792" i="1"/>
  <c r="M791" i="1"/>
  <c r="L791" i="1"/>
  <c r="G791" i="1"/>
  <c r="M790" i="1"/>
  <c r="L790" i="1"/>
  <c r="G790" i="1"/>
  <c r="M789" i="1"/>
  <c r="L789" i="1"/>
  <c r="G789" i="1"/>
  <c r="M788" i="1"/>
  <c r="L788" i="1"/>
  <c r="G788" i="1"/>
  <c r="M787" i="1"/>
  <c r="L787" i="1"/>
  <c r="G787" i="1"/>
  <c r="M786" i="1"/>
  <c r="L786" i="1"/>
  <c r="G786" i="1"/>
  <c r="M785" i="1"/>
  <c r="L785" i="1"/>
  <c r="G785" i="1"/>
  <c r="X784" i="1"/>
  <c r="W784" i="1"/>
  <c r="V784" i="1"/>
  <c r="U784" i="1"/>
  <c r="T784" i="1"/>
  <c r="S784" i="1"/>
  <c r="R784" i="1"/>
  <c r="Q784" i="1"/>
  <c r="P784" i="1"/>
  <c r="O784" i="1"/>
  <c r="N784" i="1"/>
  <c r="M784" i="1"/>
  <c r="L784" i="1"/>
  <c r="K784" i="1"/>
  <c r="J784" i="1"/>
  <c r="I784" i="1"/>
  <c r="H784" i="1"/>
  <c r="G784" i="1"/>
  <c r="F784" i="1"/>
  <c r="E784" i="1"/>
  <c r="D784" i="1"/>
  <c r="M783" i="1"/>
  <c r="L783" i="1"/>
  <c r="G783" i="1"/>
  <c r="M782" i="1"/>
  <c r="L782" i="1"/>
  <c r="G782" i="1"/>
  <c r="M781" i="1"/>
  <c r="L781" i="1"/>
  <c r="G781" i="1"/>
  <c r="M780" i="1"/>
  <c r="L780" i="1"/>
  <c r="G780" i="1"/>
  <c r="M779" i="1"/>
  <c r="L779" i="1"/>
  <c r="G779" i="1"/>
  <c r="M778" i="1"/>
  <c r="L778" i="1"/>
  <c r="G778" i="1"/>
  <c r="X777" i="1"/>
  <c r="W777" i="1"/>
  <c r="V777" i="1"/>
  <c r="U777" i="1"/>
  <c r="T777" i="1"/>
  <c r="S777" i="1"/>
  <c r="R777" i="1"/>
  <c r="Q777" i="1"/>
  <c r="P777" i="1"/>
  <c r="O777" i="1"/>
  <c r="N777" i="1"/>
  <c r="M777" i="1"/>
  <c r="L777" i="1"/>
  <c r="K777" i="1"/>
  <c r="J777" i="1"/>
  <c r="I777" i="1"/>
  <c r="H777" i="1"/>
  <c r="G777" i="1"/>
  <c r="F777" i="1"/>
  <c r="E777" i="1"/>
  <c r="D777" i="1"/>
  <c r="M776" i="1"/>
  <c r="L776" i="1"/>
  <c r="G776" i="1"/>
  <c r="M775" i="1"/>
  <c r="L775" i="1"/>
  <c r="G775" i="1"/>
  <c r="M774" i="1"/>
  <c r="L774" i="1"/>
  <c r="G774" i="1"/>
  <c r="M773" i="1"/>
  <c r="L773" i="1"/>
  <c r="G773" i="1"/>
  <c r="M772" i="1"/>
  <c r="L772" i="1"/>
  <c r="G772" i="1"/>
  <c r="M771" i="1"/>
  <c r="L771" i="1"/>
  <c r="G771" i="1"/>
  <c r="M770" i="1"/>
  <c r="L770" i="1"/>
  <c r="G770" i="1"/>
  <c r="M769" i="1"/>
  <c r="L769" i="1"/>
  <c r="G769" i="1"/>
  <c r="M768" i="1"/>
  <c r="L768" i="1"/>
  <c r="G768" i="1"/>
  <c r="M767" i="1"/>
  <c r="L767" i="1"/>
  <c r="G767" i="1"/>
  <c r="M766" i="1"/>
  <c r="L766" i="1"/>
  <c r="G766" i="1"/>
  <c r="M765" i="1"/>
  <c r="L765" i="1"/>
  <c r="G765" i="1"/>
  <c r="M764" i="1"/>
  <c r="L764" i="1"/>
  <c r="G764" i="1"/>
  <c r="M763" i="1"/>
  <c r="L763" i="1"/>
  <c r="G763" i="1"/>
  <c r="M762" i="1"/>
  <c r="L762" i="1"/>
  <c r="G762" i="1"/>
  <c r="X761" i="1"/>
  <c r="W761" i="1"/>
  <c r="V761" i="1"/>
  <c r="U761" i="1"/>
  <c r="T761" i="1"/>
  <c r="S761" i="1"/>
  <c r="R761" i="1"/>
  <c r="Q761" i="1"/>
  <c r="P761" i="1"/>
  <c r="O761" i="1"/>
  <c r="N761" i="1"/>
  <c r="M761" i="1"/>
  <c r="L761" i="1"/>
  <c r="K761" i="1"/>
  <c r="J761" i="1"/>
  <c r="I761" i="1"/>
  <c r="H761" i="1"/>
  <c r="G761" i="1"/>
  <c r="F761" i="1"/>
  <c r="E761" i="1"/>
  <c r="D761" i="1"/>
  <c r="M760" i="1"/>
  <c r="L760" i="1"/>
  <c r="G760" i="1"/>
  <c r="M759" i="1"/>
  <c r="L759" i="1"/>
  <c r="G759" i="1"/>
  <c r="M758" i="1"/>
  <c r="L758" i="1"/>
  <c r="G758" i="1"/>
  <c r="M757" i="1"/>
  <c r="L757" i="1"/>
  <c r="G757" i="1"/>
  <c r="M756" i="1"/>
  <c r="L756" i="1"/>
  <c r="G756" i="1"/>
  <c r="M755" i="1"/>
  <c r="L755" i="1"/>
  <c r="G755" i="1"/>
  <c r="M754" i="1"/>
  <c r="L754" i="1"/>
  <c r="G754" i="1"/>
  <c r="M753" i="1"/>
  <c r="L753" i="1"/>
  <c r="G753" i="1"/>
  <c r="M752" i="1"/>
  <c r="L752" i="1"/>
  <c r="G752" i="1"/>
  <c r="M751" i="1"/>
  <c r="L751" i="1"/>
  <c r="G751" i="1"/>
  <c r="M750" i="1"/>
  <c r="L750" i="1"/>
  <c r="G750" i="1"/>
  <c r="M749" i="1"/>
  <c r="L749" i="1"/>
  <c r="G749" i="1"/>
  <c r="M748" i="1"/>
  <c r="L748" i="1"/>
  <c r="G748" i="1"/>
  <c r="M747" i="1"/>
  <c r="L747" i="1"/>
  <c r="G747" i="1"/>
  <c r="X746" i="1"/>
  <c r="W746" i="1"/>
  <c r="V746" i="1"/>
  <c r="U746" i="1"/>
  <c r="T746" i="1"/>
  <c r="S746" i="1"/>
  <c r="R746" i="1"/>
  <c r="Q746" i="1"/>
  <c r="P746" i="1"/>
  <c r="O746" i="1"/>
  <c r="N746" i="1"/>
  <c r="M746" i="1"/>
  <c r="L746" i="1"/>
  <c r="K746" i="1"/>
  <c r="J746" i="1"/>
  <c r="I746" i="1"/>
  <c r="H746" i="1"/>
  <c r="G746" i="1"/>
  <c r="F746" i="1"/>
  <c r="E746" i="1"/>
  <c r="D746" i="1"/>
  <c r="M745" i="1"/>
  <c r="L745" i="1"/>
  <c r="G745" i="1"/>
  <c r="M744" i="1"/>
  <c r="L744" i="1"/>
  <c r="G744" i="1"/>
  <c r="M743" i="1"/>
  <c r="L743" i="1"/>
  <c r="G743" i="1"/>
  <c r="M742" i="1"/>
  <c r="L742" i="1"/>
  <c r="G742" i="1"/>
  <c r="M741" i="1"/>
  <c r="L741" i="1"/>
  <c r="G741" i="1"/>
  <c r="M740" i="1"/>
  <c r="L740" i="1"/>
  <c r="G740" i="1"/>
  <c r="M739" i="1"/>
  <c r="L739" i="1"/>
  <c r="G739" i="1"/>
  <c r="M738" i="1"/>
  <c r="L738" i="1"/>
  <c r="G738" i="1"/>
  <c r="M737" i="1"/>
  <c r="L737" i="1"/>
  <c r="G737" i="1"/>
  <c r="M736" i="1"/>
  <c r="L736" i="1"/>
  <c r="G736" i="1"/>
  <c r="M735" i="1"/>
  <c r="L735" i="1"/>
  <c r="G735" i="1"/>
  <c r="M734" i="1"/>
  <c r="L734" i="1"/>
  <c r="G734" i="1"/>
  <c r="M733" i="1"/>
  <c r="L733" i="1"/>
  <c r="G733" i="1"/>
  <c r="M732" i="1"/>
  <c r="L732" i="1"/>
  <c r="G732" i="1"/>
  <c r="M731" i="1"/>
  <c r="L731" i="1"/>
  <c r="G731" i="1"/>
  <c r="M730" i="1"/>
  <c r="L730" i="1"/>
  <c r="G730" i="1"/>
  <c r="M729" i="1"/>
  <c r="L729" i="1"/>
  <c r="G729" i="1"/>
  <c r="M728" i="1"/>
  <c r="L728" i="1"/>
  <c r="G728" i="1"/>
  <c r="M727" i="1"/>
  <c r="L727" i="1"/>
  <c r="G727" i="1"/>
  <c r="M726" i="1"/>
  <c r="L726" i="1"/>
  <c r="G726" i="1"/>
  <c r="X725" i="1"/>
  <c r="W725" i="1"/>
  <c r="V725" i="1"/>
  <c r="U725" i="1"/>
  <c r="T725" i="1"/>
  <c r="S725" i="1"/>
  <c r="R725" i="1"/>
  <c r="Q725" i="1"/>
  <c r="P725" i="1"/>
  <c r="O725" i="1"/>
  <c r="N725" i="1"/>
  <c r="M725" i="1"/>
  <c r="L725" i="1"/>
  <c r="K725" i="1"/>
  <c r="J725" i="1"/>
  <c r="I725" i="1"/>
  <c r="H725" i="1"/>
  <c r="G725" i="1"/>
  <c r="F725" i="1"/>
  <c r="E725" i="1"/>
  <c r="D725" i="1"/>
  <c r="M724" i="1"/>
  <c r="L724" i="1"/>
  <c r="G724" i="1"/>
  <c r="M723" i="1"/>
  <c r="L723" i="1"/>
  <c r="G723" i="1"/>
  <c r="M722" i="1"/>
  <c r="L722" i="1"/>
  <c r="G722" i="1"/>
  <c r="M721" i="1"/>
  <c r="L721" i="1"/>
  <c r="G721" i="1"/>
  <c r="M720" i="1"/>
  <c r="L720" i="1"/>
  <c r="G720" i="1"/>
  <c r="M719" i="1"/>
  <c r="L719" i="1"/>
  <c r="G719" i="1"/>
  <c r="M718" i="1"/>
  <c r="L718" i="1"/>
  <c r="G718" i="1"/>
  <c r="M717" i="1"/>
  <c r="L717" i="1"/>
  <c r="G717" i="1"/>
  <c r="M716" i="1"/>
  <c r="L716" i="1"/>
  <c r="G716" i="1"/>
  <c r="M715" i="1"/>
  <c r="L715" i="1"/>
  <c r="G715" i="1"/>
  <c r="M714" i="1"/>
  <c r="L714" i="1"/>
  <c r="G714" i="1"/>
  <c r="M713" i="1"/>
  <c r="L713" i="1"/>
  <c r="G713" i="1"/>
  <c r="M712" i="1"/>
  <c r="L712" i="1"/>
  <c r="G712" i="1"/>
  <c r="M711" i="1"/>
  <c r="L711" i="1"/>
  <c r="G711" i="1"/>
  <c r="M710" i="1"/>
  <c r="L710" i="1"/>
  <c r="G710" i="1"/>
  <c r="M709" i="1"/>
  <c r="L709" i="1"/>
  <c r="G709" i="1"/>
  <c r="M708" i="1"/>
  <c r="L708" i="1"/>
  <c r="G708" i="1"/>
  <c r="M707" i="1"/>
  <c r="L707" i="1"/>
  <c r="G707" i="1"/>
  <c r="M706" i="1"/>
  <c r="L706" i="1"/>
  <c r="G706" i="1"/>
  <c r="M705" i="1"/>
  <c r="L705" i="1"/>
  <c r="G705" i="1"/>
  <c r="M704" i="1"/>
  <c r="L704" i="1"/>
  <c r="G704" i="1"/>
  <c r="M703" i="1"/>
  <c r="L703" i="1"/>
  <c r="G703" i="1"/>
  <c r="M702" i="1"/>
  <c r="L702" i="1"/>
  <c r="G702" i="1"/>
  <c r="M701" i="1"/>
  <c r="L701" i="1"/>
  <c r="G701" i="1"/>
  <c r="M700" i="1"/>
  <c r="L700" i="1"/>
  <c r="G700" i="1"/>
  <c r="M699" i="1"/>
  <c r="L699" i="1"/>
  <c r="G699" i="1"/>
  <c r="M698" i="1"/>
  <c r="L698" i="1"/>
  <c r="G698" i="1"/>
  <c r="M697" i="1"/>
  <c r="L697" i="1"/>
  <c r="G697" i="1"/>
  <c r="X696" i="1"/>
  <c r="W696" i="1"/>
  <c r="V696" i="1"/>
  <c r="U696" i="1"/>
  <c r="T696" i="1"/>
  <c r="S696" i="1"/>
  <c r="R696" i="1"/>
  <c r="Q696" i="1"/>
  <c r="P696" i="1"/>
  <c r="O696" i="1"/>
  <c r="N696" i="1"/>
  <c r="M696" i="1"/>
  <c r="L696" i="1"/>
  <c r="K696" i="1"/>
  <c r="J696" i="1"/>
  <c r="I696" i="1"/>
  <c r="H696" i="1"/>
  <c r="G696" i="1"/>
  <c r="F696" i="1"/>
  <c r="E696" i="1"/>
  <c r="D696" i="1"/>
  <c r="M695" i="1"/>
  <c r="L695" i="1"/>
  <c r="G695" i="1"/>
  <c r="M694" i="1"/>
  <c r="L694" i="1"/>
  <c r="G694" i="1"/>
  <c r="M693" i="1"/>
  <c r="L693" i="1"/>
  <c r="G693" i="1"/>
  <c r="M692" i="1"/>
  <c r="L692" i="1"/>
  <c r="G692" i="1"/>
  <c r="M691" i="1"/>
  <c r="L691" i="1"/>
  <c r="G691" i="1"/>
  <c r="M690" i="1"/>
  <c r="L690" i="1"/>
  <c r="G690" i="1"/>
  <c r="M689" i="1"/>
  <c r="L689" i="1"/>
  <c r="G689" i="1"/>
  <c r="M688" i="1"/>
  <c r="L688" i="1"/>
  <c r="G688" i="1"/>
  <c r="M687" i="1"/>
  <c r="L687" i="1"/>
  <c r="G687" i="1"/>
  <c r="M686" i="1"/>
  <c r="L686" i="1"/>
  <c r="G686" i="1"/>
  <c r="M685" i="1"/>
  <c r="L685" i="1"/>
  <c r="G685" i="1"/>
  <c r="M684" i="1"/>
  <c r="L684" i="1"/>
  <c r="G684" i="1"/>
  <c r="M683" i="1"/>
  <c r="L683" i="1"/>
  <c r="G683" i="1"/>
  <c r="M682" i="1"/>
  <c r="L682" i="1"/>
  <c r="G682" i="1"/>
  <c r="M681" i="1"/>
  <c r="L681" i="1"/>
  <c r="G681" i="1"/>
  <c r="X679" i="1"/>
  <c r="W679" i="1"/>
  <c r="V679" i="1"/>
  <c r="U679" i="1"/>
  <c r="T679" i="1"/>
  <c r="S679" i="1"/>
  <c r="R679" i="1"/>
  <c r="Q679" i="1"/>
  <c r="P679" i="1"/>
  <c r="O679" i="1"/>
  <c r="N679" i="1"/>
  <c r="M679" i="1"/>
  <c r="L679" i="1"/>
  <c r="K679" i="1"/>
  <c r="J679" i="1"/>
  <c r="I679" i="1"/>
  <c r="H679" i="1"/>
  <c r="G679" i="1"/>
  <c r="F679" i="1"/>
  <c r="E679" i="1"/>
  <c r="D679" i="1"/>
  <c r="M678" i="1"/>
  <c r="L678" i="1"/>
  <c r="G678" i="1"/>
  <c r="M677" i="1"/>
  <c r="L677" i="1"/>
  <c r="G677" i="1"/>
  <c r="M676" i="1"/>
  <c r="L676" i="1"/>
  <c r="G676" i="1"/>
  <c r="M675" i="1"/>
  <c r="L675" i="1"/>
  <c r="G675" i="1"/>
  <c r="M674" i="1"/>
  <c r="L674" i="1"/>
  <c r="G674" i="1"/>
  <c r="M673" i="1"/>
  <c r="L673" i="1"/>
  <c r="G673" i="1"/>
  <c r="M672" i="1"/>
  <c r="L672" i="1"/>
  <c r="G672" i="1"/>
  <c r="M671" i="1"/>
  <c r="L671" i="1"/>
  <c r="G671" i="1"/>
  <c r="M670" i="1"/>
  <c r="L670" i="1"/>
  <c r="G670" i="1"/>
  <c r="M669" i="1"/>
  <c r="L669" i="1"/>
  <c r="G669" i="1"/>
  <c r="M668" i="1"/>
  <c r="L668" i="1"/>
  <c r="G668" i="1"/>
  <c r="M667" i="1"/>
  <c r="L667" i="1"/>
  <c r="G667" i="1"/>
  <c r="M666" i="1"/>
  <c r="L666" i="1"/>
  <c r="G666" i="1"/>
  <c r="M665" i="1"/>
  <c r="L665" i="1"/>
  <c r="G665" i="1"/>
  <c r="M664" i="1"/>
  <c r="L664" i="1"/>
  <c r="G664" i="1"/>
  <c r="M663" i="1"/>
  <c r="L663" i="1"/>
  <c r="G663" i="1"/>
  <c r="M662" i="1"/>
  <c r="L662" i="1"/>
  <c r="G662" i="1"/>
  <c r="M661" i="1"/>
  <c r="L661" i="1"/>
  <c r="G661" i="1"/>
  <c r="M660" i="1"/>
  <c r="L660" i="1"/>
  <c r="G660" i="1"/>
  <c r="M659" i="1"/>
  <c r="L659" i="1"/>
  <c r="G659" i="1"/>
  <c r="M658" i="1"/>
  <c r="L658" i="1"/>
  <c r="G658" i="1"/>
  <c r="M657" i="1"/>
  <c r="L657" i="1"/>
  <c r="G657" i="1"/>
  <c r="M656" i="1"/>
  <c r="L656" i="1"/>
  <c r="G656" i="1"/>
  <c r="M655" i="1"/>
  <c r="L655" i="1"/>
  <c r="G655" i="1"/>
  <c r="M654" i="1"/>
  <c r="L654" i="1"/>
  <c r="G654" i="1"/>
  <c r="M653" i="1"/>
  <c r="L653" i="1"/>
  <c r="G653" i="1"/>
  <c r="M652" i="1"/>
  <c r="L652" i="1"/>
  <c r="G652" i="1"/>
  <c r="X650" i="1"/>
  <c r="W650" i="1"/>
  <c r="V650" i="1"/>
  <c r="U650" i="1"/>
  <c r="T650" i="1"/>
  <c r="S650" i="1"/>
  <c r="R650" i="1"/>
  <c r="Q650" i="1"/>
  <c r="P650" i="1"/>
  <c r="O650" i="1"/>
  <c r="N650" i="1"/>
  <c r="M650" i="1"/>
  <c r="L650" i="1"/>
  <c r="K650" i="1"/>
  <c r="J650" i="1"/>
  <c r="I650" i="1"/>
  <c r="H650" i="1"/>
  <c r="G650" i="1"/>
  <c r="F650" i="1"/>
  <c r="E650" i="1"/>
  <c r="D650" i="1"/>
  <c r="M649" i="1"/>
  <c r="L649" i="1"/>
  <c r="G649" i="1"/>
  <c r="M648" i="1"/>
  <c r="L648" i="1"/>
  <c r="G648" i="1"/>
  <c r="M647" i="1"/>
  <c r="L647" i="1"/>
  <c r="G647" i="1"/>
  <c r="M646" i="1"/>
  <c r="L646" i="1"/>
  <c r="H646" i="1"/>
  <c r="G646" i="1"/>
  <c r="M645" i="1"/>
  <c r="L645" i="1"/>
  <c r="G645" i="1"/>
  <c r="M644" i="1"/>
  <c r="L644" i="1"/>
  <c r="G644" i="1"/>
  <c r="M643" i="1"/>
  <c r="L643" i="1"/>
  <c r="G643" i="1"/>
  <c r="M642" i="1"/>
  <c r="L642" i="1"/>
  <c r="G642" i="1"/>
  <c r="M641" i="1"/>
  <c r="L641" i="1"/>
  <c r="H641" i="1"/>
  <c r="G641" i="1"/>
  <c r="M640" i="1"/>
  <c r="L640" i="1"/>
  <c r="G640" i="1"/>
  <c r="M639" i="1"/>
  <c r="L639" i="1"/>
  <c r="G639" i="1"/>
  <c r="M638" i="1"/>
  <c r="L638" i="1"/>
  <c r="G638" i="1"/>
  <c r="M637" i="1"/>
  <c r="L637" i="1"/>
  <c r="G637" i="1"/>
  <c r="M636" i="1"/>
  <c r="L636" i="1"/>
  <c r="G636" i="1"/>
  <c r="M635" i="1"/>
  <c r="L635" i="1"/>
  <c r="G635" i="1"/>
  <c r="M634" i="1"/>
  <c r="L634" i="1"/>
  <c r="G634" i="1"/>
  <c r="M633" i="1"/>
  <c r="L633" i="1"/>
  <c r="G633" i="1"/>
  <c r="X631" i="1"/>
  <c r="W631" i="1"/>
  <c r="V631" i="1"/>
  <c r="U631" i="1"/>
  <c r="T631" i="1"/>
  <c r="S631" i="1"/>
  <c r="R631" i="1"/>
  <c r="Q631" i="1"/>
  <c r="P631" i="1"/>
  <c r="O631" i="1"/>
  <c r="N631" i="1"/>
  <c r="M631" i="1"/>
  <c r="L631" i="1"/>
  <c r="K631" i="1"/>
  <c r="J631" i="1"/>
  <c r="I631" i="1"/>
  <c r="H631" i="1"/>
  <c r="G631" i="1"/>
  <c r="F631" i="1"/>
  <c r="E631" i="1"/>
  <c r="D631" i="1"/>
  <c r="M630" i="1"/>
  <c r="L630" i="1"/>
  <c r="G630" i="1"/>
  <c r="M629" i="1"/>
  <c r="L629" i="1"/>
  <c r="G629" i="1"/>
  <c r="M628" i="1"/>
  <c r="L628" i="1"/>
  <c r="G628" i="1"/>
  <c r="M627" i="1"/>
  <c r="L627" i="1"/>
  <c r="G627" i="1"/>
  <c r="M626" i="1"/>
  <c r="L626" i="1"/>
  <c r="G626" i="1"/>
  <c r="M625" i="1"/>
  <c r="L625" i="1"/>
  <c r="G625" i="1"/>
  <c r="M624" i="1"/>
  <c r="L624" i="1"/>
  <c r="G624" i="1"/>
  <c r="M623" i="1"/>
  <c r="L623" i="1"/>
  <c r="G623" i="1"/>
  <c r="M622" i="1"/>
  <c r="L622" i="1"/>
  <c r="G622" i="1"/>
  <c r="M621" i="1"/>
  <c r="L621" i="1"/>
  <c r="G621" i="1"/>
  <c r="M620" i="1"/>
  <c r="L620" i="1"/>
  <c r="G620" i="1"/>
  <c r="M619" i="1"/>
  <c r="L619" i="1"/>
  <c r="G619" i="1"/>
  <c r="M618" i="1"/>
  <c r="L618" i="1"/>
  <c r="G618" i="1"/>
  <c r="M617" i="1"/>
  <c r="L617" i="1"/>
  <c r="G617" i="1"/>
  <c r="M616" i="1"/>
  <c r="L616" i="1"/>
  <c r="G616" i="1"/>
  <c r="M615" i="1"/>
  <c r="L615" i="1"/>
  <c r="G615" i="1"/>
  <c r="M614" i="1"/>
  <c r="L614" i="1"/>
  <c r="G614" i="1"/>
  <c r="M613" i="1"/>
  <c r="L613" i="1"/>
  <c r="G613" i="1"/>
  <c r="M612" i="1"/>
  <c r="L612" i="1"/>
  <c r="G612" i="1"/>
  <c r="M611" i="1"/>
  <c r="L611" i="1"/>
  <c r="G611" i="1"/>
  <c r="M610" i="1"/>
  <c r="L610" i="1"/>
  <c r="G610" i="1"/>
  <c r="M609" i="1"/>
  <c r="L609" i="1"/>
  <c r="G609" i="1"/>
  <c r="M608" i="1"/>
  <c r="L608" i="1"/>
  <c r="G608" i="1"/>
  <c r="M607" i="1"/>
  <c r="L607" i="1"/>
  <c r="G607" i="1"/>
  <c r="M606" i="1"/>
  <c r="L606" i="1"/>
  <c r="G606" i="1"/>
  <c r="M605" i="1"/>
  <c r="L605" i="1"/>
  <c r="G605" i="1"/>
  <c r="M604" i="1"/>
  <c r="L604" i="1"/>
  <c r="G604" i="1"/>
  <c r="M603" i="1"/>
  <c r="L603" i="1"/>
  <c r="G603" i="1"/>
  <c r="M602" i="1"/>
  <c r="L602" i="1"/>
  <c r="G602" i="1"/>
  <c r="M601" i="1"/>
  <c r="L601" i="1"/>
  <c r="G601" i="1"/>
  <c r="M600" i="1"/>
  <c r="L600" i="1"/>
  <c r="G600" i="1"/>
  <c r="M599" i="1"/>
  <c r="L599" i="1"/>
  <c r="G599" i="1"/>
  <c r="M598" i="1"/>
  <c r="L598" i="1"/>
  <c r="G598" i="1"/>
  <c r="M597" i="1"/>
  <c r="L597" i="1"/>
  <c r="G597" i="1"/>
  <c r="M596" i="1"/>
  <c r="L596" i="1"/>
  <c r="G596" i="1"/>
  <c r="M595" i="1"/>
  <c r="L595" i="1"/>
  <c r="G595" i="1"/>
  <c r="M594" i="1"/>
  <c r="X593" i="1"/>
  <c r="W593" i="1"/>
  <c r="V593" i="1"/>
  <c r="U593" i="1"/>
  <c r="T593" i="1"/>
  <c r="S593" i="1"/>
  <c r="R593" i="1"/>
  <c r="Q593" i="1"/>
  <c r="P593" i="1"/>
  <c r="O593" i="1"/>
  <c r="N593" i="1"/>
  <c r="M593" i="1"/>
  <c r="L593" i="1"/>
  <c r="K593" i="1"/>
  <c r="J593" i="1"/>
  <c r="I593" i="1"/>
  <c r="H593" i="1"/>
  <c r="G593" i="1"/>
  <c r="E593" i="1"/>
  <c r="D593" i="1"/>
  <c r="M592" i="1"/>
  <c r="L592" i="1"/>
  <c r="H592" i="1"/>
  <c r="G592" i="1"/>
  <c r="U591" i="1"/>
  <c r="M591" i="1"/>
  <c r="L591" i="1"/>
  <c r="G591" i="1"/>
  <c r="U590" i="1"/>
  <c r="M590" i="1"/>
  <c r="L590" i="1"/>
  <c r="G590" i="1"/>
  <c r="U589" i="1"/>
  <c r="M589" i="1"/>
  <c r="L589" i="1"/>
  <c r="H589" i="1"/>
  <c r="G589" i="1"/>
  <c r="U588" i="1"/>
  <c r="M588" i="1"/>
  <c r="L588" i="1"/>
  <c r="G588" i="1"/>
  <c r="U587" i="1"/>
  <c r="M587" i="1"/>
  <c r="L587" i="1"/>
  <c r="G587" i="1"/>
  <c r="U586" i="1"/>
  <c r="M586" i="1"/>
  <c r="L586" i="1"/>
  <c r="H586" i="1"/>
  <c r="G586" i="1"/>
  <c r="M585" i="1"/>
  <c r="L585" i="1"/>
  <c r="G585" i="1"/>
  <c r="M584" i="1"/>
  <c r="L584" i="1"/>
  <c r="G584" i="1"/>
  <c r="M583" i="1"/>
  <c r="L583" i="1"/>
  <c r="G583" i="1"/>
  <c r="M582" i="1"/>
  <c r="L582" i="1"/>
  <c r="G582" i="1"/>
  <c r="M581" i="1"/>
  <c r="L581" i="1"/>
  <c r="G581" i="1"/>
  <c r="U580" i="1"/>
  <c r="M580" i="1"/>
  <c r="L580" i="1"/>
  <c r="G580" i="1"/>
  <c r="M579" i="1"/>
  <c r="L579" i="1"/>
  <c r="G579" i="1"/>
  <c r="M578" i="1"/>
  <c r="L578" i="1"/>
  <c r="G578" i="1"/>
  <c r="M577" i="1"/>
  <c r="L577" i="1"/>
  <c r="G577" i="1"/>
  <c r="M576" i="1"/>
  <c r="L576" i="1"/>
  <c r="G576" i="1"/>
  <c r="X575" i="1"/>
  <c r="W575" i="1"/>
  <c r="V575" i="1"/>
  <c r="U575" i="1"/>
  <c r="T575" i="1"/>
  <c r="S575" i="1"/>
  <c r="R575" i="1"/>
  <c r="Q575" i="1"/>
  <c r="P575" i="1"/>
  <c r="O575" i="1"/>
  <c r="N575" i="1"/>
  <c r="M575" i="1"/>
  <c r="L575" i="1"/>
  <c r="K575" i="1"/>
  <c r="J575" i="1"/>
  <c r="I575" i="1"/>
  <c r="H575" i="1"/>
  <c r="G575" i="1"/>
  <c r="F575" i="1"/>
  <c r="E575" i="1"/>
  <c r="D575" i="1"/>
  <c r="M574" i="1"/>
  <c r="L574" i="1"/>
  <c r="H574" i="1"/>
  <c r="G574" i="1"/>
  <c r="M573" i="1"/>
  <c r="L573" i="1"/>
  <c r="G573" i="1"/>
  <c r="M572" i="1"/>
  <c r="L572" i="1"/>
  <c r="G572" i="1"/>
  <c r="M571" i="1"/>
  <c r="L571" i="1"/>
  <c r="G571" i="1"/>
  <c r="M570" i="1"/>
  <c r="L570" i="1"/>
  <c r="G570" i="1"/>
  <c r="U569" i="1"/>
  <c r="M569" i="1"/>
  <c r="L569" i="1"/>
  <c r="G569" i="1"/>
  <c r="X567" i="1"/>
  <c r="W567" i="1"/>
  <c r="V567" i="1"/>
  <c r="U567" i="1"/>
  <c r="T567" i="1"/>
  <c r="S567" i="1"/>
  <c r="R567" i="1"/>
  <c r="Q567" i="1"/>
  <c r="P567" i="1"/>
  <c r="O567" i="1"/>
  <c r="N567" i="1"/>
  <c r="M567" i="1"/>
  <c r="L567" i="1"/>
  <c r="K567" i="1"/>
  <c r="J567" i="1"/>
  <c r="I567" i="1"/>
  <c r="H567" i="1"/>
  <c r="G567" i="1"/>
  <c r="F567" i="1"/>
  <c r="E567" i="1"/>
  <c r="D567" i="1"/>
  <c r="M566" i="1"/>
  <c r="L566" i="1"/>
  <c r="G566" i="1"/>
  <c r="M565" i="1"/>
  <c r="L565" i="1"/>
  <c r="G565" i="1"/>
  <c r="M564" i="1"/>
  <c r="L564" i="1"/>
  <c r="G564" i="1"/>
  <c r="U563" i="1"/>
  <c r="M563" i="1"/>
  <c r="L563" i="1"/>
  <c r="G563" i="1"/>
  <c r="M562" i="1"/>
  <c r="L562" i="1"/>
  <c r="G562" i="1"/>
  <c r="M561" i="1"/>
  <c r="L561" i="1"/>
  <c r="H561" i="1"/>
  <c r="G561" i="1"/>
  <c r="M560" i="1"/>
  <c r="L560" i="1"/>
  <c r="G560" i="1"/>
  <c r="M559" i="1"/>
  <c r="L559" i="1"/>
  <c r="G559" i="1"/>
  <c r="M558" i="1"/>
  <c r="L558" i="1"/>
  <c r="G558" i="1"/>
  <c r="U557" i="1"/>
  <c r="M557" i="1"/>
  <c r="L557" i="1"/>
  <c r="G557" i="1"/>
  <c r="U556" i="1"/>
  <c r="M556" i="1"/>
  <c r="L556" i="1"/>
  <c r="G556" i="1"/>
  <c r="M555" i="1"/>
  <c r="L555" i="1"/>
  <c r="G555" i="1"/>
  <c r="M554" i="1"/>
  <c r="L554" i="1"/>
  <c r="G554" i="1"/>
  <c r="M553" i="1"/>
  <c r="L553" i="1"/>
  <c r="H553" i="1"/>
  <c r="G553" i="1"/>
  <c r="U552" i="1"/>
  <c r="M552" i="1"/>
  <c r="L552" i="1"/>
  <c r="G552" i="1"/>
  <c r="M551" i="1"/>
  <c r="L551" i="1"/>
  <c r="G551" i="1"/>
  <c r="M550" i="1"/>
  <c r="L550" i="1"/>
  <c r="G550" i="1"/>
  <c r="M549" i="1"/>
  <c r="L549" i="1"/>
  <c r="G549" i="1"/>
  <c r="M548" i="1"/>
  <c r="L548" i="1"/>
  <c r="G548" i="1"/>
  <c r="M547" i="1"/>
  <c r="L547" i="1"/>
  <c r="G547" i="1"/>
  <c r="M546" i="1"/>
  <c r="L546" i="1"/>
  <c r="G546" i="1"/>
  <c r="M545" i="1"/>
  <c r="L545" i="1"/>
  <c r="G545" i="1"/>
  <c r="M544" i="1"/>
  <c r="L544" i="1"/>
  <c r="G544" i="1"/>
  <c r="M543" i="1"/>
  <c r="L543" i="1"/>
  <c r="G543" i="1"/>
  <c r="M542" i="1"/>
  <c r="L542" i="1"/>
  <c r="G542" i="1"/>
  <c r="M541" i="1"/>
  <c r="L541" i="1"/>
  <c r="G541" i="1"/>
  <c r="M540" i="1"/>
  <c r="L540" i="1"/>
  <c r="G540" i="1"/>
  <c r="M539" i="1"/>
  <c r="L539" i="1"/>
  <c r="G539" i="1"/>
  <c r="M538" i="1"/>
  <c r="L538" i="1"/>
  <c r="G538" i="1"/>
  <c r="M537" i="1"/>
  <c r="L537" i="1"/>
  <c r="G537" i="1"/>
  <c r="X536" i="1"/>
  <c r="W536" i="1"/>
  <c r="V536" i="1"/>
  <c r="U536" i="1"/>
  <c r="T536" i="1"/>
  <c r="S536" i="1"/>
  <c r="R536" i="1"/>
  <c r="Q536" i="1"/>
  <c r="P536" i="1"/>
  <c r="O536" i="1"/>
  <c r="N536" i="1"/>
  <c r="M536" i="1"/>
  <c r="L536" i="1"/>
  <c r="K536" i="1"/>
  <c r="J536" i="1"/>
  <c r="I536" i="1"/>
  <c r="H536" i="1"/>
  <c r="G536" i="1"/>
  <c r="F536" i="1"/>
  <c r="E536" i="1"/>
  <c r="D536" i="1"/>
  <c r="M535" i="1"/>
  <c r="L535" i="1"/>
  <c r="G535" i="1"/>
  <c r="M534" i="1"/>
  <c r="L534" i="1"/>
  <c r="G534" i="1"/>
  <c r="M533" i="1"/>
  <c r="L533" i="1"/>
  <c r="H533" i="1"/>
  <c r="G533" i="1"/>
  <c r="M532" i="1"/>
  <c r="L532" i="1"/>
  <c r="G532" i="1"/>
  <c r="M531" i="1"/>
  <c r="L531" i="1"/>
  <c r="G531" i="1"/>
  <c r="M530" i="1"/>
  <c r="L530" i="1"/>
  <c r="G530" i="1"/>
  <c r="M529" i="1"/>
  <c r="L529" i="1"/>
  <c r="G529" i="1"/>
  <c r="M528" i="1"/>
  <c r="L528" i="1"/>
  <c r="G528" i="1"/>
  <c r="M527" i="1"/>
  <c r="L527" i="1"/>
  <c r="G527" i="1"/>
  <c r="M526" i="1"/>
  <c r="L526" i="1"/>
  <c r="G526" i="1"/>
  <c r="M525" i="1"/>
  <c r="L525" i="1"/>
  <c r="G525" i="1"/>
  <c r="M524" i="1"/>
  <c r="L524" i="1"/>
  <c r="G524" i="1"/>
  <c r="M523" i="1"/>
  <c r="L523" i="1"/>
  <c r="X522" i="1"/>
  <c r="W522" i="1"/>
  <c r="V522" i="1"/>
  <c r="U522" i="1"/>
  <c r="T522" i="1"/>
  <c r="S522" i="1"/>
  <c r="R522" i="1"/>
  <c r="Q522" i="1"/>
  <c r="P522" i="1"/>
  <c r="O522" i="1"/>
  <c r="N522" i="1"/>
  <c r="M522" i="1"/>
  <c r="L522" i="1"/>
  <c r="K522" i="1"/>
  <c r="J522" i="1"/>
  <c r="I522" i="1"/>
  <c r="H522" i="1"/>
  <c r="G522" i="1"/>
  <c r="F522" i="1"/>
  <c r="E522" i="1"/>
  <c r="D522" i="1"/>
  <c r="M521" i="1"/>
  <c r="L521" i="1"/>
  <c r="G521" i="1"/>
  <c r="M520" i="1"/>
  <c r="L520" i="1"/>
  <c r="G520" i="1"/>
  <c r="M519" i="1"/>
  <c r="L519" i="1"/>
  <c r="X518" i="1"/>
  <c r="W518" i="1"/>
  <c r="V518" i="1"/>
  <c r="U518" i="1"/>
  <c r="T518" i="1"/>
  <c r="S518" i="1"/>
  <c r="R518" i="1"/>
  <c r="O518" i="1"/>
  <c r="N518" i="1"/>
  <c r="M518" i="1"/>
  <c r="L518" i="1"/>
  <c r="K518" i="1"/>
  <c r="J518" i="1"/>
  <c r="I518" i="1"/>
  <c r="G518" i="1"/>
  <c r="F518" i="1"/>
  <c r="E518" i="1"/>
  <c r="D518" i="1"/>
  <c r="M517" i="1"/>
  <c r="L517" i="1"/>
  <c r="G517" i="1"/>
  <c r="M516" i="1"/>
  <c r="L516" i="1"/>
  <c r="G516" i="1"/>
  <c r="M515" i="1"/>
  <c r="L515" i="1"/>
  <c r="G515" i="1"/>
  <c r="M514" i="1"/>
  <c r="L514" i="1"/>
  <c r="X513" i="1"/>
  <c r="W513" i="1"/>
  <c r="V513" i="1"/>
  <c r="U513" i="1"/>
  <c r="T513" i="1"/>
  <c r="S513" i="1"/>
  <c r="R513" i="1"/>
  <c r="Q513" i="1"/>
  <c r="P513" i="1"/>
  <c r="O513" i="1"/>
  <c r="N513" i="1"/>
  <c r="M513" i="1"/>
  <c r="L513" i="1"/>
  <c r="K513" i="1"/>
  <c r="J513" i="1"/>
  <c r="I513" i="1"/>
  <c r="H513" i="1"/>
  <c r="G513" i="1"/>
  <c r="F513" i="1"/>
  <c r="E513" i="1"/>
  <c r="D513" i="1"/>
  <c r="M512" i="1"/>
  <c r="L512" i="1"/>
  <c r="G512" i="1"/>
  <c r="M511" i="1"/>
  <c r="L511" i="1"/>
  <c r="G511" i="1"/>
  <c r="M510" i="1"/>
  <c r="L510" i="1"/>
  <c r="G510" i="1"/>
  <c r="M509" i="1"/>
  <c r="L509" i="1"/>
  <c r="G509" i="1"/>
  <c r="M508" i="1"/>
  <c r="L508" i="1"/>
  <c r="G508" i="1"/>
  <c r="M507" i="1"/>
  <c r="L507" i="1"/>
  <c r="G507" i="1"/>
  <c r="M506" i="1"/>
  <c r="L506" i="1"/>
  <c r="G506" i="1"/>
  <c r="M505" i="1"/>
  <c r="L505" i="1"/>
  <c r="G505" i="1"/>
  <c r="M504" i="1"/>
  <c r="L504" i="1"/>
  <c r="G504" i="1"/>
  <c r="M503" i="1"/>
  <c r="L503" i="1"/>
  <c r="G503" i="1"/>
  <c r="M502" i="1"/>
  <c r="L502" i="1"/>
  <c r="G502" i="1"/>
  <c r="M501" i="1"/>
  <c r="L501" i="1"/>
  <c r="G501" i="1"/>
  <c r="M500" i="1"/>
  <c r="L500" i="1"/>
  <c r="G500" i="1"/>
  <c r="M499" i="1"/>
  <c r="L499" i="1"/>
  <c r="G499" i="1"/>
  <c r="M498" i="1"/>
  <c r="L498" i="1"/>
  <c r="G498" i="1"/>
  <c r="M497" i="1"/>
  <c r="L497" i="1"/>
  <c r="G497" i="1"/>
  <c r="M496" i="1"/>
  <c r="L496" i="1"/>
  <c r="G496" i="1"/>
  <c r="M495" i="1"/>
  <c r="L495" i="1"/>
  <c r="G495" i="1"/>
  <c r="M494" i="1"/>
  <c r="L494" i="1"/>
  <c r="G494" i="1"/>
  <c r="M493" i="1"/>
  <c r="L493" i="1"/>
  <c r="G493" i="1"/>
  <c r="M492" i="1"/>
  <c r="L492" i="1"/>
  <c r="G492" i="1"/>
  <c r="M491" i="1"/>
  <c r="L491" i="1"/>
  <c r="G491" i="1"/>
  <c r="M490" i="1"/>
  <c r="L490" i="1"/>
  <c r="G490" i="1"/>
  <c r="M489" i="1"/>
  <c r="L489" i="1"/>
  <c r="G489" i="1"/>
  <c r="M488" i="1"/>
  <c r="L488" i="1"/>
  <c r="G488" i="1"/>
  <c r="L485" i="1"/>
  <c r="X484" i="1"/>
  <c r="W484" i="1"/>
  <c r="V484" i="1"/>
  <c r="U484" i="1"/>
  <c r="T484" i="1"/>
  <c r="S484" i="1"/>
  <c r="R484" i="1"/>
  <c r="Q484" i="1"/>
  <c r="P484" i="1"/>
  <c r="O484" i="1"/>
  <c r="N484" i="1"/>
  <c r="M484" i="1"/>
  <c r="L484" i="1"/>
  <c r="K484" i="1"/>
  <c r="J484" i="1"/>
  <c r="I484" i="1"/>
  <c r="H484" i="1"/>
  <c r="G484" i="1"/>
  <c r="F484" i="1"/>
  <c r="E484" i="1"/>
  <c r="D484" i="1"/>
  <c r="M483" i="1"/>
  <c r="L483" i="1"/>
  <c r="G483" i="1"/>
  <c r="M482" i="1"/>
  <c r="L482" i="1"/>
  <c r="G482" i="1"/>
  <c r="M481" i="1"/>
  <c r="L481" i="1"/>
  <c r="G481" i="1"/>
  <c r="M480" i="1"/>
  <c r="L480" i="1"/>
  <c r="G480" i="1"/>
  <c r="X479" i="1"/>
  <c r="W479" i="1"/>
  <c r="V479" i="1"/>
  <c r="U479" i="1"/>
  <c r="T479" i="1"/>
  <c r="S479" i="1"/>
  <c r="R479" i="1"/>
  <c r="Q479" i="1"/>
  <c r="P479" i="1"/>
  <c r="O479" i="1"/>
  <c r="N479" i="1"/>
  <c r="M479" i="1"/>
  <c r="L479" i="1"/>
  <c r="K479" i="1"/>
  <c r="J479" i="1"/>
  <c r="I479" i="1"/>
  <c r="H479" i="1"/>
  <c r="G479" i="1"/>
  <c r="F479" i="1"/>
  <c r="E479" i="1"/>
  <c r="D479" i="1"/>
  <c r="M478" i="1"/>
  <c r="L478" i="1"/>
  <c r="G478" i="1"/>
  <c r="M477" i="1"/>
  <c r="L477" i="1"/>
  <c r="G477" i="1"/>
  <c r="M476" i="1"/>
  <c r="L476" i="1"/>
  <c r="G476" i="1"/>
  <c r="M475" i="1"/>
  <c r="L475" i="1"/>
  <c r="G475" i="1"/>
  <c r="X473" i="1"/>
  <c r="W473" i="1"/>
  <c r="V473" i="1"/>
  <c r="U473" i="1"/>
  <c r="T473" i="1"/>
  <c r="S473" i="1"/>
  <c r="R473" i="1"/>
  <c r="Q473" i="1"/>
  <c r="P473" i="1"/>
  <c r="O473" i="1"/>
  <c r="N473" i="1"/>
  <c r="M473" i="1"/>
  <c r="L473" i="1"/>
  <c r="K473" i="1"/>
  <c r="J473" i="1"/>
  <c r="I473" i="1"/>
  <c r="H473" i="1"/>
  <c r="G473" i="1"/>
  <c r="F473" i="1"/>
  <c r="E473" i="1"/>
  <c r="D473" i="1"/>
  <c r="M472" i="1"/>
  <c r="L472" i="1"/>
  <c r="G472" i="1"/>
  <c r="M471" i="1"/>
  <c r="L471" i="1"/>
  <c r="G471" i="1"/>
  <c r="M470" i="1"/>
  <c r="L470" i="1"/>
  <c r="G470" i="1"/>
  <c r="M469" i="1"/>
  <c r="L469" i="1"/>
  <c r="G469" i="1"/>
  <c r="M468" i="1"/>
  <c r="L468" i="1"/>
  <c r="G468" i="1"/>
  <c r="M467" i="1"/>
  <c r="L467" i="1"/>
  <c r="G467" i="1"/>
  <c r="U466" i="1"/>
  <c r="M466" i="1"/>
  <c r="L466" i="1"/>
  <c r="G466" i="1"/>
  <c r="M465" i="1"/>
  <c r="L465" i="1"/>
  <c r="G465" i="1"/>
  <c r="M464" i="1"/>
  <c r="L464" i="1"/>
  <c r="G464" i="1"/>
  <c r="M463" i="1"/>
  <c r="L463" i="1"/>
  <c r="G463" i="1"/>
  <c r="X462" i="1"/>
  <c r="W462" i="1"/>
  <c r="V462" i="1"/>
  <c r="U462" i="1"/>
  <c r="T462" i="1"/>
  <c r="S462" i="1"/>
  <c r="R462" i="1"/>
  <c r="Q462" i="1"/>
  <c r="P462" i="1"/>
  <c r="O462" i="1"/>
  <c r="N462" i="1"/>
  <c r="M462" i="1"/>
  <c r="L462" i="1"/>
  <c r="K462" i="1"/>
  <c r="J462" i="1"/>
  <c r="I462" i="1"/>
  <c r="H462" i="1"/>
  <c r="G462" i="1"/>
  <c r="F462" i="1"/>
  <c r="E462" i="1"/>
  <c r="D462" i="1"/>
  <c r="M461" i="1"/>
  <c r="L461" i="1"/>
  <c r="G461" i="1"/>
  <c r="M460" i="1"/>
  <c r="L460" i="1"/>
  <c r="G460" i="1"/>
  <c r="M459" i="1"/>
  <c r="L459" i="1"/>
  <c r="G459" i="1"/>
  <c r="U458" i="1"/>
  <c r="M458" i="1"/>
  <c r="L458" i="1"/>
  <c r="G458" i="1"/>
  <c r="U457" i="1"/>
  <c r="M457" i="1"/>
  <c r="L457" i="1"/>
  <c r="G457" i="1"/>
  <c r="U456" i="1"/>
  <c r="M456" i="1"/>
  <c r="L456" i="1"/>
  <c r="G456" i="1"/>
  <c r="U455" i="1"/>
  <c r="M455" i="1"/>
  <c r="L455" i="1"/>
  <c r="G455" i="1"/>
  <c r="M454" i="1"/>
  <c r="L454" i="1"/>
  <c r="G454" i="1"/>
  <c r="X453" i="1"/>
  <c r="W453" i="1"/>
  <c r="V453" i="1"/>
  <c r="U453" i="1"/>
  <c r="T453" i="1"/>
  <c r="S453" i="1"/>
  <c r="R453" i="1"/>
  <c r="Q453" i="1"/>
  <c r="P453" i="1"/>
  <c r="O453" i="1"/>
  <c r="N453" i="1"/>
  <c r="M453" i="1"/>
  <c r="L453" i="1"/>
  <c r="K453" i="1"/>
  <c r="J453" i="1"/>
  <c r="I453" i="1"/>
  <c r="H453" i="1"/>
  <c r="G453" i="1"/>
  <c r="F453" i="1"/>
  <c r="E453" i="1"/>
  <c r="D453" i="1"/>
  <c r="M452" i="1"/>
  <c r="L452" i="1"/>
  <c r="G452" i="1"/>
  <c r="M451" i="1"/>
  <c r="L451" i="1"/>
  <c r="G451" i="1"/>
  <c r="M450" i="1"/>
  <c r="L450" i="1"/>
  <c r="G450" i="1"/>
  <c r="M449" i="1"/>
  <c r="L449" i="1"/>
  <c r="G449" i="1"/>
  <c r="M448" i="1"/>
  <c r="L448" i="1"/>
  <c r="G448" i="1"/>
  <c r="M447" i="1"/>
  <c r="L447" i="1"/>
  <c r="G447" i="1"/>
  <c r="M446" i="1"/>
  <c r="L446" i="1"/>
  <c r="G446" i="1"/>
  <c r="U445" i="1"/>
  <c r="M445" i="1"/>
  <c r="L445" i="1"/>
  <c r="G445" i="1"/>
  <c r="M444" i="1"/>
  <c r="L444" i="1"/>
  <c r="G444" i="1"/>
  <c r="M443" i="1"/>
  <c r="L443" i="1"/>
  <c r="G443" i="1"/>
  <c r="M442" i="1"/>
  <c r="L442" i="1"/>
  <c r="G442" i="1"/>
  <c r="M441" i="1"/>
  <c r="L441" i="1"/>
  <c r="G441" i="1"/>
  <c r="M440" i="1"/>
  <c r="L440" i="1"/>
  <c r="G440" i="1"/>
  <c r="M439" i="1"/>
  <c r="L439" i="1"/>
  <c r="G439" i="1"/>
  <c r="M438" i="1"/>
  <c r="L438" i="1"/>
  <c r="G438" i="1"/>
  <c r="M437" i="1"/>
  <c r="L437" i="1"/>
  <c r="G437" i="1"/>
  <c r="M436" i="1"/>
  <c r="L436" i="1"/>
  <c r="G436" i="1"/>
  <c r="M435" i="1"/>
  <c r="L435" i="1"/>
  <c r="G435" i="1"/>
  <c r="M434" i="1"/>
  <c r="L434" i="1"/>
  <c r="G434" i="1"/>
  <c r="X432" i="1"/>
  <c r="W432" i="1"/>
  <c r="V432" i="1"/>
  <c r="U432" i="1"/>
  <c r="T432" i="1"/>
  <c r="S432" i="1"/>
  <c r="R432" i="1"/>
  <c r="Q432" i="1"/>
  <c r="P432" i="1"/>
  <c r="O432" i="1"/>
  <c r="N432" i="1"/>
  <c r="M432" i="1"/>
  <c r="L432" i="1"/>
  <c r="K432" i="1"/>
  <c r="J432" i="1"/>
  <c r="I432" i="1"/>
  <c r="H432" i="1"/>
  <c r="G432" i="1"/>
  <c r="F432" i="1"/>
  <c r="E432" i="1"/>
  <c r="D432" i="1"/>
  <c r="X431" i="1"/>
  <c r="W431" i="1"/>
  <c r="V431" i="1"/>
  <c r="U431" i="1"/>
  <c r="T431" i="1"/>
  <c r="S431" i="1"/>
  <c r="R431" i="1"/>
  <c r="Q431" i="1"/>
  <c r="P431" i="1"/>
  <c r="O431" i="1"/>
  <c r="N431" i="1"/>
  <c r="M431" i="1"/>
  <c r="L431" i="1"/>
  <c r="K431" i="1"/>
  <c r="J431" i="1"/>
  <c r="I431" i="1"/>
  <c r="H431" i="1"/>
  <c r="G431" i="1"/>
  <c r="F431" i="1"/>
  <c r="E431" i="1"/>
  <c r="D431" i="1"/>
  <c r="M430" i="1"/>
  <c r="L430" i="1"/>
  <c r="G430" i="1"/>
  <c r="M429" i="1"/>
  <c r="L429" i="1"/>
  <c r="G429" i="1"/>
  <c r="M428" i="1"/>
  <c r="L428" i="1"/>
  <c r="G428" i="1"/>
  <c r="M427" i="1"/>
  <c r="L427" i="1"/>
  <c r="G427" i="1"/>
  <c r="M426" i="1"/>
  <c r="L426" i="1"/>
  <c r="H426" i="1"/>
  <c r="G426" i="1"/>
  <c r="M425" i="1"/>
  <c r="L425" i="1"/>
  <c r="G425" i="1"/>
  <c r="M424" i="1"/>
  <c r="L424" i="1"/>
  <c r="H424" i="1"/>
  <c r="G424" i="1"/>
  <c r="M423" i="1"/>
  <c r="L423" i="1"/>
  <c r="H423" i="1"/>
  <c r="G423" i="1"/>
  <c r="M422" i="1"/>
  <c r="L422" i="1"/>
  <c r="G422" i="1"/>
  <c r="M421" i="1"/>
  <c r="L421" i="1"/>
  <c r="H421" i="1"/>
  <c r="G421" i="1"/>
  <c r="M420" i="1"/>
  <c r="L420" i="1"/>
  <c r="G420" i="1"/>
  <c r="M419" i="1"/>
  <c r="L419" i="1"/>
  <c r="H419" i="1"/>
  <c r="G419" i="1"/>
  <c r="X417" i="1"/>
  <c r="W417" i="1"/>
  <c r="V417" i="1"/>
  <c r="U417" i="1"/>
  <c r="T417" i="1"/>
  <c r="S417" i="1"/>
  <c r="R417" i="1"/>
  <c r="Q417" i="1"/>
  <c r="P417" i="1"/>
  <c r="O417" i="1"/>
  <c r="N417" i="1"/>
  <c r="M417" i="1"/>
  <c r="L417" i="1"/>
  <c r="K417" i="1"/>
  <c r="J417" i="1"/>
  <c r="I417" i="1"/>
  <c r="H417" i="1"/>
  <c r="G417" i="1"/>
  <c r="F417" i="1"/>
  <c r="E417" i="1"/>
  <c r="D417" i="1"/>
  <c r="M416" i="1"/>
  <c r="L416" i="1"/>
  <c r="G416" i="1"/>
  <c r="M415" i="1"/>
  <c r="L415" i="1"/>
  <c r="G415" i="1"/>
  <c r="M414" i="1"/>
  <c r="L414" i="1"/>
  <c r="G414" i="1"/>
  <c r="M413" i="1"/>
  <c r="L413" i="1"/>
  <c r="G413" i="1"/>
  <c r="M412" i="1"/>
  <c r="L412" i="1"/>
  <c r="G412" i="1"/>
  <c r="M411" i="1"/>
  <c r="L411" i="1"/>
  <c r="G411" i="1"/>
  <c r="M410" i="1"/>
  <c r="L410" i="1"/>
  <c r="G410" i="1"/>
  <c r="M409" i="1"/>
  <c r="L409" i="1"/>
  <c r="G409" i="1"/>
  <c r="M408" i="1"/>
  <c r="L408" i="1"/>
  <c r="G408" i="1"/>
  <c r="M407" i="1"/>
  <c r="L407" i="1"/>
  <c r="G407" i="1"/>
  <c r="M406" i="1"/>
  <c r="L406" i="1"/>
  <c r="H406" i="1"/>
  <c r="G406" i="1"/>
  <c r="M405" i="1"/>
  <c r="L405" i="1"/>
  <c r="H405" i="1"/>
  <c r="G405" i="1"/>
  <c r="M404" i="1"/>
  <c r="L404" i="1"/>
  <c r="G404" i="1"/>
  <c r="M403" i="1"/>
  <c r="L403" i="1"/>
  <c r="G403" i="1"/>
  <c r="M402" i="1"/>
  <c r="L402" i="1"/>
  <c r="H402" i="1"/>
  <c r="G402" i="1"/>
  <c r="M401" i="1"/>
  <c r="L401" i="1"/>
  <c r="H401" i="1"/>
  <c r="G401" i="1"/>
  <c r="M400" i="1"/>
  <c r="L400" i="1"/>
  <c r="G400" i="1"/>
  <c r="M399" i="1"/>
  <c r="L399" i="1"/>
  <c r="H399" i="1"/>
  <c r="G399" i="1"/>
  <c r="X397" i="1"/>
  <c r="W397" i="1"/>
  <c r="V397" i="1"/>
  <c r="U397" i="1"/>
  <c r="T397" i="1"/>
  <c r="S397" i="1"/>
  <c r="R397" i="1"/>
  <c r="Q397" i="1"/>
  <c r="P397" i="1"/>
  <c r="O397" i="1"/>
  <c r="N397" i="1"/>
  <c r="M397" i="1"/>
  <c r="L397" i="1"/>
  <c r="K397" i="1"/>
  <c r="J397" i="1"/>
  <c r="I397" i="1"/>
  <c r="H397" i="1"/>
  <c r="G397" i="1"/>
  <c r="F397" i="1"/>
  <c r="E397" i="1"/>
  <c r="D397" i="1"/>
  <c r="M396" i="1"/>
  <c r="L396" i="1"/>
  <c r="G396" i="1"/>
  <c r="M395" i="1"/>
  <c r="L395" i="1"/>
  <c r="G395" i="1"/>
  <c r="M394" i="1"/>
  <c r="L394" i="1"/>
  <c r="G394" i="1"/>
  <c r="M393" i="1"/>
  <c r="L393" i="1"/>
  <c r="G393" i="1"/>
  <c r="M392" i="1"/>
  <c r="L392" i="1"/>
  <c r="G392" i="1"/>
  <c r="M391" i="1"/>
  <c r="L391" i="1"/>
  <c r="G391" i="1"/>
  <c r="M390" i="1"/>
  <c r="L390" i="1"/>
  <c r="G390" i="1"/>
  <c r="M389" i="1"/>
  <c r="L389" i="1"/>
  <c r="G389" i="1"/>
  <c r="M388" i="1"/>
  <c r="L388" i="1"/>
  <c r="G388" i="1"/>
  <c r="M387" i="1"/>
  <c r="L387" i="1"/>
  <c r="G387" i="1"/>
  <c r="M386" i="1"/>
  <c r="L386" i="1"/>
  <c r="G386" i="1"/>
  <c r="M385" i="1"/>
  <c r="L385" i="1"/>
  <c r="G385" i="1"/>
  <c r="M384" i="1"/>
  <c r="L384" i="1"/>
  <c r="G384" i="1"/>
  <c r="M383" i="1"/>
  <c r="L383" i="1"/>
  <c r="G383" i="1"/>
  <c r="M382" i="1"/>
  <c r="L382" i="1"/>
  <c r="H382" i="1"/>
  <c r="G382" i="1"/>
  <c r="M381" i="1"/>
  <c r="L381" i="1"/>
  <c r="G381" i="1"/>
  <c r="M380" i="1"/>
  <c r="L380" i="1"/>
  <c r="G380" i="1"/>
  <c r="M379" i="1"/>
  <c r="L379" i="1"/>
  <c r="H379" i="1"/>
  <c r="G379" i="1"/>
  <c r="M378" i="1"/>
  <c r="L378" i="1"/>
  <c r="H378" i="1"/>
  <c r="G378" i="1"/>
  <c r="M377" i="1"/>
  <c r="L377" i="1"/>
  <c r="G377" i="1"/>
  <c r="M376" i="1"/>
  <c r="L376" i="1"/>
  <c r="H376" i="1"/>
  <c r="G376" i="1"/>
  <c r="M375" i="1"/>
  <c r="L375" i="1"/>
  <c r="G375" i="1"/>
  <c r="M374" i="1"/>
  <c r="L374" i="1"/>
  <c r="H374" i="1"/>
  <c r="G374" i="1"/>
  <c r="X372" i="1"/>
  <c r="W372" i="1"/>
  <c r="V372" i="1"/>
  <c r="U372" i="1"/>
  <c r="T372" i="1"/>
  <c r="S372" i="1"/>
  <c r="R372" i="1"/>
  <c r="Q372" i="1"/>
  <c r="P372" i="1"/>
  <c r="O372" i="1"/>
  <c r="N372" i="1"/>
  <c r="M372" i="1"/>
  <c r="L372" i="1"/>
  <c r="K372" i="1"/>
  <c r="J372" i="1"/>
  <c r="I372" i="1"/>
  <c r="H372" i="1"/>
  <c r="G372" i="1"/>
  <c r="F372" i="1"/>
  <c r="E372" i="1"/>
  <c r="D372" i="1"/>
  <c r="M371" i="1"/>
  <c r="L371" i="1"/>
  <c r="G371" i="1"/>
  <c r="M370" i="1"/>
  <c r="L370" i="1"/>
  <c r="G370" i="1"/>
  <c r="M369" i="1"/>
  <c r="L369" i="1"/>
  <c r="G369" i="1"/>
  <c r="M368" i="1"/>
  <c r="L368" i="1"/>
  <c r="G368" i="1"/>
  <c r="M367" i="1"/>
  <c r="L367" i="1"/>
  <c r="G367" i="1"/>
  <c r="M366" i="1"/>
  <c r="L366" i="1"/>
  <c r="G366" i="1"/>
  <c r="M365" i="1"/>
  <c r="L365" i="1"/>
  <c r="G365" i="1"/>
  <c r="M364" i="1"/>
  <c r="L364" i="1"/>
  <c r="G364" i="1"/>
  <c r="M363" i="1"/>
  <c r="L363" i="1"/>
  <c r="G363" i="1"/>
  <c r="M362" i="1"/>
  <c r="L362" i="1"/>
  <c r="G362" i="1"/>
  <c r="M361" i="1"/>
  <c r="L361" i="1"/>
  <c r="G361" i="1"/>
  <c r="M360" i="1"/>
  <c r="L360" i="1"/>
  <c r="G360" i="1"/>
  <c r="M359" i="1"/>
  <c r="L359" i="1"/>
  <c r="G359" i="1"/>
  <c r="M358" i="1"/>
  <c r="L358" i="1"/>
  <c r="G358" i="1"/>
  <c r="G357" i="1"/>
  <c r="M356" i="1"/>
  <c r="L356" i="1"/>
  <c r="H356" i="1"/>
  <c r="G356" i="1"/>
  <c r="M355" i="1"/>
  <c r="L355" i="1"/>
  <c r="G355" i="1"/>
  <c r="M354" i="1"/>
  <c r="L354" i="1"/>
  <c r="H354" i="1"/>
  <c r="G354" i="1"/>
  <c r="M353" i="1"/>
  <c r="L353" i="1"/>
  <c r="H353" i="1"/>
  <c r="G353" i="1"/>
  <c r="M352" i="1"/>
  <c r="L352" i="1"/>
  <c r="G352" i="1"/>
  <c r="M351" i="1"/>
  <c r="L351" i="1"/>
  <c r="H351" i="1"/>
  <c r="G351" i="1"/>
  <c r="M350" i="1"/>
  <c r="L350" i="1"/>
  <c r="G350" i="1"/>
  <c r="M349" i="1"/>
  <c r="L349" i="1"/>
  <c r="H349" i="1"/>
  <c r="G349" i="1"/>
  <c r="X347" i="1"/>
  <c r="W347" i="1"/>
  <c r="V347" i="1"/>
  <c r="U347" i="1"/>
  <c r="T347" i="1"/>
  <c r="S347" i="1"/>
  <c r="R347" i="1"/>
  <c r="Q347" i="1"/>
  <c r="P347" i="1"/>
  <c r="O347" i="1"/>
  <c r="N347" i="1"/>
  <c r="M347" i="1"/>
  <c r="L347" i="1"/>
  <c r="K347" i="1"/>
  <c r="J347" i="1"/>
  <c r="I347" i="1"/>
  <c r="H347" i="1"/>
  <c r="G347" i="1"/>
  <c r="F347" i="1"/>
  <c r="E347" i="1"/>
  <c r="D347" i="1"/>
  <c r="M346" i="1"/>
  <c r="L346" i="1"/>
  <c r="G346" i="1"/>
  <c r="M345" i="1"/>
  <c r="L345" i="1"/>
  <c r="G345" i="1"/>
  <c r="M344" i="1"/>
  <c r="L344" i="1"/>
  <c r="G344" i="1"/>
  <c r="M343" i="1"/>
  <c r="L343" i="1"/>
  <c r="G343" i="1"/>
  <c r="M342" i="1"/>
  <c r="L342" i="1"/>
  <c r="G342" i="1"/>
  <c r="M341" i="1"/>
  <c r="L341" i="1"/>
  <c r="G341" i="1"/>
  <c r="M340" i="1"/>
  <c r="L340" i="1"/>
  <c r="G340" i="1"/>
  <c r="M339" i="1"/>
  <c r="L339" i="1"/>
  <c r="G339" i="1"/>
  <c r="M338" i="1"/>
  <c r="L338" i="1"/>
  <c r="G338" i="1"/>
  <c r="M337" i="1"/>
  <c r="L337" i="1"/>
  <c r="G337" i="1"/>
  <c r="M336" i="1"/>
  <c r="L336" i="1"/>
  <c r="G336" i="1"/>
  <c r="M335" i="1"/>
  <c r="L335" i="1"/>
  <c r="G335" i="1"/>
  <c r="M334" i="1"/>
  <c r="L334" i="1"/>
  <c r="H334" i="1"/>
  <c r="G334" i="1"/>
  <c r="M333" i="1"/>
  <c r="L333" i="1"/>
  <c r="G333" i="1"/>
  <c r="M332" i="1"/>
  <c r="L332" i="1"/>
  <c r="H332" i="1"/>
  <c r="G332" i="1"/>
  <c r="M331" i="1"/>
  <c r="L331" i="1"/>
  <c r="H331" i="1"/>
  <c r="G331" i="1"/>
  <c r="M330" i="1"/>
  <c r="L330" i="1"/>
  <c r="H330" i="1"/>
  <c r="G330" i="1"/>
  <c r="M329" i="1"/>
  <c r="L329" i="1"/>
  <c r="G329" i="1"/>
  <c r="M328" i="1"/>
  <c r="L328" i="1"/>
  <c r="H328" i="1"/>
  <c r="G328" i="1"/>
  <c r="M327" i="1"/>
  <c r="L327" i="1"/>
  <c r="G327" i="1"/>
  <c r="M326" i="1"/>
  <c r="L326" i="1"/>
  <c r="H326" i="1"/>
  <c r="G326" i="1"/>
  <c r="E326" i="1"/>
  <c r="X324" i="1"/>
  <c r="W324" i="1"/>
  <c r="V324" i="1"/>
  <c r="U324" i="1"/>
  <c r="T324" i="1"/>
  <c r="S324" i="1"/>
  <c r="R324" i="1"/>
  <c r="Q324" i="1"/>
  <c r="P324" i="1"/>
  <c r="O324" i="1"/>
  <c r="N324" i="1"/>
  <c r="M324" i="1"/>
  <c r="L324" i="1"/>
  <c r="K324" i="1"/>
  <c r="J324" i="1"/>
  <c r="I324" i="1"/>
  <c r="H324" i="1"/>
  <c r="G324" i="1"/>
  <c r="F324" i="1"/>
  <c r="E324" i="1"/>
  <c r="D324" i="1"/>
  <c r="M323" i="1"/>
  <c r="L323" i="1"/>
  <c r="G323" i="1"/>
  <c r="M322" i="1"/>
  <c r="L322" i="1"/>
  <c r="G322" i="1"/>
  <c r="M321" i="1"/>
  <c r="L321" i="1"/>
  <c r="H321" i="1"/>
  <c r="G321" i="1"/>
  <c r="M320" i="1"/>
  <c r="L320" i="1"/>
  <c r="G320" i="1"/>
  <c r="M319" i="1"/>
  <c r="L319" i="1"/>
  <c r="H319" i="1"/>
  <c r="G319" i="1"/>
  <c r="E319" i="1"/>
  <c r="M318" i="1"/>
  <c r="L318" i="1"/>
  <c r="H318" i="1"/>
  <c r="G318" i="1"/>
  <c r="M317" i="1"/>
  <c r="L317" i="1"/>
  <c r="G317" i="1"/>
  <c r="M316" i="1"/>
  <c r="L316" i="1"/>
  <c r="H316" i="1"/>
  <c r="G316" i="1"/>
  <c r="M315" i="1"/>
  <c r="L315" i="1"/>
  <c r="G315" i="1"/>
  <c r="M314" i="1"/>
  <c r="L314" i="1"/>
  <c r="H314" i="1"/>
  <c r="G314" i="1"/>
  <c r="E314" i="1"/>
  <c r="D314" i="1"/>
  <c r="X312" i="1"/>
  <c r="W312" i="1"/>
  <c r="V312" i="1"/>
  <c r="U312" i="1"/>
  <c r="T312" i="1"/>
  <c r="S312" i="1"/>
  <c r="R312" i="1"/>
  <c r="Q312" i="1"/>
  <c r="P312" i="1"/>
  <c r="O312" i="1"/>
  <c r="N312" i="1"/>
  <c r="M312" i="1"/>
  <c r="L312" i="1"/>
  <c r="K312" i="1"/>
  <c r="J312" i="1"/>
  <c r="I312" i="1"/>
  <c r="H312" i="1"/>
  <c r="G312" i="1"/>
  <c r="F312" i="1"/>
  <c r="E312" i="1"/>
  <c r="D312" i="1"/>
  <c r="M311" i="1"/>
  <c r="L311" i="1"/>
  <c r="G311" i="1"/>
  <c r="M310" i="1"/>
  <c r="L310" i="1"/>
  <c r="G310" i="1"/>
  <c r="M309" i="1"/>
  <c r="G309" i="1"/>
  <c r="M308" i="1"/>
  <c r="L308" i="1"/>
  <c r="G308" i="1"/>
  <c r="M307" i="1"/>
  <c r="L307" i="1"/>
  <c r="H307" i="1"/>
  <c r="G307" i="1"/>
  <c r="M306" i="1"/>
  <c r="L306" i="1"/>
  <c r="G306" i="1"/>
  <c r="M305" i="1"/>
  <c r="L305" i="1"/>
  <c r="H305" i="1"/>
  <c r="G305" i="1"/>
  <c r="M304" i="1"/>
  <c r="L304" i="1"/>
  <c r="H304" i="1"/>
  <c r="G304" i="1"/>
  <c r="M303" i="1"/>
  <c r="L303" i="1"/>
  <c r="G303" i="1"/>
  <c r="M302" i="1"/>
  <c r="L302" i="1"/>
  <c r="H302" i="1"/>
  <c r="G302" i="1"/>
  <c r="M301" i="1"/>
  <c r="L301" i="1"/>
  <c r="G301" i="1"/>
  <c r="M300" i="1"/>
  <c r="L300" i="1"/>
  <c r="H300" i="1"/>
  <c r="G300" i="1"/>
  <c r="E300" i="1"/>
  <c r="M299" i="1"/>
  <c r="X298" i="1"/>
  <c r="W298" i="1"/>
  <c r="V298" i="1"/>
  <c r="U298" i="1"/>
  <c r="T298" i="1"/>
  <c r="S298" i="1"/>
  <c r="R298" i="1"/>
  <c r="Q298" i="1"/>
  <c r="P298" i="1"/>
  <c r="O298" i="1"/>
  <c r="N298" i="1"/>
  <c r="M298" i="1"/>
  <c r="L298" i="1"/>
  <c r="K298" i="1"/>
  <c r="J298" i="1"/>
  <c r="I298" i="1"/>
  <c r="H298" i="1"/>
  <c r="G298" i="1"/>
  <c r="F298" i="1"/>
  <c r="E298" i="1"/>
  <c r="D298" i="1"/>
  <c r="M297" i="1"/>
  <c r="L297" i="1"/>
  <c r="G297" i="1"/>
  <c r="M296" i="1"/>
  <c r="L296" i="1"/>
  <c r="G296" i="1"/>
  <c r="M295" i="1"/>
  <c r="L295" i="1"/>
  <c r="G295" i="1"/>
  <c r="M294" i="1"/>
  <c r="L294" i="1"/>
  <c r="G294" i="1"/>
  <c r="M293" i="1"/>
  <c r="L293" i="1"/>
  <c r="G293" i="1"/>
  <c r="M292" i="1"/>
  <c r="L292" i="1"/>
  <c r="G292" i="1"/>
  <c r="M291" i="1"/>
  <c r="L291" i="1"/>
  <c r="G291" i="1"/>
  <c r="M290" i="1"/>
  <c r="L290" i="1"/>
  <c r="G290" i="1"/>
  <c r="M289" i="1"/>
  <c r="L289" i="1"/>
  <c r="G289" i="1"/>
  <c r="M288" i="1"/>
  <c r="L288" i="1"/>
  <c r="H288" i="1"/>
  <c r="G288" i="1"/>
  <c r="M287" i="1"/>
  <c r="L287" i="1"/>
  <c r="G287" i="1"/>
  <c r="M286" i="1"/>
  <c r="L286" i="1"/>
  <c r="H286" i="1"/>
  <c r="G286" i="1"/>
  <c r="M285" i="1"/>
  <c r="L285" i="1"/>
  <c r="G285" i="1"/>
  <c r="M284" i="1"/>
  <c r="L284" i="1"/>
  <c r="G284" i="1"/>
  <c r="M283" i="1"/>
  <c r="L283" i="1"/>
  <c r="H283" i="1"/>
  <c r="G283" i="1"/>
  <c r="X281" i="1"/>
  <c r="W281" i="1"/>
  <c r="V281" i="1"/>
  <c r="U281" i="1"/>
  <c r="T281" i="1"/>
  <c r="S281" i="1"/>
  <c r="R281" i="1"/>
  <c r="Q281" i="1"/>
  <c r="P281" i="1"/>
  <c r="O281" i="1"/>
  <c r="N281" i="1"/>
  <c r="M281" i="1"/>
  <c r="L281" i="1"/>
  <c r="K281" i="1"/>
  <c r="J281" i="1"/>
  <c r="I281" i="1"/>
  <c r="H281" i="1"/>
  <c r="G281" i="1"/>
  <c r="F281" i="1"/>
  <c r="E281" i="1"/>
  <c r="D281" i="1"/>
  <c r="M280" i="1"/>
  <c r="L280" i="1"/>
  <c r="G280" i="1"/>
  <c r="M279" i="1"/>
  <c r="L279" i="1"/>
  <c r="G279" i="1"/>
  <c r="M278" i="1"/>
  <c r="L278" i="1"/>
  <c r="G278" i="1"/>
  <c r="M277" i="1"/>
  <c r="L277" i="1"/>
  <c r="G277" i="1"/>
  <c r="M276" i="1"/>
  <c r="L276" i="1"/>
  <c r="G276" i="1"/>
  <c r="M275" i="1"/>
  <c r="L275" i="1"/>
  <c r="G275" i="1"/>
  <c r="M274" i="1"/>
  <c r="L274" i="1"/>
  <c r="G274" i="1"/>
  <c r="M273" i="1"/>
  <c r="L273" i="1"/>
  <c r="H273" i="1"/>
  <c r="G273" i="1"/>
  <c r="M272" i="1"/>
  <c r="L272" i="1"/>
  <c r="H272" i="1"/>
  <c r="G272" i="1"/>
  <c r="M271" i="1"/>
  <c r="L271" i="1"/>
  <c r="H271" i="1"/>
  <c r="G271" i="1"/>
  <c r="M270" i="1"/>
  <c r="L270" i="1"/>
  <c r="H270" i="1"/>
  <c r="G270" i="1"/>
  <c r="M269" i="1"/>
  <c r="L269" i="1"/>
  <c r="G269" i="1"/>
  <c r="M268" i="1"/>
  <c r="L268" i="1"/>
  <c r="H268" i="1"/>
  <c r="G268" i="1"/>
  <c r="X266" i="1"/>
  <c r="W266" i="1"/>
  <c r="V266" i="1"/>
  <c r="U266" i="1"/>
  <c r="T266" i="1"/>
  <c r="S266" i="1"/>
  <c r="R266" i="1"/>
  <c r="Q266" i="1"/>
  <c r="P266" i="1"/>
  <c r="O266" i="1"/>
  <c r="N266" i="1"/>
  <c r="M266" i="1"/>
  <c r="L266" i="1"/>
  <c r="K266" i="1"/>
  <c r="J266" i="1"/>
  <c r="I266" i="1"/>
  <c r="H266" i="1"/>
  <c r="G266" i="1"/>
  <c r="F266" i="1"/>
  <c r="E266" i="1"/>
  <c r="D266" i="1"/>
  <c r="M265" i="1"/>
  <c r="L265" i="1"/>
  <c r="G265" i="1"/>
  <c r="M264" i="1"/>
  <c r="L264" i="1"/>
  <c r="G264" i="1"/>
  <c r="M263" i="1"/>
  <c r="L263" i="1"/>
  <c r="G263" i="1"/>
  <c r="M262" i="1"/>
  <c r="L262" i="1"/>
  <c r="G262" i="1"/>
  <c r="M261" i="1"/>
  <c r="L261" i="1"/>
  <c r="G261" i="1"/>
  <c r="M260" i="1"/>
  <c r="L260" i="1"/>
  <c r="G260" i="1"/>
  <c r="M259" i="1"/>
  <c r="L259" i="1"/>
  <c r="G259" i="1"/>
  <c r="M258" i="1"/>
  <c r="L258" i="1"/>
  <c r="H258" i="1"/>
  <c r="G258" i="1"/>
  <c r="M257" i="1"/>
  <c r="L257" i="1"/>
  <c r="H257" i="1"/>
  <c r="G257" i="1"/>
  <c r="M256" i="1"/>
  <c r="L256" i="1"/>
  <c r="G256" i="1"/>
  <c r="M255" i="1"/>
  <c r="L255" i="1"/>
  <c r="H255" i="1"/>
  <c r="G255" i="1"/>
  <c r="X253" i="1"/>
  <c r="W253" i="1"/>
  <c r="V253" i="1"/>
  <c r="U253" i="1"/>
  <c r="T253" i="1"/>
  <c r="S253" i="1"/>
  <c r="R253" i="1"/>
  <c r="Q253" i="1"/>
  <c r="P253" i="1"/>
  <c r="O253" i="1"/>
  <c r="N253" i="1"/>
  <c r="M253" i="1"/>
  <c r="L253" i="1"/>
  <c r="K253" i="1"/>
  <c r="J253" i="1"/>
  <c r="I253" i="1"/>
  <c r="H253" i="1"/>
  <c r="G253" i="1"/>
  <c r="F253" i="1"/>
  <c r="E253" i="1"/>
  <c r="D253" i="1"/>
  <c r="M252" i="1"/>
  <c r="L252" i="1"/>
  <c r="G252" i="1"/>
  <c r="M251" i="1"/>
  <c r="L251" i="1"/>
  <c r="G251" i="1"/>
  <c r="M250" i="1"/>
  <c r="L250" i="1"/>
  <c r="G250" i="1"/>
  <c r="M249" i="1"/>
  <c r="L249" i="1"/>
  <c r="G249" i="1"/>
  <c r="M248" i="1"/>
  <c r="L248" i="1"/>
  <c r="G248" i="1"/>
  <c r="M247" i="1"/>
  <c r="L247" i="1"/>
  <c r="G247" i="1"/>
  <c r="M246" i="1"/>
  <c r="L246" i="1"/>
  <c r="G246" i="1"/>
  <c r="M245" i="1"/>
  <c r="L245" i="1"/>
  <c r="G245" i="1"/>
  <c r="M244" i="1"/>
  <c r="L244" i="1"/>
  <c r="G244" i="1"/>
  <c r="M243" i="1"/>
  <c r="L243" i="1"/>
  <c r="G243" i="1"/>
  <c r="M242" i="1"/>
  <c r="L242" i="1"/>
  <c r="H242" i="1"/>
  <c r="G242" i="1"/>
  <c r="M241" i="1"/>
  <c r="L241" i="1"/>
  <c r="H241" i="1"/>
  <c r="G241" i="1"/>
  <c r="M240" i="1"/>
  <c r="L240" i="1"/>
  <c r="H240" i="1"/>
  <c r="G240" i="1"/>
  <c r="M239" i="1"/>
  <c r="L239" i="1"/>
  <c r="H239" i="1"/>
  <c r="G239" i="1"/>
  <c r="M238" i="1"/>
  <c r="L238" i="1"/>
  <c r="H238" i="1"/>
  <c r="G238" i="1"/>
  <c r="M237" i="1"/>
  <c r="L237" i="1"/>
  <c r="G237" i="1"/>
  <c r="M236" i="1"/>
  <c r="L236" i="1"/>
  <c r="H236" i="1"/>
  <c r="G236" i="1"/>
  <c r="X234" i="1"/>
  <c r="W234" i="1"/>
  <c r="V234" i="1"/>
  <c r="U234" i="1"/>
  <c r="T234" i="1"/>
  <c r="S234" i="1"/>
  <c r="R234" i="1"/>
  <c r="Q234" i="1"/>
  <c r="P234" i="1"/>
  <c r="O234" i="1"/>
  <c r="N234" i="1"/>
  <c r="M234" i="1"/>
  <c r="L234" i="1"/>
  <c r="K234" i="1"/>
  <c r="J234" i="1"/>
  <c r="I234" i="1"/>
  <c r="H234" i="1"/>
  <c r="G234" i="1"/>
  <c r="F234" i="1"/>
  <c r="E234" i="1"/>
  <c r="D234" i="1"/>
  <c r="M233" i="1"/>
  <c r="L233" i="1"/>
  <c r="G233" i="1"/>
  <c r="M232" i="1"/>
  <c r="L232" i="1"/>
  <c r="G232" i="1"/>
  <c r="M231" i="1"/>
  <c r="L231" i="1"/>
  <c r="G231" i="1"/>
  <c r="M230" i="1"/>
  <c r="L230" i="1"/>
  <c r="G230" i="1"/>
  <c r="M229" i="1"/>
  <c r="L229" i="1"/>
  <c r="G229" i="1"/>
  <c r="M228" i="1"/>
  <c r="L228" i="1"/>
  <c r="G228" i="1"/>
  <c r="M227" i="1"/>
  <c r="L227" i="1"/>
  <c r="G227" i="1"/>
  <c r="M226" i="1"/>
  <c r="L226" i="1"/>
  <c r="G226" i="1"/>
  <c r="M225" i="1"/>
  <c r="L225" i="1"/>
  <c r="G225" i="1"/>
  <c r="M224" i="1"/>
  <c r="L224" i="1"/>
  <c r="G224" i="1"/>
  <c r="M223" i="1"/>
  <c r="L223" i="1"/>
  <c r="H223" i="1"/>
  <c r="G223" i="1"/>
  <c r="M222" i="1"/>
  <c r="L222" i="1"/>
  <c r="H222" i="1"/>
  <c r="G222" i="1"/>
  <c r="M221" i="1"/>
  <c r="L221" i="1"/>
  <c r="H221" i="1"/>
  <c r="G221" i="1"/>
  <c r="M220" i="1"/>
  <c r="L220" i="1"/>
  <c r="H220" i="1"/>
  <c r="G220" i="1"/>
  <c r="M219" i="1"/>
  <c r="L219" i="1"/>
  <c r="G219" i="1"/>
  <c r="M218" i="1"/>
  <c r="L218" i="1"/>
  <c r="H218" i="1"/>
  <c r="G218" i="1"/>
  <c r="X216" i="1"/>
  <c r="W216" i="1"/>
  <c r="V216" i="1"/>
  <c r="U216" i="1"/>
  <c r="T216" i="1"/>
  <c r="S216" i="1"/>
  <c r="R216" i="1"/>
  <c r="Q216" i="1"/>
  <c r="P216" i="1"/>
  <c r="O216" i="1"/>
  <c r="N216" i="1"/>
  <c r="M216" i="1"/>
  <c r="L216" i="1"/>
  <c r="K216" i="1"/>
  <c r="J216" i="1"/>
  <c r="I216" i="1"/>
  <c r="H216" i="1"/>
  <c r="G216" i="1"/>
  <c r="F216" i="1"/>
  <c r="E216" i="1"/>
  <c r="D216" i="1"/>
  <c r="M215" i="1"/>
  <c r="L215" i="1"/>
  <c r="G215" i="1"/>
  <c r="M214" i="1"/>
  <c r="L214" i="1"/>
  <c r="G214" i="1"/>
  <c r="M213" i="1"/>
  <c r="L213" i="1"/>
  <c r="G213" i="1"/>
  <c r="M212" i="1"/>
  <c r="L212" i="1"/>
  <c r="G212" i="1"/>
  <c r="M211" i="1"/>
  <c r="L211" i="1"/>
  <c r="G211" i="1"/>
  <c r="M210" i="1"/>
  <c r="L210" i="1"/>
  <c r="G210" i="1"/>
  <c r="M209" i="1"/>
  <c r="L209" i="1"/>
  <c r="G209" i="1"/>
  <c r="M208" i="1"/>
  <c r="L208" i="1"/>
  <c r="G208" i="1"/>
  <c r="M207" i="1"/>
  <c r="L207" i="1"/>
  <c r="H207" i="1"/>
  <c r="G207" i="1"/>
  <c r="M206" i="1"/>
  <c r="L206" i="1"/>
  <c r="G206" i="1"/>
  <c r="M205" i="1"/>
  <c r="L205" i="1"/>
  <c r="H205" i="1"/>
  <c r="G205" i="1"/>
  <c r="D205" i="1"/>
  <c r="M204" i="1"/>
  <c r="L204" i="1"/>
  <c r="H204" i="1"/>
  <c r="G204" i="1"/>
  <c r="M203" i="1"/>
  <c r="L203" i="1"/>
  <c r="G203" i="1"/>
  <c r="M202" i="1"/>
  <c r="L202" i="1"/>
  <c r="H202" i="1"/>
  <c r="G202" i="1"/>
  <c r="M201" i="1"/>
  <c r="L201" i="1"/>
  <c r="H201" i="1"/>
  <c r="G201" i="1"/>
  <c r="X199" i="1"/>
  <c r="W199" i="1"/>
  <c r="V199" i="1"/>
  <c r="U199" i="1"/>
  <c r="T199" i="1"/>
  <c r="S199" i="1"/>
  <c r="R199" i="1"/>
  <c r="Q199" i="1"/>
  <c r="P199" i="1"/>
  <c r="O199" i="1"/>
  <c r="N199" i="1"/>
  <c r="M199" i="1"/>
  <c r="L199" i="1"/>
  <c r="K199" i="1"/>
  <c r="J199" i="1"/>
  <c r="I199" i="1"/>
  <c r="H199" i="1"/>
  <c r="G199" i="1"/>
  <c r="F199" i="1"/>
  <c r="E199" i="1"/>
  <c r="D199" i="1"/>
  <c r="M198" i="1"/>
  <c r="L198" i="1"/>
  <c r="G198" i="1"/>
  <c r="M197" i="1"/>
  <c r="L197" i="1"/>
  <c r="G197" i="1"/>
  <c r="M196" i="1"/>
  <c r="L196" i="1"/>
  <c r="G196" i="1"/>
  <c r="M195" i="1"/>
  <c r="L195" i="1"/>
  <c r="G195" i="1"/>
  <c r="M194" i="1"/>
  <c r="L194" i="1"/>
  <c r="H194" i="1"/>
  <c r="G194" i="1"/>
  <c r="M193" i="1"/>
  <c r="L193" i="1"/>
  <c r="H193" i="1"/>
  <c r="G193" i="1"/>
  <c r="M192" i="1"/>
  <c r="L192" i="1"/>
  <c r="G192" i="1"/>
  <c r="M191" i="1"/>
  <c r="L191" i="1"/>
  <c r="H191" i="1"/>
  <c r="G191" i="1"/>
  <c r="M190" i="1"/>
  <c r="L190" i="1"/>
  <c r="H190" i="1"/>
  <c r="G190" i="1"/>
  <c r="X188" i="1"/>
  <c r="W188" i="1"/>
  <c r="V188" i="1"/>
  <c r="U188" i="1"/>
  <c r="T188" i="1"/>
  <c r="S188" i="1"/>
  <c r="R188" i="1"/>
  <c r="Q188" i="1"/>
  <c r="P188" i="1"/>
  <c r="O188" i="1"/>
  <c r="N188" i="1"/>
  <c r="M188" i="1"/>
  <c r="L188" i="1"/>
  <c r="K188" i="1"/>
  <c r="J188" i="1"/>
  <c r="I188" i="1"/>
  <c r="H188" i="1"/>
  <c r="G188" i="1"/>
  <c r="F188" i="1"/>
  <c r="E188" i="1"/>
  <c r="D188" i="1"/>
  <c r="M187" i="1"/>
  <c r="L187" i="1"/>
  <c r="G187" i="1"/>
  <c r="M186" i="1"/>
  <c r="L186" i="1"/>
  <c r="G186" i="1"/>
  <c r="M185" i="1"/>
  <c r="L185" i="1"/>
  <c r="G185" i="1"/>
  <c r="M184" i="1"/>
  <c r="L184" i="1"/>
  <c r="G184" i="1"/>
  <c r="M183" i="1"/>
  <c r="L183" i="1"/>
  <c r="G183" i="1"/>
  <c r="M182" i="1"/>
  <c r="L182" i="1"/>
  <c r="G182" i="1"/>
  <c r="M181" i="1"/>
  <c r="L181" i="1"/>
  <c r="G181" i="1"/>
  <c r="M180" i="1"/>
  <c r="L180" i="1"/>
  <c r="G180" i="1"/>
  <c r="M179" i="1"/>
  <c r="L179" i="1"/>
  <c r="G179" i="1"/>
  <c r="M178" i="1"/>
  <c r="L178" i="1"/>
  <c r="G178" i="1"/>
  <c r="M177" i="1"/>
  <c r="L177" i="1"/>
  <c r="H177" i="1"/>
  <c r="G177" i="1"/>
  <c r="M176" i="1"/>
  <c r="L176" i="1"/>
  <c r="H176" i="1"/>
  <c r="G176" i="1"/>
  <c r="M175" i="1"/>
  <c r="L175" i="1"/>
  <c r="G175" i="1"/>
  <c r="M174" i="1"/>
  <c r="L174" i="1"/>
  <c r="H174" i="1"/>
  <c r="G174" i="1"/>
  <c r="M173" i="1"/>
  <c r="L173" i="1"/>
  <c r="H173" i="1"/>
  <c r="G173" i="1"/>
  <c r="M172" i="1"/>
  <c r="L172" i="1"/>
  <c r="H172" i="1"/>
  <c r="G172" i="1"/>
  <c r="X170" i="1"/>
  <c r="W170" i="1"/>
  <c r="V170" i="1"/>
  <c r="U170" i="1"/>
  <c r="T170" i="1"/>
  <c r="S170" i="1"/>
  <c r="R170" i="1"/>
  <c r="Q170" i="1"/>
  <c r="P170" i="1"/>
  <c r="O170" i="1"/>
  <c r="N170" i="1"/>
  <c r="M170" i="1"/>
  <c r="L170" i="1"/>
  <c r="K170" i="1"/>
  <c r="J170" i="1"/>
  <c r="I170" i="1"/>
  <c r="H170" i="1"/>
  <c r="G170" i="1"/>
  <c r="F170" i="1"/>
  <c r="E170" i="1"/>
  <c r="D170" i="1"/>
  <c r="M169" i="1"/>
  <c r="L169" i="1"/>
  <c r="G169" i="1"/>
  <c r="M168" i="1"/>
  <c r="L168" i="1"/>
  <c r="G168" i="1"/>
  <c r="M167" i="1"/>
  <c r="L167" i="1"/>
  <c r="G167" i="1"/>
  <c r="M166" i="1"/>
  <c r="L166" i="1"/>
  <c r="G166" i="1"/>
  <c r="M165" i="1"/>
  <c r="L165" i="1"/>
  <c r="G165" i="1"/>
  <c r="M164" i="1"/>
  <c r="L164" i="1"/>
  <c r="G164" i="1"/>
  <c r="M163" i="1"/>
  <c r="L163" i="1"/>
  <c r="G163" i="1"/>
  <c r="M162" i="1"/>
  <c r="L162" i="1"/>
  <c r="G162" i="1"/>
  <c r="M161" i="1"/>
  <c r="L161" i="1"/>
  <c r="G161" i="1"/>
  <c r="M160" i="1"/>
  <c r="L160" i="1"/>
  <c r="G160" i="1"/>
  <c r="M159" i="1"/>
  <c r="L159" i="1"/>
  <c r="G159" i="1"/>
  <c r="M158" i="1"/>
  <c r="L158" i="1"/>
  <c r="G158" i="1"/>
  <c r="M157" i="1"/>
  <c r="L157" i="1"/>
  <c r="H157" i="1"/>
  <c r="G157" i="1"/>
  <c r="M156" i="1"/>
  <c r="L156" i="1"/>
  <c r="H156" i="1"/>
  <c r="G156" i="1"/>
  <c r="M155" i="1"/>
  <c r="L155" i="1"/>
  <c r="H155" i="1"/>
  <c r="G155" i="1"/>
  <c r="M154" i="1"/>
  <c r="L154" i="1"/>
  <c r="G154" i="1"/>
  <c r="M153" i="1"/>
  <c r="L153" i="1"/>
  <c r="H153" i="1"/>
  <c r="G153" i="1"/>
  <c r="M152" i="1"/>
  <c r="L152" i="1"/>
  <c r="G152" i="1"/>
  <c r="M151" i="1"/>
  <c r="L151" i="1"/>
  <c r="H151" i="1"/>
  <c r="G151" i="1"/>
  <c r="X149" i="1"/>
  <c r="W149" i="1"/>
  <c r="V149" i="1"/>
  <c r="U149" i="1"/>
  <c r="T149" i="1"/>
  <c r="S149" i="1"/>
  <c r="R149" i="1"/>
  <c r="Q149" i="1"/>
  <c r="P149" i="1"/>
  <c r="O149" i="1"/>
  <c r="N149" i="1"/>
  <c r="M149" i="1"/>
  <c r="L149" i="1"/>
  <c r="K149" i="1"/>
  <c r="J149" i="1"/>
  <c r="I149" i="1"/>
  <c r="H149" i="1"/>
  <c r="G149" i="1"/>
  <c r="F149" i="1"/>
  <c r="E149" i="1"/>
  <c r="D149" i="1"/>
  <c r="M148" i="1"/>
  <c r="L148" i="1"/>
  <c r="G148" i="1"/>
  <c r="M147" i="1"/>
  <c r="L147" i="1"/>
  <c r="G147" i="1"/>
  <c r="M146" i="1"/>
  <c r="L146" i="1"/>
  <c r="G146" i="1"/>
  <c r="M145" i="1"/>
  <c r="L145" i="1"/>
  <c r="G145" i="1"/>
  <c r="M144" i="1"/>
  <c r="L144" i="1"/>
  <c r="G144" i="1"/>
  <c r="M143" i="1"/>
  <c r="L143" i="1"/>
  <c r="G143" i="1"/>
  <c r="M142" i="1"/>
  <c r="L142" i="1"/>
  <c r="H142" i="1"/>
  <c r="G142" i="1"/>
  <c r="M141" i="1"/>
  <c r="L141" i="1"/>
  <c r="G141" i="1"/>
  <c r="M140" i="1"/>
  <c r="L140" i="1"/>
  <c r="G140" i="1"/>
  <c r="M139" i="1"/>
  <c r="L139" i="1"/>
  <c r="G139" i="1"/>
  <c r="M138" i="1"/>
  <c r="L138" i="1"/>
  <c r="H138" i="1"/>
  <c r="G138" i="1"/>
  <c r="E138" i="1"/>
  <c r="M137" i="1"/>
  <c r="L137" i="1"/>
  <c r="G137" i="1"/>
  <c r="M136" i="1"/>
  <c r="L136" i="1"/>
  <c r="H136" i="1"/>
  <c r="G136" i="1"/>
  <c r="E136" i="1"/>
  <c r="M135" i="1"/>
  <c r="L135" i="1"/>
  <c r="G135" i="1"/>
  <c r="M134" i="1"/>
  <c r="L134" i="1"/>
  <c r="H134" i="1"/>
  <c r="G134" i="1"/>
  <c r="X133" i="1"/>
  <c r="W133" i="1"/>
  <c r="V133" i="1"/>
  <c r="U133" i="1"/>
  <c r="T133" i="1"/>
  <c r="S133" i="1"/>
  <c r="R133" i="1"/>
  <c r="Q133" i="1"/>
  <c r="P133" i="1"/>
  <c r="O133" i="1"/>
  <c r="N133" i="1"/>
  <c r="M133" i="1"/>
  <c r="L133" i="1"/>
  <c r="K133" i="1"/>
  <c r="J133" i="1"/>
  <c r="I133" i="1"/>
  <c r="H133" i="1"/>
  <c r="G133" i="1"/>
  <c r="F133" i="1"/>
  <c r="E133" i="1"/>
  <c r="D133" i="1"/>
  <c r="M132" i="1"/>
  <c r="L132" i="1"/>
  <c r="G132" i="1"/>
  <c r="M131" i="1"/>
  <c r="L131" i="1"/>
  <c r="G131" i="1"/>
  <c r="M130" i="1"/>
  <c r="L130" i="1"/>
  <c r="G130" i="1"/>
  <c r="M129" i="1"/>
  <c r="L129" i="1"/>
  <c r="G129" i="1"/>
  <c r="M128" i="1"/>
  <c r="L128" i="1"/>
  <c r="G128" i="1"/>
  <c r="M127" i="1"/>
  <c r="L127" i="1"/>
  <c r="G127" i="1"/>
  <c r="M126" i="1"/>
  <c r="L126" i="1"/>
  <c r="H126" i="1"/>
  <c r="G126" i="1"/>
  <c r="M125" i="1"/>
  <c r="L125" i="1"/>
  <c r="G125" i="1"/>
  <c r="M124" i="1"/>
  <c r="L124" i="1"/>
  <c r="H124" i="1"/>
  <c r="G124" i="1"/>
  <c r="M123" i="1"/>
  <c r="L123" i="1"/>
  <c r="H123" i="1"/>
  <c r="G123" i="1"/>
  <c r="M122" i="1"/>
  <c r="L122" i="1"/>
  <c r="H122" i="1"/>
  <c r="G122" i="1"/>
  <c r="M121" i="1"/>
  <c r="L121" i="1"/>
  <c r="H121" i="1"/>
  <c r="G121" i="1"/>
  <c r="X119" i="1"/>
  <c r="W119" i="1"/>
  <c r="V119" i="1"/>
  <c r="U119" i="1"/>
  <c r="T119" i="1"/>
  <c r="S119" i="1"/>
  <c r="R119" i="1"/>
  <c r="Q119" i="1"/>
  <c r="P119" i="1"/>
  <c r="O119" i="1"/>
  <c r="N119" i="1"/>
  <c r="M119" i="1"/>
  <c r="L119" i="1"/>
  <c r="K119" i="1"/>
  <c r="J119" i="1"/>
  <c r="I119" i="1"/>
  <c r="H119" i="1"/>
  <c r="G119" i="1"/>
  <c r="F119" i="1"/>
  <c r="E119" i="1"/>
  <c r="D119" i="1"/>
  <c r="M118" i="1"/>
  <c r="L118" i="1"/>
  <c r="G118" i="1"/>
  <c r="M117" i="1"/>
  <c r="L117" i="1"/>
  <c r="G117" i="1"/>
  <c r="M116" i="1"/>
  <c r="L116" i="1"/>
  <c r="G116" i="1"/>
  <c r="M115" i="1"/>
  <c r="L115" i="1"/>
  <c r="G115" i="1"/>
  <c r="M114" i="1"/>
  <c r="L114" i="1"/>
  <c r="G114" i="1"/>
  <c r="M113" i="1"/>
  <c r="L113" i="1"/>
  <c r="G113" i="1"/>
  <c r="M112" i="1"/>
  <c r="L112" i="1"/>
  <c r="G112" i="1"/>
  <c r="M111" i="1"/>
  <c r="L111" i="1"/>
  <c r="G111" i="1"/>
  <c r="M110" i="1"/>
  <c r="L110" i="1"/>
  <c r="G110" i="1"/>
  <c r="M109" i="1"/>
  <c r="L109" i="1"/>
  <c r="G109" i="1"/>
  <c r="M108" i="1"/>
  <c r="L108" i="1"/>
  <c r="G108" i="1"/>
  <c r="M107" i="1"/>
  <c r="L107" i="1"/>
  <c r="G107" i="1"/>
  <c r="M106" i="1"/>
  <c r="L106" i="1"/>
  <c r="H106" i="1"/>
  <c r="G106" i="1"/>
  <c r="M105" i="1"/>
  <c r="L105" i="1"/>
  <c r="H105" i="1"/>
  <c r="G105" i="1"/>
  <c r="M104" i="1"/>
  <c r="L104" i="1"/>
  <c r="H104" i="1"/>
  <c r="G104" i="1"/>
  <c r="M103" i="1"/>
  <c r="L103" i="1"/>
  <c r="H103" i="1"/>
  <c r="G103" i="1"/>
  <c r="M102" i="1"/>
  <c r="L102" i="1"/>
  <c r="G102" i="1"/>
  <c r="M101" i="1"/>
  <c r="L101" i="1"/>
  <c r="H101" i="1"/>
  <c r="G101" i="1"/>
  <c r="M100" i="1"/>
  <c r="L100" i="1"/>
  <c r="H100" i="1"/>
  <c r="G100" i="1"/>
  <c r="E100" i="1"/>
  <c r="M99" i="1"/>
  <c r="L99" i="1"/>
  <c r="G99" i="1"/>
  <c r="M98" i="1"/>
  <c r="L98" i="1"/>
  <c r="H98" i="1"/>
  <c r="G98" i="1"/>
  <c r="X96" i="1"/>
  <c r="W96" i="1"/>
  <c r="V96" i="1"/>
  <c r="U96" i="1"/>
  <c r="T96" i="1"/>
  <c r="S96" i="1"/>
  <c r="R96" i="1"/>
  <c r="Q96" i="1"/>
  <c r="P96" i="1"/>
  <c r="O96" i="1"/>
  <c r="N96" i="1"/>
  <c r="M96" i="1"/>
  <c r="L96" i="1"/>
  <c r="K96" i="1"/>
  <c r="J96" i="1"/>
  <c r="I96" i="1"/>
  <c r="H96" i="1"/>
  <c r="G96" i="1"/>
  <c r="F96" i="1"/>
  <c r="E96" i="1"/>
  <c r="D96" i="1"/>
  <c r="M95" i="1"/>
  <c r="L95" i="1"/>
  <c r="G95" i="1"/>
  <c r="M94" i="1"/>
  <c r="L94" i="1"/>
  <c r="G94" i="1"/>
  <c r="M93" i="1"/>
  <c r="L93" i="1"/>
  <c r="G93" i="1"/>
  <c r="M92" i="1"/>
  <c r="L92" i="1"/>
  <c r="G92" i="1"/>
  <c r="M91" i="1"/>
  <c r="L91" i="1"/>
  <c r="G91" i="1"/>
  <c r="M90" i="1"/>
  <c r="L90" i="1"/>
  <c r="G90" i="1"/>
  <c r="M89" i="1"/>
  <c r="L89" i="1"/>
  <c r="G89" i="1"/>
  <c r="M88" i="1"/>
  <c r="L88" i="1"/>
  <c r="G88" i="1"/>
  <c r="M87" i="1"/>
  <c r="L87" i="1"/>
  <c r="G87" i="1"/>
  <c r="M86" i="1"/>
  <c r="L86" i="1"/>
  <c r="G86" i="1"/>
  <c r="M85" i="1"/>
  <c r="L85" i="1"/>
  <c r="G85" i="1"/>
  <c r="M84" i="1"/>
  <c r="L84" i="1"/>
  <c r="G84" i="1"/>
  <c r="M83" i="1"/>
  <c r="L83" i="1"/>
  <c r="G83" i="1"/>
  <c r="M82" i="1"/>
  <c r="L82" i="1"/>
  <c r="G82" i="1"/>
  <c r="M81" i="1"/>
  <c r="L81" i="1"/>
  <c r="G81" i="1"/>
  <c r="M80" i="1"/>
  <c r="L80" i="1"/>
  <c r="H80" i="1"/>
  <c r="G80" i="1"/>
  <c r="M79" i="1"/>
  <c r="L79" i="1"/>
  <c r="H79" i="1"/>
  <c r="G79" i="1"/>
  <c r="M78" i="1"/>
  <c r="L78" i="1"/>
  <c r="G78" i="1"/>
  <c r="M77" i="1"/>
  <c r="L77" i="1"/>
  <c r="H77" i="1"/>
  <c r="G77" i="1"/>
  <c r="E77" i="1"/>
  <c r="M76" i="1"/>
  <c r="L76" i="1"/>
  <c r="G76" i="1"/>
  <c r="M75" i="1"/>
  <c r="L75" i="1"/>
  <c r="G75" i="1"/>
  <c r="X74" i="1"/>
  <c r="W74" i="1"/>
  <c r="V74" i="1"/>
  <c r="U74" i="1"/>
  <c r="T74" i="1"/>
  <c r="S74" i="1"/>
  <c r="R74" i="1"/>
  <c r="Q74" i="1"/>
  <c r="P74" i="1"/>
  <c r="O74" i="1"/>
  <c r="N74" i="1"/>
  <c r="M74" i="1"/>
  <c r="L74" i="1"/>
  <c r="K74" i="1"/>
  <c r="J74" i="1"/>
  <c r="I74" i="1"/>
  <c r="H74" i="1"/>
  <c r="G74" i="1"/>
  <c r="F74" i="1"/>
  <c r="E74" i="1"/>
  <c r="D74" i="1"/>
  <c r="M73" i="1"/>
  <c r="L73" i="1"/>
  <c r="G73" i="1"/>
  <c r="M72" i="1"/>
  <c r="L72" i="1"/>
  <c r="G72" i="1"/>
  <c r="M71" i="1"/>
  <c r="L71" i="1"/>
  <c r="G71" i="1"/>
  <c r="M70" i="1"/>
  <c r="L70" i="1"/>
  <c r="G70" i="1"/>
  <c r="M69" i="1"/>
  <c r="L69" i="1"/>
  <c r="G69" i="1"/>
  <c r="M68" i="1"/>
  <c r="L68" i="1"/>
  <c r="G68" i="1"/>
  <c r="M67" i="1"/>
  <c r="L67" i="1"/>
  <c r="G67" i="1"/>
  <c r="M66" i="1"/>
  <c r="L66" i="1"/>
  <c r="G66" i="1"/>
  <c r="M65" i="1"/>
  <c r="L65" i="1"/>
  <c r="G65" i="1"/>
  <c r="M64" i="1"/>
  <c r="L64" i="1"/>
  <c r="G64" i="1"/>
  <c r="M63" i="1"/>
  <c r="L63" i="1"/>
  <c r="G63" i="1"/>
  <c r="M62" i="1"/>
  <c r="L62" i="1"/>
  <c r="G62" i="1"/>
  <c r="M61" i="1"/>
  <c r="L61" i="1"/>
  <c r="G61" i="1"/>
  <c r="M60" i="1"/>
  <c r="L60" i="1"/>
  <c r="G60" i="1"/>
  <c r="M59" i="1"/>
  <c r="L59" i="1"/>
  <c r="H59" i="1"/>
  <c r="G59" i="1"/>
  <c r="M58" i="1"/>
  <c r="L58" i="1"/>
  <c r="H58" i="1"/>
  <c r="G58" i="1"/>
  <c r="M57" i="1"/>
  <c r="L57" i="1"/>
  <c r="H57" i="1"/>
  <c r="G57" i="1"/>
  <c r="M56" i="1"/>
  <c r="L56" i="1"/>
  <c r="H56" i="1"/>
  <c r="G56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M53" i="1"/>
  <c r="L53" i="1"/>
  <c r="H53" i="1"/>
  <c r="G53" i="1"/>
  <c r="X52" i="1"/>
  <c r="W52" i="1"/>
  <c r="V52" i="1"/>
  <c r="U52" i="1"/>
  <c r="T52" i="1"/>
  <c r="S52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M51" i="1"/>
  <c r="L51" i="1"/>
  <c r="H51" i="1"/>
  <c r="G51" i="1"/>
  <c r="Y50" i="1"/>
  <c r="X50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M49" i="1"/>
  <c r="L49" i="1"/>
  <c r="G49" i="1"/>
  <c r="M48" i="1"/>
  <c r="L48" i="1"/>
  <c r="G48" i="1"/>
  <c r="M47" i="1"/>
  <c r="L47" i="1"/>
  <c r="G47" i="1"/>
  <c r="M46" i="1"/>
  <c r="L46" i="1"/>
  <c r="G46" i="1"/>
  <c r="M45" i="1"/>
  <c r="L45" i="1"/>
  <c r="G45" i="1"/>
  <c r="M44" i="1"/>
  <c r="L44" i="1"/>
  <c r="G44" i="1"/>
  <c r="M43" i="1"/>
  <c r="L43" i="1"/>
  <c r="G43" i="1"/>
  <c r="M42" i="1"/>
  <c r="L42" i="1"/>
  <c r="G42" i="1"/>
  <c r="M41" i="1"/>
  <c r="L41" i="1"/>
  <c r="G41" i="1"/>
  <c r="M40" i="1"/>
  <c r="L40" i="1"/>
  <c r="G40" i="1"/>
  <c r="M39" i="1"/>
  <c r="L39" i="1"/>
  <c r="G39" i="1"/>
  <c r="M38" i="1"/>
  <c r="L38" i="1"/>
  <c r="G38" i="1"/>
  <c r="M37" i="1"/>
  <c r="L37" i="1"/>
  <c r="G37" i="1"/>
  <c r="M36" i="1"/>
  <c r="L36" i="1"/>
  <c r="G36" i="1"/>
  <c r="M35" i="1"/>
  <c r="L35" i="1"/>
  <c r="G35" i="1"/>
  <c r="M34" i="1"/>
  <c r="L34" i="1"/>
  <c r="G34" i="1"/>
  <c r="M33" i="1"/>
  <c r="L33" i="1"/>
  <c r="G33" i="1"/>
  <c r="M32" i="1"/>
  <c r="L32" i="1"/>
  <c r="G32" i="1"/>
  <c r="M31" i="1"/>
  <c r="L31" i="1"/>
  <c r="G31" i="1"/>
  <c r="M30" i="1"/>
  <c r="L30" i="1"/>
  <c r="G30" i="1"/>
  <c r="M29" i="1"/>
  <c r="L29" i="1"/>
  <c r="G29" i="1"/>
  <c r="M28" i="1"/>
  <c r="L28" i="1"/>
  <c r="G28" i="1"/>
  <c r="M27" i="1"/>
  <c r="L27" i="1"/>
  <c r="G27" i="1"/>
  <c r="M26" i="1"/>
  <c r="L26" i="1"/>
  <c r="G26" i="1"/>
  <c r="U25" i="1"/>
  <c r="M25" i="1"/>
  <c r="L25" i="1"/>
  <c r="G25" i="1"/>
  <c r="U24" i="1"/>
  <c r="M24" i="1"/>
  <c r="L24" i="1"/>
  <c r="G24" i="1"/>
  <c r="M23" i="1"/>
  <c r="L23" i="1"/>
  <c r="G23" i="1"/>
  <c r="M22" i="1"/>
  <c r="L22" i="1"/>
  <c r="G22" i="1"/>
  <c r="M21" i="1"/>
  <c r="L21" i="1"/>
  <c r="G21" i="1"/>
  <c r="M20" i="1"/>
  <c r="L20" i="1"/>
  <c r="G20" i="1"/>
  <c r="M19" i="1"/>
  <c r="L19" i="1"/>
  <c r="G19" i="1"/>
  <c r="M18" i="1"/>
  <c r="L18" i="1"/>
  <c r="G18" i="1"/>
  <c r="M17" i="1"/>
  <c r="L17" i="1"/>
  <c r="G17" i="1"/>
  <c r="M16" i="1"/>
  <c r="L16" i="1"/>
  <c r="G16" i="1"/>
  <c r="I15" i="5"/>
  <c r="H15" i="5"/>
  <c r="G15" i="5"/>
  <c r="F15" i="5"/>
  <c r="E15" i="5"/>
  <c r="D15" i="5"/>
  <c r="C15" i="5"/>
  <c r="I14" i="5"/>
  <c r="E14" i="5"/>
  <c r="I13" i="5"/>
  <c r="E13" i="5"/>
  <c r="I12" i="5"/>
  <c r="E12" i="5"/>
  <c r="I11" i="5"/>
  <c r="E11" i="5"/>
  <c r="I10" i="5"/>
  <c r="E10" i="5"/>
  <c r="I9" i="5"/>
  <c r="E9" i="5"/>
  <c r="I8" i="5"/>
  <c r="E8" i="5"/>
  <c r="I7" i="5"/>
  <c r="E7" i="5"/>
  <c r="I6" i="5"/>
  <c r="E6" i="5"/>
  <c r="I5" i="5"/>
  <c r="E5" i="5"/>
  <c r="I4" i="5"/>
  <c r="E4" i="5"/>
  <c r="K703" i="4"/>
  <c r="J703" i="4"/>
  <c r="I703" i="4"/>
  <c r="H703" i="4"/>
  <c r="G703" i="4"/>
  <c r="F703" i="4"/>
  <c r="E703" i="4"/>
  <c r="D703" i="4"/>
  <c r="C703" i="4"/>
  <c r="B703" i="4"/>
  <c r="E702" i="4"/>
  <c r="E701" i="4"/>
  <c r="E700" i="4"/>
  <c r="E699" i="4"/>
  <c r="L698" i="4"/>
  <c r="K698" i="4"/>
  <c r="J698" i="4"/>
  <c r="I698" i="4"/>
  <c r="H698" i="4"/>
  <c r="G698" i="4"/>
  <c r="F698" i="4"/>
  <c r="E698" i="4"/>
  <c r="D698" i="4"/>
  <c r="C698" i="4"/>
  <c r="B698" i="4"/>
  <c r="I697" i="4"/>
  <c r="E697" i="4"/>
  <c r="E696" i="4"/>
  <c r="E695" i="4"/>
  <c r="E694" i="4"/>
  <c r="E693" i="4"/>
  <c r="E692" i="4"/>
  <c r="E691" i="4"/>
  <c r="E690" i="4"/>
  <c r="E689" i="4"/>
  <c r="E688" i="4"/>
  <c r="E687" i="4"/>
  <c r="E686" i="4"/>
  <c r="E685" i="4"/>
  <c r="E684" i="4"/>
  <c r="E683" i="4"/>
  <c r="E682" i="4"/>
  <c r="E681" i="4"/>
  <c r="E680" i="4"/>
  <c r="E679" i="4"/>
  <c r="E678" i="4"/>
  <c r="E677" i="4"/>
  <c r="E676" i="4"/>
  <c r="E675" i="4"/>
  <c r="E674" i="4"/>
  <c r="E673" i="4"/>
  <c r="E672" i="4"/>
  <c r="E671" i="4"/>
  <c r="E670" i="4"/>
  <c r="E669" i="4"/>
  <c r="E668" i="4"/>
  <c r="E667" i="4"/>
  <c r="E666" i="4"/>
  <c r="E664" i="4"/>
  <c r="L663" i="4"/>
  <c r="K663" i="4"/>
  <c r="J663" i="4"/>
  <c r="I663" i="4"/>
  <c r="H663" i="4"/>
  <c r="G663" i="4"/>
  <c r="F663" i="4"/>
  <c r="E663" i="4"/>
  <c r="D663" i="4"/>
  <c r="C663" i="4"/>
  <c r="B663" i="4"/>
  <c r="I662" i="4"/>
  <c r="E662" i="4"/>
  <c r="I661" i="4"/>
  <c r="E661" i="4"/>
  <c r="I660" i="4"/>
  <c r="E660" i="4"/>
  <c r="E659" i="4"/>
  <c r="E658" i="4"/>
  <c r="L657" i="4"/>
  <c r="K657" i="4"/>
  <c r="J657" i="4"/>
  <c r="I657" i="4"/>
  <c r="H657" i="4"/>
  <c r="G657" i="4"/>
  <c r="F657" i="4"/>
  <c r="E657" i="4"/>
  <c r="D657" i="4"/>
  <c r="C657" i="4"/>
  <c r="B657" i="4"/>
  <c r="E656" i="4"/>
  <c r="E655" i="4"/>
  <c r="E654" i="4"/>
  <c r="E653" i="4"/>
  <c r="E652" i="4"/>
  <c r="E651" i="4"/>
  <c r="L650" i="4"/>
  <c r="K650" i="4"/>
  <c r="J650" i="4"/>
  <c r="I650" i="4"/>
  <c r="H650" i="4"/>
  <c r="G650" i="4"/>
  <c r="F650" i="4"/>
  <c r="E650" i="4"/>
  <c r="D650" i="4"/>
  <c r="C650" i="4"/>
  <c r="B650" i="4"/>
  <c r="L649" i="4"/>
  <c r="K649" i="4"/>
  <c r="J649" i="4"/>
  <c r="I649" i="4"/>
  <c r="H649" i="4"/>
  <c r="G649" i="4"/>
  <c r="F649" i="4"/>
  <c r="E649" i="4"/>
  <c r="D649" i="4"/>
  <c r="C649" i="4"/>
  <c r="B649" i="4"/>
  <c r="E648" i="4"/>
  <c r="I647" i="4"/>
  <c r="E647" i="4"/>
  <c r="I646" i="4"/>
  <c r="E646" i="4"/>
  <c r="I645" i="4"/>
  <c r="E645" i="4"/>
  <c r="E644" i="4"/>
  <c r="E643" i="4"/>
  <c r="E642" i="4"/>
  <c r="E641" i="4"/>
  <c r="L640" i="4"/>
  <c r="K640" i="4"/>
  <c r="J640" i="4"/>
  <c r="I640" i="4"/>
  <c r="H640" i="4"/>
  <c r="G640" i="4"/>
  <c r="F640" i="4"/>
  <c r="E640" i="4"/>
  <c r="D640" i="4"/>
  <c r="C640" i="4"/>
  <c r="B640" i="4"/>
  <c r="E639" i="4"/>
  <c r="E638" i="4"/>
  <c r="E637" i="4"/>
  <c r="E636" i="4"/>
  <c r="E635" i="4"/>
  <c r="E634" i="4"/>
  <c r="L633" i="4"/>
  <c r="K633" i="4"/>
  <c r="J633" i="4"/>
  <c r="I633" i="4"/>
  <c r="H633" i="4"/>
  <c r="G633" i="4"/>
  <c r="F633" i="4"/>
  <c r="E633" i="4"/>
  <c r="D633" i="4"/>
  <c r="C633" i="4"/>
  <c r="B633" i="4"/>
  <c r="E632" i="4"/>
  <c r="E631" i="4"/>
  <c r="E630" i="4"/>
  <c r="L629" i="4"/>
  <c r="K629" i="4"/>
  <c r="J629" i="4"/>
  <c r="I629" i="4"/>
  <c r="H629" i="4"/>
  <c r="G629" i="4"/>
  <c r="F629" i="4"/>
  <c r="E629" i="4"/>
  <c r="D629" i="4"/>
  <c r="C629" i="4"/>
  <c r="B629" i="4"/>
  <c r="E628" i="4"/>
  <c r="E627" i="4"/>
  <c r="E626" i="4"/>
  <c r="E625" i="4"/>
  <c r="L624" i="4"/>
  <c r="K624" i="4"/>
  <c r="J624" i="4"/>
  <c r="I624" i="4"/>
  <c r="H624" i="4"/>
  <c r="G624" i="4"/>
  <c r="F624" i="4"/>
  <c r="E624" i="4"/>
  <c r="D624" i="4"/>
  <c r="C624" i="4"/>
  <c r="B624" i="4"/>
  <c r="E623" i="4"/>
  <c r="I622" i="4"/>
  <c r="E622" i="4"/>
  <c r="E621" i="4"/>
  <c r="E620" i="4"/>
  <c r="E619" i="4"/>
  <c r="L618" i="4"/>
  <c r="K618" i="4"/>
  <c r="J618" i="4"/>
  <c r="I618" i="4"/>
  <c r="H618" i="4"/>
  <c r="G618" i="4"/>
  <c r="F618" i="4"/>
  <c r="E618" i="4"/>
  <c r="D618" i="4"/>
  <c r="C618" i="4"/>
  <c r="B618" i="4"/>
  <c r="E617" i="4"/>
  <c r="I616" i="4"/>
  <c r="E616" i="4"/>
  <c r="E615" i="4"/>
  <c r="E614" i="4"/>
  <c r="E613" i="4"/>
  <c r="E612" i="4"/>
  <c r="E611" i="4"/>
  <c r="E610" i="4"/>
  <c r="E609" i="4"/>
  <c r="E608" i="4"/>
  <c r="E607" i="4"/>
  <c r="E606" i="4"/>
  <c r="E605" i="4"/>
  <c r="L604" i="4"/>
  <c r="K604" i="4"/>
  <c r="J604" i="4"/>
  <c r="I604" i="4"/>
  <c r="H604" i="4"/>
  <c r="G604" i="4"/>
  <c r="F604" i="4"/>
  <c r="E604" i="4"/>
  <c r="D604" i="4"/>
  <c r="C604" i="4"/>
  <c r="B604" i="4"/>
  <c r="L603" i="4"/>
  <c r="K603" i="4"/>
  <c r="J603" i="4"/>
  <c r="I603" i="4"/>
  <c r="H603" i="4"/>
  <c r="G603" i="4"/>
  <c r="F603" i="4"/>
  <c r="E603" i="4"/>
  <c r="D603" i="4"/>
  <c r="C603" i="4"/>
  <c r="B603" i="4"/>
  <c r="E602" i="4"/>
  <c r="E601" i="4"/>
  <c r="E600" i="4"/>
  <c r="E599" i="4"/>
  <c r="E598" i="4"/>
  <c r="E597" i="4"/>
  <c r="E596" i="4"/>
  <c r="E595" i="4"/>
  <c r="E594" i="4"/>
  <c r="E593" i="4"/>
  <c r="E592" i="4"/>
  <c r="E591" i="4"/>
  <c r="E590" i="4"/>
  <c r="E589" i="4"/>
  <c r="L588" i="4"/>
  <c r="K588" i="4"/>
  <c r="J588" i="4"/>
  <c r="I588" i="4"/>
  <c r="H588" i="4"/>
  <c r="G588" i="4"/>
  <c r="F588" i="4"/>
  <c r="E588" i="4"/>
  <c r="D588" i="4"/>
  <c r="C588" i="4"/>
  <c r="B588" i="4"/>
  <c r="E587" i="4"/>
  <c r="L586" i="4"/>
  <c r="K586" i="4"/>
  <c r="J586" i="4"/>
  <c r="I586" i="4"/>
  <c r="H586" i="4"/>
  <c r="G586" i="4"/>
  <c r="F586" i="4"/>
  <c r="E586" i="4"/>
  <c r="D586" i="4"/>
  <c r="C586" i="4"/>
  <c r="B586" i="4"/>
  <c r="E585" i="4"/>
  <c r="E584" i="4"/>
  <c r="E583" i="4"/>
  <c r="E582" i="4"/>
  <c r="E581" i="4"/>
  <c r="E580" i="4"/>
  <c r="E579" i="4"/>
  <c r="E578" i="4"/>
  <c r="E577" i="4"/>
  <c r="E576" i="4"/>
  <c r="E575" i="4"/>
  <c r="E574" i="4"/>
  <c r="L573" i="4"/>
  <c r="K573" i="4"/>
  <c r="J573" i="4"/>
  <c r="I573" i="4"/>
  <c r="H573" i="4"/>
  <c r="G573" i="4"/>
  <c r="F573" i="4"/>
  <c r="E573" i="4"/>
  <c r="D573" i="4"/>
  <c r="C573" i="4"/>
  <c r="B573" i="4"/>
  <c r="L571" i="4"/>
  <c r="K571" i="4"/>
  <c r="J571" i="4"/>
  <c r="I571" i="4"/>
  <c r="H571" i="4"/>
  <c r="G571" i="4"/>
  <c r="F571" i="4"/>
  <c r="E571" i="4"/>
  <c r="D571" i="4"/>
  <c r="C571" i="4"/>
  <c r="B571" i="4"/>
  <c r="E570" i="4"/>
  <c r="E569" i="4"/>
  <c r="E568" i="4"/>
  <c r="E567" i="4"/>
  <c r="E566" i="4"/>
  <c r="E565" i="4"/>
  <c r="E564" i="4"/>
  <c r="E563" i="4"/>
  <c r="E562" i="4"/>
  <c r="E561" i="4"/>
  <c r="E560" i="4"/>
  <c r="E559" i="4"/>
  <c r="E558" i="4"/>
  <c r="L557" i="4"/>
  <c r="K557" i="4"/>
  <c r="J557" i="4"/>
  <c r="I557" i="4"/>
  <c r="H557" i="4"/>
  <c r="G557" i="4"/>
  <c r="F557" i="4"/>
  <c r="E557" i="4"/>
  <c r="D557" i="4"/>
  <c r="C557" i="4"/>
  <c r="B557" i="4"/>
  <c r="E556" i="4"/>
  <c r="E555" i="4"/>
  <c r="L554" i="4"/>
  <c r="K554" i="4"/>
  <c r="J554" i="4"/>
  <c r="I554" i="4"/>
  <c r="H554" i="4"/>
  <c r="G554" i="4"/>
  <c r="F554" i="4"/>
  <c r="E554" i="4"/>
  <c r="D554" i="4"/>
  <c r="C554" i="4"/>
  <c r="B554" i="4"/>
  <c r="E553" i="4"/>
  <c r="E552" i="4"/>
  <c r="E551" i="4"/>
  <c r="E550" i="4"/>
  <c r="E549" i="4"/>
  <c r="E548" i="4"/>
  <c r="E547" i="4"/>
  <c r="E546" i="4"/>
  <c r="E545" i="4"/>
  <c r="E544" i="4"/>
  <c r="E543" i="4"/>
  <c r="E542" i="4"/>
  <c r="L541" i="4"/>
  <c r="K541" i="4"/>
  <c r="J541" i="4"/>
  <c r="I541" i="4"/>
  <c r="H541" i="4"/>
  <c r="G541" i="4"/>
  <c r="F541" i="4"/>
  <c r="E541" i="4"/>
  <c r="D541" i="4"/>
  <c r="C541" i="4"/>
  <c r="B541" i="4"/>
  <c r="E540" i="4"/>
  <c r="E539" i="4"/>
  <c r="E538" i="4"/>
  <c r="E537" i="4"/>
  <c r="E536" i="4"/>
  <c r="E535" i="4"/>
  <c r="E534" i="4"/>
  <c r="E533" i="4"/>
  <c r="E532" i="4"/>
  <c r="L531" i="4"/>
  <c r="K531" i="4"/>
  <c r="J531" i="4"/>
  <c r="I531" i="4"/>
  <c r="H531" i="4"/>
  <c r="G531" i="4"/>
  <c r="F531" i="4"/>
  <c r="E531" i="4"/>
  <c r="D531" i="4"/>
  <c r="C531" i="4"/>
  <c r="B531" i="4"/>
  <c r="E530" i="4"/>
  <c r="E529" i="4"/>
  <c r="E528" i="4"/>
  <c r="E527" i="4"/>
  <c r="E526" i="4"/>
  <c r="E525" i="4"/>
  <c r="E524" i="4"/>
  <c r="E523" i="4"/>
  <c r="E522" i="4"/>
  <c r="E521" i="4"/>
  <c r="E520" i="4"/>
  <c r="E519" i="4"/>
  <c r="E518" i="4"/>
  <c r="L517" i="4"/>
  <c r="K517" i="4"/>
  <c r="J517" i="4"/>
  <c r="I517" i="4"/>
  <c r="H517" i="4"/>
  <c r="G517" i="4"/>
  <c r="F517" i="4"/>
  <c r="E517" i="4"/>
  <c r="D517" i="4"/>
  <c r="C517" i="4"/>
  <c r="B517" i="4"/>
  <c r="E516" i="4"/>
  <c r="E515" i="4"/>
  <c r="E514" i="4"/>
  <c r="E513" i="4"/>
  <c r="E512" i="4"/>
  <c r="E511" i="4"/>
  <c r="E510" i="4"/>
  <c r="E509" i="4"/>
  <c r="E508" i="4"/>
  <c r="E507" i="4"/>
  <c r="E506" i="4"/>
  <c r="E505" i="4"/>
  <c r="E504" i="4"/>
  <c r="E503" i="4"/>
  <c r="G502" i="4"/>
  <c r="F502" i="4"/>
  <c r="E502" i="4"/>
  <c r="D502" i="4"/>
  <c r="C502" i="4"/>
  <c r="B502" i="4"/>
  <c r="L501" i="4"/>
  <c r="K501" i="4"/>
  <c r="J501" i="4"/>
  <c r="I501" i="4"/>
  <c r="H501" i="4"/>
  <c r="G501" i="4"/>
  <c r="F501" i="4"/>
  <c r="E501" i="4"/>
  <c r="D501" i="4"/>
  <c r="C501" i="4"/>
  <c r="B501" i="4"/>
  <c r="E500" i="4"/>
  <c r="E499" i="4"/>
  <c r="E498" i="4"/>
  <c r="E497" i="4"/>
  <c r="E496" i="4"/>
  <c r="E495" i="4"/>
  <c r="E494" i="4"/>
  <c r="L493" i="4"/>
  <c r="K493" i="4"/>
  <c r="J493" i="4"/>
  <c r="I493" i="4"/>
  <c r="H493" i="4"/>
  <c r="G493" i="4"/>
  <c r="F493" i="4"/>
  <c r="E493" i="4"/>
  <c r="D493" i="4"/>
  <c r="C493" i="4"/>
  <c r="B493" i="4"/>
  <c r="E492" i="4"/>
  <c r="E491" i="4"/>
  <c r="E490" i="4"/>
  <c r="E489" i="4"/>
  <c r="E488" i="4"/>
  <c r="E487" i="4"/>
  <c r="E486" i="4"/>
  <c r="L485" i="4"/>
  <c r="K485" i="4"/>
  <c r="J485" i="4"/>
  <c r="I485" i="4"/>
  <c r="H485" i="4"/>
  <c r="G485" i="4"/>
  <c r="F485" i="4"/>
  <c r="E485" i="4"/>
  <c r="D485" i="4"/>
  <c r="C485" i="4"/>
  <c r="B485" i="4"/>
  <c r="E484" i="4"/>
  <c r="E483" i="4"/>
  <c r="E482" i="4"/>
  <c r="E481" i="4"/>
  <c r="E480" i="4"/>
  <c r="E479" i="4"/>
  <c r="E478" i="4"/>
  <c r="L477" i="4"/>
  <c r="K477" i="4"/>
  <c r="J477" i="4"/>
  <c r="I477" i="4"/>
  <c r="H477" i="4"/>
  <c r="G477" i="4"/>
  <c r="F477" i="4"/>
  <c r="E477" i="4"/>
  <c r="D477" i="4"/>
  <c r="C477" i="4"/>
  <c r="B477" i="4"/>
  <c r="E476" i="4"/>
  <c r="E475" i="4"/>
  <c r="E474" i="4"/>
  <c r="E473" i="4"/>
  <c r="E472" i="4"/>
  <c r="E471" i="4"/>
  <c r="E470" i="4"/>
  <c r="L469" i="4"/>
  <c r="K469" i="4"/>
  <c r="J469" i="4"/>
  <c r="I469" i="4"/>
  <c r="H469" i="4"/>
  <c r="G469" i="4"/>
  <c r="F469" i="4"/>
  <c r="E469" i="4"/>
  <c r="D469" i="4"/>
  <c r="C469" i="4"/>
  <c r="B469" i="4"/>
  <c r="E468" i="4"/>
  <c r="E467" i="4"/>
  <c r="L466" i="4"/>
  <c r="K466" i="4"/>
  <c r="J466" i="4"/>
  <c r="I466" i="4"/>
  <c r="H466" i="4"/>
  <c r="G466" i="4"/>
  <c r="F466" i="4"/>
  <c r="E466" i="4"/>
  <c r="D466" i="4"/>
  <c r="C466" i="4"/>
  <c r="B466" i="4"/>
  <c r="E465" i="4"/>
  <c r="E464" i="4"/>
  <c r="E463" i="4"/>
  <c r="E462" i="4"/>
  <c r="E461" i="4"/>
  <c r="E460" i="4"/>
  <c r="E459" i="4"/>
  <c r="L458" i="4"/>
  <c r="K458" i="4"/>
  <c r="J458" i="4"/>
  <c r="I458" i="4"/>
  <c r="H458" i="4"/>
  <c r="G458" i="4"/>
  <c r="F458" i="4"/>
  <c r="E458" i="4"/>
  <c r="D458" i="4"/>
  <c r="C458" i="4"/>
  <c r="B458" i="4"/>
  <c r="E457" i="4"/>
  <c r="E456" i="4"/>
  <c r="E455" i="4"/>
  <c r="E454" i="4"/>
  <c r="E453" i="4"/>
  <c r="L452" i="4"/>
  <c r="K452" i="4"/>
  <c r="J452" i="4"/>
  <c r="I452" i="4"/>
  <c r="H452" i="4"/>
  <c r="G452" i="4"/>
  <c r="F452" i="4"/>
  <c r="E452" i="4"/>
  <c r="D452" i="4"/>
  <c r="C452" i="4"/>
  <c r="B452" i="4"/>
  <c r="E451" i="4"/>
  <c r="E450" i="4"/>
  <c r="E449" i="4"/>
  <c r="E448" i="4"/>
  <c r="E447" i="4"/>
  <c r="E446" i="4"/>
  <c r="E445" i="4"/>
  <c r="L444" i="4"/>
  <c r="K444" i="4"/>
  <c r="J444" i="4"/>
  <c r="I444" i="4"/>
  <c r="H444" i="4"/>
  <c r="G444" i="4"/>
  <c r="F444" i="4"/>
  <c r="E444" i="4"/>
  <c r="D444" i="4"/>
  <c r="C444" i="4"/>
  <c r="B444" i="4"/>
  <c r="E443" i="4"/>
  <c r="E442" i="4"/>
  <c r="E441" i="4"/>
  <c r="E440" i="4"/>
  <c r="E439" i="4"/>
  <c r="L438" i="4"/>
  <c r="K438" i="4"/>
  <c r="J438" i="4"/>
  <c r="I438" i="4"/>
  <c r="H438" i="4"/>
  <c r="G438" i="4"/>
  <c r="F438" i="4"/>
  <c r="E438" i="4"/>
  <c r="D438" i="4"/>
  <c r="C438" i="4"/>
  <c r="B438" i="4"/>
  <c r="E437" i="4"/>
  <c r="E436" i="4"/>
  <c r="E435" i="4"/>
  <c r="E434" i="4"/>
  <c r="E433" i="4"/>
  <c r="E432" i="4"/>
  <c r="E431" i="4"/>
  <c r="E430" i="4"/>
  <c r="E429" i="4"/>
  <c r="L428" i="4"/>
  <c r="K428" i="4"/>
  <c r="J428" i="4"/>
  <c r="I428" i="4"/>
  <c r="H428" i="4"/>
  <c r="G428" i="4"/>
  <c r="F428" i="4"/>
  <c r="E428" i="4"/>
  <c r="D428" i="4"/>
  <c r="C428" i="4"/>
  <c r="B428" i="4"/>
  <c r="E427" i="4"/>
  <c r="E426" i="4"/>
  <c r="E425" i="4"/>
  <c r="E424" i="4"/>
  <c r="E423" i="4"/>
  <c r="E422" i="4"/>
  <c r="E421" i="4"/>
  <c r="E420" i="4"/>
  <c r="E419" i="4"/>
  <c r="L418" i="4"/>
  <c r="K418" i="4"/>
  <c r="J418" i="4"/>
  <c r="I418" i="4"/>
  <c r="H418" i="4"/>
  <c r="G418" i="4"/>
  <c r="F418" i="4"/>
  <c r="E418" i="4"/>
  <c r="D418" i="4"/>
  <c r="C418" i="4"/>
  <c r="B418" i="4"/>
  <c r="E417" i="4"/>
  <c r="E416" i="4"/>
  <c r="E415" i="4"/>
  <c r="E414" i="4"/>
  <c r="E413" i="4"/>
  <c r="E412" i="4"/>
  <c r="L410" i="4"/>
  <c r="K410" i="4"/>
  <c r="J410" i="4"/>
  <c r="I410" i="4"/>
  <c r="H410" i="4"/>
  <c r="G410" i="4"/>
  <c r="F410" i="4"/>
  <c r="E410" i="4"/>
  <c r="D410" i="4"/>
  <c r="C410" i="4"/>
  <c r="B410" i="4"/>
  <c r="E409" i="4"/>
  <c r="E408" i="4"/>
  <c r="E407" i="4"/>
  <c r="L406" i="4"/>
  <c r="K406" i="4"/>
  <c r="J406" i="4"/>
  <c r="I406" i="4"/>
  <c r="H406" i="4"/>
  <c r="G406" i="4"/>
  <c r="F406" i="4"/>
  <c r="E406" i="4"/>
  <c r="D406" i="4"/>
  <c r="C406" i="4"/>
  <c r="B406" i="4"/>
  <c r="E405" i="4"/>
  <c r="E404" i="4"/>
  <c r="E403" i="4"/>
  <c r="E402" i="4"/>
  <c r="E401" i="4"/>
  <c r="E400" i="4"/>
  <c r="E399" i="4"/>
  <c r="E398" i="4"/>
  <c r="E397" i="4"/>
  <c r="E396" i="4"/>
  <c r="E395" i="4"/>
  <c r="E394" i="4"/>
  <c r="E393" i="4"/>
  <c r="E392" i="4"/>
  <c r="E391" i="4"/>
  <c r="E390" i="4"/>
  <c r="E389" i="4"/>
  <c r="E388" i="4"/>
  <c r="E387" i="4"/>
  <c r="E386" i="4"/>
  <c r="E385" i="4"/>
  <c r="E384" i="4"/>
  <c r="I383" i="4"/>
  <c r="E383" i="4"/>
  <c r="E382" i="4"/>
  <c r="E381" i="4"/>
  <c r="E380" i="4"/>
  <c r="E379" i="4"/>
  <c r="E378" i="4"/>
  <c r="L377" i="4"/>
  <c r="K377" i="4"/>
  <c r="J377" i="4"/>
  <c r="I377" i="4"/>
  <c r="H377" i="4"/>
  <c r="G377" i="4"/>
  <c r="F377" i="4"/>
  <c r="E377" i="4"/>
  <c r="D377" i="4"/>
  <c r="C377" i="4"/>
  <c r="B377" i="4"/>
  <c r="E376" i="4"/>
  <c r="E375" i="4"/>
  <c r="E374" i="4"/>
  <c r="E373" i="4"/>
  <c r="E372" i="4"/>
  <c r="E371" i="4"/>
  <c r="I370" i="4"/>
  <c r="E370" i="4"/>
  <c r="E369" i="4"/>
  <c r="E368" i="4"/>
  <c r="L367" i="4"/>
  <c r="K367" i="4"/>
  <c r="J367" i="4"/>
  <c r="I367" i="4"/>
  <c r="H367" i="4"/>
  <c r="G367" i="4"/>
  <c r="F367" i="4"/>
  <c r="E367" i="4"/>
  <c r="D367" i="4"/>
  <c r="C367" i="4"/>
  <c r="B367" i="4"/>
  <c r="E366" i="4"/>
  <c r="I365" i="4"/>
  <c r="E365" i="4"/>
  <c r="I364" i="4"/>
  <c r="E364" i="4"/>
  <c r="E363" i="4"/>
  <c r="E362" i="4"/>
  <c r="E361" i="4"/>
  <c r="E360" i="4"/>
  <c r="E359" i="4"/>
  <c r="L358" i="4"/>
  <c r="K358" i="4"/>
  <c r="J358" i="4"/>
  <c r="I358" i="4"/>
  <c r="H358" i="4"/>
  <c r="G358" i="4"/>
  <c r="F358" i="4"/>
  <c r="E358" i="4"/>
  <c r="D358" i="4"/>
  <c r="C358" i="4"/>
  <c r="B358" i="4"/>
  <c r="E357" i="4"/>
  <c r="E356" i="4"/>
  <c r="E355" i="4"/>
  <c r="L353" i="4"/>
  <c r="K353" i="4"/>
  <c r="J353" i="4"/>
  <c r="I353" i="4"/>
  <c r="H353" i="4"/>
  <c r="G353" i="4"/>
  <c r="F353" i="4"/>
  <c r="E353" i="4"/>
  <c r="D353" i="4"/>
  <c r="C353" i="4"/>
  <c r="B353" i="4"/>
  <c r="E352" i="4"/>
  <c r="I351" i="4"/>
  <c r="E351" i="4"/>
  <c r="E350" i="4"/>
  <c r="E349" i="4"/>
  <c r="E348" i="4"/>
  <c r="E347" i="4"/>
  <c r="E346" i="4"/>
  <c r="E345" i="4"/>
  <c r="I344" i="4"/>
  <c r="E344" i="4"/>
  <c r="I343" i="4"/>
  <c r="E343" i="4"/>
  <c r="I342" i="4"/>
  <c r="E342" i="4"/>
  <c r="E341" i="4"/>
  <c r="E340" i="4"/>
  <c r="E339" i="4"/>
  <c r="E338" i="4"/>
  <c r="E337" i="4"/>
  <c r="E336" i="4"/>
  <c r="L335" i="4"/>
  <c r="K335" i="4"/>
  <c r="J335" i="4"/>
  <c r="I335" i="4"/>
  <c r="H335" i="4"/>
  <c r="G335" i="4"/>
  <c r="F335" i="4"/>
  <c r="E335" i="4"/>
  <c r="D335" i="4"/>
  <c r="C335" i="4"/>
  <c r="B335" i="4"/>
  <c r="E334" i="4"/>
  <c r="E333" i="4"/>
  <c r="E332" i="4"/>
  <c r="E331" i="4"/>
  <c r="E330" i="4"/>
  <c r="E329" i="4"/>
  <c r="E328" i="4"/>
  <c r="E327" i="4"/>
  <c r="E326" i="4"/>
  <c r="L325" i="4"/>
  <c r="K325" i="4"/>
  <c r="J325" i="4"/>
  <c r="I325" i="4"/>
  <c r="H325" i="4"/>
  <c r="G325" i="4"/>
  <c r="F325" i="4"/>
  <c r="E325" i="4"/>
  <c r="D325" i="4"/>
  <c r="C325" i="4"/>
  <c r="B325" i="4"/>
  <c r="E324" i="4"/>
  <c r="E323" i="4"/>
  <c r="E322" i="4"/>
  <c r="E321" i="4"/>
  <c r="E320" i="4"/>
  <c r="E319" i="4"/>
  <c r="E318" i="4"/>
  <c r="E317" i="4"/>
  <c r="E316" i="4"/>
  <c r="L315" i="4"/>
  <c r="K315" i="4"/>
  <c r="J315" i="4"/>
  <c r="I315" i="4"/>
  <c r="H315" i="4"/>
  <c r="G315" i="4"/>
  <c r="F315" i="4"/>
  <c r="E315" i="4"/>
  <c r="D315" i="4"/>
  <c r="C315" i="4"/>
  <c r="B315" i="4"/>
  <c r="E314" i="4"/>
  <c r="E313" i="4"/>
  <c r="L312" i="4"/>
  <c r="K312" i="4"/>
  <c r="J312" i="4"/>
  <c r="I312" i="4"/>
  <c r="H312" i="4"/>
  <c r="G312" i="4"/>
  <c r="F312" i="4"/>
  <c r="E312" i="4"/>
  <c r="D312" i="4"/>
  <c r="C312" i="4"/>
  <c r="B312" i="4"/>
  <c r="E311" i="4"/>
  <c r="E310" i="4"/>
  <c r="E309" i="4"/>
  <c r="E308" i="4"/>
  <c r="E307" i="4"/>
  <c r="E306" i="4"/>
  <c r="E305" i="4"/>
  <c r="E304" i="4"/>
  <c r="I303" i="4"/>
  <c r="E303" i="4"/>
  <c r="E302" i="4"/>
  <c r="E301" i="4"/>
  <c r="E300" i="4"/>
  <c r="E299" i="4"/>
  <c r="E298" i="4"/>
  <c r="E297" i="4"/>
  <c r="L294" i="4"/>
  <c r="K294" i="4"/>
  <c r="J294" i="4"/>
  <c r="I294" i="4"/>
  <c r="H294" i="4"/>
  <c r="G294" i="4"/>
  <c r="F294" i="4"/>
  <c r="E294" i="4"/>
  <c r="D294" i="4"/>
  <c r="C294" i="4"/>
  <c r="B294" i="4"/>
  <c r="E293" i="4"/>
  <c r="E292" i="4"/>
  <c r="L291" i="4"/>
  <c r="K291" i="4"/>
  <c r="J291" i="4"/>
  <c r="I291" i="4"/>
  <c r="H291" i="4"/>
  <c r="G291" i="4"/>
  <c r="F291" i="4"/>
  <c r="E291" i="4"/>
  <c r="D291" i="4"/>
  <c r="C291" i="4"/>
  <c r="B291" i="4"/>
  <c r="E290" i="4"/>
  <c r="L289" i="4"/>
  <c r="K289" i="4"/>
  <c r="J289" i="4"/>
  <c r="I289" i="4"/>
  <c r="H289" i="4"/>
  <c r="G289" i="4"/>
  <c r="F289" i="4"/>
  <c r="E289" i="4"/>
  <c r="D289" i="4"/>
  <c r="C289" i="4"/>
  <c r="B289" i="4"/>
  <c r="I288" i="4"/>
  <c r="E288" i="4"/>
  <c r="E287" i="4"/>
  <c r="E286" i="4"/>
  <c r="I285" i="4"/>
  <c r="E285" i="4"/>
  <c r="E284" i="4"/>
  <c r="E283" i="4"/>
  <c r="E282" i="4"/>
  <c r="L281" i="4"/>
  <c r="K281" i="4"/>
  <c r="J281" i="4"/>
  <c r="I281" i="4"/>
  <c r="H281" i="4"/>
  <c r="G281" i="4"/>
  <c r="F281" i="4"/>
  <c r="E281" i="4"/>
  <c r="D281" i="4"/>
  <c r="C281" i="4"/>
  <c r="B281" i="4"/>
  <c r="I280" i="4"/>
  <c r="E280" i="4"/>
  <c r="I279" i="4"/>
  <c r="E279" i="4"/>
  <c r="I278" i="4"/>
  <c r="E278" i="4"/>
  <c r="I277" i="4"/>
  <c r="E277" i="4"/>
  <c r="L276" i="4"/>
  <c r="K276" i="4"/>
  <c r="J276" i="4"/>
  <c r="I276" i="4"/>
  <c r="H276" i="4"/>
  <c r="G276" i="4"/>
  <c r="F276" i="4"/>
  <c r="E276" i="4"/>
  <c r="D276" i="4"/>
  <c r="C276" i="4"/>
  <c r="B276" i="4"/>
  <c r="E275" i="4"/>
  <c r="E274" i="4"/>
  <c r="E273" i="4"/>
  <c r="E272" i="4"/>
  <c r="E271" i="4"/>
  <c r="E270" i="4"/>
  <c r="E269" i="4"/>
  <c r="E268" i="4"/>
  <c r="E267" i="4"/>
  <c r="E266" i="4"/>
  <c r="E265" i="4"/>
  <c r="E264" i="4"/>
  <c r="E263" i="4"/>
  <c r="L262" i="4"/>
  <c r="K262" i="4"/>
  <c r="J262" i="4"/>
  <c r="I262" i="4"/>
  <c r="H262" i="4"/>
  <c r="G262" i="4"/>
  <c r="F262" i="4"/>
  <c r="E262" i="4"/>
  <c r="D262" i="4"/>
  <c r="C262" i="4"/>
  <c r="B262" i="4"/>
  <c r="L261" i="4"/>
  <c r="K261" i="4"/>
  <c r="J261" i="4"/>
  <c r="I261" i="4"/>
  <c r="H261" i="4"/>
  <c r="G261" i="4"/>
  <c r="F261" i="4"/>
  <c r="E261" i="4"/>
  <c r="D261" i="4"/>
  <c r="C261" i="4"/>
  <c r="B261" i="4"/>
  <c r="E260" i="4"/>
  <c r="E259" i="4"/>
  <c r="E258" i="4"/>
  <c r="E257" i="4"/>
  <c r="E256" i="4"/>
  <c r="E255" i="4"/>
  <c r="E254" i="4"/>
  <c r="E253" i="4"/>
  <c r="E252" i="4"/>
  <c r="E251" i="4"/>
  <c r="L250" i="4"/>
  <c r="K250" i="4"/>
  <c r="J250" i="4"/>
  <c r="I250" i="4"/>
  <c r="H250" i="4"/>
  <c r="G250" i="4"/>
  <c r="F250" i="4"/>
  <c r="E250" i="4"/>
  <c r="D250" i="4"/>
  <c r="C250" i="4"/>
  <c r="B250" i="4"/>
  <c r="E249" i="4"/>
  <c r="E248" i="4"/>
  <c r="E247" i="4"/>
  <c r="E246" i="4"/>
  <c r="E245" i="4"/>
  <c r="E244" i="4"/>
  <c r="E243" i="4"/>
  <c r="E242" i="4"/>
  <c r="E241" i="4"/>
  <c r="L240" i="4"/>
  <c r="K240" i="4"/>
  <c r="J240" i="4"/>
  <c r="I240" i="4"/>
  <c r="H240" i="4"/>
  <c r="G240" i="4"/>
  <c r="F240" i="4"/>
  <c r="E240" i="4"/>
  <c r="D240" i="4"/>
  <c r="C240" i="4"/>
  <c r="B240" i="4"/>
  <c r="E239" i="4"/>
  <c r="E238" i="4"/>
  <c r="E237" i="4"/>
  <c r="E236" i="4"/>
  <c r="E235" i="4"/>
  <c r="E234" i="4"/>
  <c r="E233" i="4"/>
  <c r="E232" i="4"/>
  <c r="L231" i="4"/>
  <c r="K231" i="4"/>
  <c r="J231" i="4"/>
  <c r="I231" i="4"/>
  <c r="H231" i="4"/>
  <c r="G231" i="4"/>
  <c r="F231" i="4"/>
  <c r="E231" i="4"/>
  <c r="D231" i="4"/>
  <c r="C231" i="4"/>
  <c r="B231" i="4"/>
  <c r="E230" i="4"/>
  <c r="E228" i="4"/>
  <c r="E227" i="4"/>
  <c r="E226" i="4"/>
  <c r="E225" i="4"/>
  <c r="E224" i="4"/>
  <c r="E223" i="4"/>
  <c r="E222" i="4"/>
  <c r="E221" i="4"/>
  <c r="L220" i="4"/>
  <c r="K220" i="4"/>
  <c r="J220" i="4"/>
  <c r="I220" i="4"/>
  <c r="H220" i="4"/>
  <c r="G220" i="4"/>
  <c r="F220" i="4"/>
  <c r="E220" i="4"/>
  <c r="D220" i="4"/>
  <c r="C220" i="4"/>
  <c r="B220" i="4"/>
  <c r="E219" i="4"/>
  <c r="E218" i="4"/>
  <c r="E217" i="4"/>
  <c r="E216" i="4"/>
  <c r="E215" i="4"/>
  <c r="E214" i="4"/>
  <c r="E213" i="4"/>
  <c r="E212" i="4"/>
  <c r="E211" i="4"/>
  <c r="E210" i="4"/>
  <c r="E209" i="4"/>
  <c r="E208" i="4"/>
  <c r="L207" i="4"/>
  <c r="K207" i="4"/>
  <c r="J207" i="4"/>
  <c r="I207" i="4"/>
  <c r="H207" i="4"/>
  <c r="G207" i="4"/>
  <c r="F207" i="4"/>
  <c r="E207" i="4"/>
  <c r="D207" i="4"/>
  <c r="C207" i="4"/>
  <c r="B207" i="4"/>
  <c r="E206" i="4"/>
  <c r="E205" i="4"/>
  <c r="E204" i="4"/>
  <c r="E203" i="4"/>
  <c r="E202" i="4"/>
  <c r="E201" i="4"/>
  <c r="E200" i="4"/>
  <c r="E199" i="4"/>
  <c r="E198" i="4"/>
  <c r="L197" i="4"/>
  <c r="K197" i="4"/>
  <c r="J197" i="4"/>
  <c r="I197" i="4"/>
  <c r="H197" i="4"/>
  <c r="G197" i="4"/>
  <c r="F197" i="4"/>
  <c r="E197" i="4"/>
  <c r="D197" i="4"/>
  <c r="C197" i="4"/>
  <c r="B197" i="4"/>
  <c r="E196" i="4"/>
  <c r="E195" i="4"/>
  <c r="E194" i="4"/>
  <c r="E193" i="4"/>
  <c r="E192" i="4"/>
  <c r="E191" i="4"/>
  <c r="E190" i="4"/>
  <c r="E189" i="4"/>
  <c r="E188" i="4"/>
  <c r="E187" i="4"/>
  <c r="L186" i="4"/>
  <c r="K186" i="4"/>
  <c r="J186" i="4"/>
  <c r="I186" i="4"/>
  <c r="H186" i="4"/>
  <c r="G186" i="4"/>
  <c r="F186" i="4"/>
  <c r="E186" i="4"/>
  <c r="D186" i="4"/>
  <c r="C186" i="4"/>
  <c r="B186" i="4"/>
  <c r="E185" i="4"/>
  <c r="E184" i="4"/>
  <c r="E183" i="4"/>
  <c r="E182" i="4"/>
  <c r="E181" i="4"/>
  <c r="E180" i="4"/>
  <c r="E179" i="4"/>
  <c r="E178" i="4"/>
  <c r="L177" i="4"/>
  <c r="K177" i="4"/>
  <c r="J177" i="4"/>
  <c r="I177" i="4"/>
  <c r="H177" i="4"/>
  <c r="G177" i="4"/>
  <c r="F177" i="4"/>
  <c r="E177" i="4"/>
  <c r="D177" i="4"/>
  <c r="C177" i="4"/>
  <c r="B177" i="4"/>
  <c r="E176" i="4"/>
  <c r="E175" i="4"/>
  <c r="E174" i="4"/>
  <c r="E173" i="4"/>
  <c r="E172" i="4"/>
  <c r="E171" i="4"/>
  <c r="E170" i="4"/>
  <c r="E169" i="4"/>
  <c r="L168" i="4"/>
  <c r="K168" i="4"/>
  <c r="J168" i="4"/>
  <c r="I168" i="4"/>
  <c r="H168" i="4"/>
  <c r="G168" i="4"/>
  <c r="F168" i="4"/>
  <c r="E168" i="4"/>
  <c r="D168" i="4"/>
  <c r="C168" i="4"/>
  <c r="B168" i="4"/>
  <c r="E167" i="4"/>
  <c r="E166" i="4"/>
  <c r="E165" i="4"/>
  <c r="E164" i="4"/>
  <c r="E163" i="4"/>
  <c r="E162" i="4"/>
  <c r="E161" i="4"/>
  <c r="E160" i="4"/>
  <c r="L159" i="4"/>
  <c r="K159" i="4"/>
  <c r="J159" i="4"/>
  <c r="I159" i="4"/>
  <c r="H159" i="4"/>
  <c r="G159" i="4"/>
  <c r="F159" i="4"/>
  <c r="E159" i="4"/>
  <c r="D159" i="4"/>
  <c r="C159" i="4"/>
  <c r="B159" i="4"/>
  <c r="E158" i="4"/>
  <c r="E157" i="4"/>
  <c r="E156" i="4"/>
  <c r="E155" i="4"/>
  <c r="E154" i="4"/>
  <c r="E153" i="4"/>
  <c r="E152" i="4"/>
  <c r="E151" i="4"/>
  <c r="E150" i="4"/>
  <c r="E149" i="4"/>
  <c r="E148" i="4"/>
  <c r="L147" i="4"/>
  <c r="K147" i="4"/>
  <c r="J147" i="4"/>
  <c r="I147" i="4"/>
  <c r="H147" i="4"/>
  <c r="G147" i="4"/>
  <c r="F147" i="4"/>
  <c r="E147" i="4"/>
  <c r="D147" i="4"/>
  <c r="C147" i="4"/>
  <c r="B147" i="4"/>
  <c r="E146" i="4"/>
  <c r="E145" i="4"/>
  <c r="E144" i="4"/>
  <c r="E143" i="4"/>
  <c r="E142" i="4"/>
  <c r="E141" i="4"/>
  <c r="E140" i="4"/>
  <c r="L139" i="4"/>
  <c r="K139" i="4"/>
  <c r="J139" i="4"/>
  <c r="I139" i="4"/>
  <c r="H139" i="4"/>
  <c r="G139" i="4"/>
  <c r="F139" i="4"/>
  <c r="E139" i="4"/>
  <c r="D139" i="4"/>
  <c r="C139" i="4"/>
  <c r="B139" i="4"/>
  <c r="E138" i="4"/>
  <c r="E137" i="4"/>
  <c r="E136" i="4"/>
  <c r="E135" i="4"/>
  <c r="E134" i="4"/>
  <c r="E133" i="4"/>
  <c r="E132" i="4"/>
  <c r="E131" i="4"/>
  <c r="E130" i="4"/>
  <c r="L129" i="4"/>
  <c r="K129" i="4"/>
  <c r="J129" i="4"/>
  <c r="I129" i="4"/>
  <c r="H129" i="4"/>
  <c r="G129" i="4"/>
  <c r="F129" i="4"/>
  <c r="E129" i="4"/>
  <c r="D129" i="4"/>
  <c r="C129" i="4"/>
  <c r="B129" i="4"/>
  <c r="E128" i="4"/>
  <c r="E127" i="4"/>
  <c r="E126" i="4"/>
  <c r="E125" i="4"/>
  <c r="E124" i="4"/>
  <c r="E123" i="4"/>
  <c r="E122" i="4"/>
  <c r="E121" i="4"/>
  <c r="E120" i="4"/>
  <c r="L119" i="4"/>
  <c r="K119" i="4"/>
  <c r="J119" i="4"/>
  <c r="I119" i="4"/>
  <c r="H119" i="4"/>
  <c r="G119" i="4"/>
  <c r="F119" i="4"/>
  <c r="E119" i="4"/>
  <c r="D119" i="4"/>
  <c r="C119" i="4"/>
  <c r="B119" i="4"/>
  <c r="E118" i="4"/>
  <c r="E117" i="4"/>
  <c r="E116" i="4"/>
  <c r="E115" i="4"/>
  <c r="E114" i="4"/>
  <c r="E113" i="4"/>
  <c r="E112" i="4"/>
  <c r="E111" i="4"/>
  <c r="E110" i="4"/>
  <c r="E109" i="4"/>
  <c r="L108" i="4"/>
  <c r="K108" i="4"/>
  <c r="J108" i="4"/>
  <c r="I108" i="4"/>
  <c r="H108" i="4"/>
  <c r="G108" i="4"/>
  <c r="F108" i="4"/>
  <c r="E108" i="4"/>
  <c r="D108" i="4"/>
  <c r="C108" i="4"/>
  <c r="B108" i="4"/>
  <c r="E107" i="4"/>
  <c r="E106" i="4"/>
  <c r="E105" i="4"/>
  <c r="E104" i="4"/>
  <c r="E103" i="4"/>
  <c r="E102" i="4"/>
  <c r="E101" i="4"/>
  <c r="E100" i="4"/>
  <c r="E99" i="4"/>
  <c r="E98" i="4"/>
  <c r="E97" i="4"/>
  <c r="L96" i="4"/>
  <c r="K96" i="4"/>
  <c r="J96" i="4"/>
  <c r="I96" i="4"/>
  <c r="H96" i="4"/>
  <c r="G96" i="4"/>
  <c r="F96" i="4"/>
  <c r="E96" i="4"/>
  <c r="D96" i="4"/>
  <c r="C96" i="4"/>
  <c r="B96" i="4"/>
  <c r="E95" i="4"/>
  <c r="E94" i="4"/>
  <c r="E93" i="4"/>
  <c r="E92" i="4"/>
  <c r="E91" i="4"/>
  <c r="E90" i="4"/>
  <c r="E89" i="4"/>
  <c r="E88" i="4"/>
  <c r="E87" i="4"/>
  <c r="E86" i="4"/>
  <c r="L85" i="4"/>
  <c r="K85" i="4"/>
  <c r="J85" i="4"/>
  <c r="I85" i="4"/>
  <c r="H85" i="4"/>
  <c r="G85" i="4"/>
  <c r="F85" i="4"/>
  <c r="E85" i="4"/>
  <c r="D85" i="4"/>
  <c r="C85" i="4"/>
  <c r="B85" i="4"/>
  <c r="E84" i="4"/>
  <c r="E83" i="4"/>
  <c r="E82" i="4"/>
  <c r="E81" i="4"/>
  <c r="E80" i="4"/>
  <c r="E79" i="4"/>
  <c r="E78" i="4"/>
  <c r="L77" i="4"/>
  <c r="K77" i="4"/>
  <c r="J77" i="4"/>
  <c r="I77" i="4"/>
  <c r="H77" i="4"/>
  <c r="G77" i="4"/>
  <c r="F77" i="4"/>
  <c r="E77" i="4"/>
  <c r="D77" i="4"/>
  <c r="C77" i="4"/>
  <c r="B77" i="4"/>
  <c r="E76" i="4"/>
  <c r="E75" i="4"/>
  <c r="E74" i="4"/>
  <c r="E73" i="4"/>
  <c r="E72" i="4"/>
  <c r="E71" i="4"/>
  <c r="E70" i="4"/>
  <c r="E69" i="4"/>
  <c r="E68" i="4"/>
  <c r="E67" i="4"/>
  <c r="E66" i="4"/>
  <c r="E65" i="4"/>
  <c r="L64" i="4"/>
  <c r="K64" i="4"/>
  <c r="J64" i="4"/>
  <c r="I64" i="4"/>
  <c r="H64" i="4"/>
  <c r="G64" i="4"/>
  <c r="F64" i="4"/>
  <c r="E64" i="4"/>
  <c r="D64" i="4"/>
  <c r="C64" i="4"/>
  <c r="B64" i="4"/>
  <c r="E63" i="4"/>
  <c r="E62" i="4"/>
  <c r="E61" i="4"/>
  <c r="E60" i="4"/>
  <c r="E59" i="4"/>
  <c r="E58" i="4"/>
  <c r="E57" i="4"/>
  <c r="E56" i="4"/>
  <c r="E55" i="4"/>
  <c r="E54" i="4"/>
  <c r="L53" i="4"/>
  <c r="K53" i="4"/>
  <c r="J53" i="4"/>
  <c r="I53" i="4"/>
  <c r="H53" i="4"/>
  <c r="G53" i="4"/>
  <c r="F53" i="4"/>
  <c r="E53" i="4"/>
  <c r="D53" i="4"/>
  <c r="C53" i="4"/>
  <c r="B53" i="4"/>
  <c r="E52" i="4"/>
  <c r="E51" i="4"/>
  <c r="E50" i="4"/>
  <c r="E49" i="4"/>
  <c r="E48" i="4"/>
  <c r="E47" i="4"/>
  <c r="L46" i="4"/>
  <c r="K46" i="4"/>
  <c r="J46" i="4"/>
  <c r="I46" i="4"/>
  <c r="H46" i="4"/>
  <c r="G46" i="4"/>
  <c r="F46" i="4"/>
  <c r="E46" i="4"/>
  <c r="D46" i="4"/>
  <c r="C46" i="4"/>
  <c r="B46" i="4"/>
  <c r="E45" i="4"/>
  <c r="L44" i="4"/>
  <c r="K44" i="4"/>
  <c r="J44" i="4"/>
  <c r="I44" i="4"/>
  <c r="H44" i="4"/>
  <c r="G44" i="4"/>
  <c r="F44" i="4"/>
  <c r="E44" i="4"/>
  <c r="D44" i="4"/>
  <c r="C44" i="4"/>
  <c r="B44" i="4"/>
  <c r="E43" i="4"/>
  <c r="L42" i="4"/>
  <c r="K42" i="4"/>
  <c r="J42" i="4"/>
  <c r="I42" i="4"/>
  <c r="H42" i="4"/>
  <c r="G42" i="4"/>
  <c r="F42" i="4"/>
  <c r="E42" i="4"/>
  <c r="D42" i="4"/>
  <c r="C42" i="4"/>
  <c r="B42" i="4"/>
  <c r="E41" i="4"/>
  <c r="E40" i="4"/>
  <c r="E39" i="4"/>
  <c r="E38" i="4"/>
  <c r="E37" i="4"/>
  <c r="E36" i="4"/>
  <c r="I35" i="4"/>
  <c r="E35" i="4"/>
  <c r="I34" i="4"/>
  <c r="E34" i="4"/>
  <c r="I33" i="4"/>
  <c r="E33" i="4"/>
  <c r="I32" i="4"/>
  <c r="E32" i="4"/>
  <c r="I31" i="4"/>
  <c r="E31" i="4"/>
  <c r="I30" i="4"/>
  <c r="E30" i="4"/>
  <c r="I29" i="4"/>
  <c r="E29" i="4"/>
  <c r="I28" i="4"/>
  <c r="E28" i="4"/>
  <c r="I27" i="4"/>
  <c r="E27" i="4"/>
  <c r="I26" i="4"/>
  <c r="E26" i="4"/>
  <c r="I25" i="4"/>
  <c r="E25" i="4"/>
  <c r="I24" i="4"/>
  <c r="E24" i="4"/>
  <c r="I23" i="4"/>
  <c r="E23" i="4"/>
  <c r="I22" i="4"/>
  <c r="E22" i="4"/>
  <c r="I21" i="4"/>
  <c r="E21" i="4"/>
  <c r="I20" i="4"/>
  <c r="E20" i="4"/>
  <c r="I19" i="4"/>
  <c r="E19" i="4"/>
  <c r="I18" i="4"/>
  <c r="E18" i="4"/>
  <c r="I17" i="4"/>
  <c r="E17" i="4"/>
  <c r="I16" i="4"/>
  <c r="E16" i="4"/>
  <c r="E15" i="4"/>
  <c r="E14" i="4"/>
  <c r="E13" i="4"/>
  <c r="E12" i="4"/>
</calcChain>
</file>

<file path=xl/comments1.xml><?xml version="1.0" encoding="utf-8"?>
<comments xmlns="http://schemas.openxmlformats.org/spreadsheetml/2006/main">
  <authors>
    <author>User1</author>
  </authors>
  <commentList>
    <comment ref="T427" authorId="0">
      <text>
        <r>
          <rPr>
            <sz val="11"/>
            <color theme="1"/>
            <rFont val="Arial"/>
            <family val="2"/>
            <charset val="186"/>
          </rPr>
          <t>======
ID#AAAASg7Nw08
Maris    (2021-12-10 12:57:22)
???</t>
        </r>
      </text>
    </comment>
    <comment ref="T717" authorId="0">
      <text>
        <r>
          <rPr>
            <sz val="11"/>
            <color theme="1"/>
            <rFont val="Arial"/>
            <family val="2"/>
            <charset val="186"/>
          </rPr>
          <t>======
ID#AAAAS9mEM7I
Māris Kulešs    (2021-12-16 07:19:42)
???</t>
        </r>
      </text>
    </comment>
    <comment ref="T1005" authorId="0">
      <text>
        <r>
          <rPr>
            <sz val="11"/>
            <color theme="1"/>
            <rFont val="Arial"/>
            <family val="2"/>
            <charset val="186"/>
          </rPr>
          <t>======
ID#AAAAS9mEM7w
Māris Kulešs    (2021-12-16 09:24:20)
???</t>
        </r>
      </text>
    </comment>
    <comment ref="T1080" authorId="0">
      <text>
        <r>
          <rPr>
            <sz val="11"/>
            <color theme="1"/>
            <rFont val="Arial"/>
            <family val="2"/>
            <charset val="186"/>
          </rPr>
          <t>======
ID#AAAAS9mEM70
Māris Kulešs    (2021-12-16 09:34:06)
1g.</t>
        </r>
      </text>
    </comment>
  </commentList>
</comments>
</file>

<file path=xl/sharedStrings.xml><?xml version="1.0" encoding="utf-8"?>
<sst xmlns="http://schemas.openxmlformats.org/spreadsheetml/2006/main" count="3509" uniqueCount="1136">
  <si>
    <t>Row Labels</t>
  </si>
  <si>
    <t xml:space="preserve"> viss kopā</t>
  </si>
  <si>
    <t xml:space="preserve"> Atlīdzība bāze</t>
  </si>
  <si>
    <t xml:space="preserve"> Pārējie bāze</t>
  </si>
  <si>
    <t xml:space="preserve"> P/līdz. Bāze</t>
  </si>
  <si>
    <t xml:space="preserve"> Kopā bāze</t>
  </si>
  <si>
    <t xml:space="preserve"> (+;-)</t>
  </si>
  <si>
    <t xml:space="preserve"> Mērķdot.</t>
  </si>
  <si>
    <t xml:space="preserve"> Virsbāzes atbalstītie izdevumi</t>
  </si>
  <si>
    <t xml:space="preserve"> Investīcijas</t>
  </si>
  <si>
    <t xml:space="preserve"> neatb.2021.g.</t>
  </si>
  <si>
    <t xml:space="preserve"> neatb.2022.g.</t>
  </si>
  <si>
    <t xml:space="preserve"> Kopsumma projekti</t>
  </si>
  <si>
    <t xml:space="preserve"> pašv.līdz.</t>
  </si>
  <si>
    <t xml:space="preserve"> proj.līdz.</t>
  </si>
  <si>
    <t xml:space="preserve"> aizņēmums</t>
  </si>
  <si>
    <t>Atpūta, kultūra, reliģija</t>
  </si>
  <si>
    <t>Ludzas Lielā sinagoga</t>
  </si>
  <si>
    <t>Galvenā bibliotēka</t>
  </si>
  <si>
    <t>Ludzas tautas nams</t>
  </si>
  <si>
    <t>Novadpētniecības muzejs</t>
  </si>
  <si>
    <t>Sporta pasākumi</t>
  </si>
  <si>
    <t>Zilupes TN</t>
  </si>
  <si>
    <t>Kārsavas TN</t>
  </si>
  <si>
    <t>Izdevniecības pakalpojumi</t>
  </si>
  <si>
    <t>Pilsētas svētki. Ludza</t>
  </si>
  <si>
    <t>Zilupes bibliotēka</t>
  </si>
  <si>
    <t>Kārsavas bibliotēka</t>
  </si>
  <si>
    <t>Kultūrvēsturiskais centrs "Līču māja"</t>
  </si>
  <si>
    <t>Pārējie kultūras pasākumi</t>
  </si>
  <si>
    <t>Atbalsts reliģiskām organizācijām un biedrībām</t>
  </si>
  <si>
    <t>Zaļesjes bibliotēka</t>
  </si>
  <si>
    <t>Apraides (televīzijas) un pakalpojumi</t>
  </si>
  <si>
    <t>Pilsētas svētki. Zilupe</t>
  </si>
  <si>
    <t>Pilsētas svētki. Kārsava</t>
  </si>
  <si>
    <t>Balvas par sasniegumiem kultūrā</t>
  </si>
  <si>
    <t>Grāmatas"No sirds -  Ludzai" izdošanai (Nasledije)</t>
  </si>
  <si>
    <t>Amatierteātru festivāls "Vezums"</t>
  </si>
  <si>
    <t xml:space="preserve">Rīgas brāļu kapi, piecām jaunām kapu plāksnēm </t>
  </si>
  <si>
    <t>Latgaliešu kultūras balva"Boņuks2020",Boņuks2021"</t>
  </si>
  <si>
    <t>Fonds Sibīrijas bērni</t>
  </si>
  <si>
    <t>Piemaksas amatierkolektīviem par kvalitāti,1.pusg.</t>
  </si>
  <si>
    <t>Atbalsts biedrībai Latvijas aeroklubs</t>
  </si>
  <si>
    <t>Skolēnu dziesmu un deju svētki. Ludza</t>
  </si>
  <si>
    <t>Grāmata - Jeļena Arbuzova</t>
  </si>
  <si>
    <t>Orientēšanās sacensības" Kāpa 2021"</t>
  </si>
  <si>
    <t>Pārējie kultūras pasākumi. Kārsava</t>
  </si>
  <si>
    <t>Imata Ziedoņa fonds "Viegli"</t>
  </si>
  <si>
    <t>Pārējie kultūras pasākumi. Ludza</t>
  </si>
  <si>
    <t>Pārējie kultūras pasākumi. Cibla</t>
  </si>
  <si>
    <t>Autotransports - autoceļu fonds</t>
  </si>
  <si>
    <t>autoceļu fonds Lauku teritorijas</t>
  </si>
  <si>
    <t>autoceļu fonds</t>
  </si>
  <si>
    <t xml:space="preserve"> autoceļu fondsLudza</t>
  </si>
  <si>
    <t>Rezerves fonds</t>
  </si>
  <si>
    <t>autoceļu fonds Projekts uzņēmējd.veicin. Ludza/Kārs/Cibla nov.</t>
  </si>
  <si>
    <t>autoceļu fonds Zilupe</t>
  </si>
  <si>
    <t>autoceļu fonds Kārsava</t>
  </si>
  <si>
    <t>Ekonomiskā darbība</t>
  </si>
  <si>
    <t>Atbalsts uzņēmējdarbībai</t>
  </si>
  <si>
    <t>Jauniešu nodarbinātība</t>
  </si>
  <si>
    <t>Zivsaimniecība</t>
  </si>
  <si>
    <t>Mežsaimniecība</t>
  </si>
  <si>
    <t>Atlīdzība sabiedrisko darbu kordinatoram</t>
  </si>
  <si>
    <t>Ielu apgaismošana</t>
  </si>
  <si>
    <t>Ielu apgaismošana Ludza</t>
  </si>
  <si>
    <t>Ielu apgaismošana Zilupe</t>
  </si>
  <si>
    <t>Ielu apgaismošana Kārsava</t>
  </si>
  <si>
    <t>Izglītība PII</t>
  </si>
  <si>
    <t>4.PII "Pasaciņa"</t>
  </si>
  <si>
    <t>3.PII "Namiņš"</t>
  </si>
  <si>
    <t>PII "Rūķītis"</t>
  </si>
  <si>
    <t>Zilupes PII</t>
  </si>
  <si>
    <t>Kārsavas PII</t>
  </si>
  <si>
    <t>Malnavas PII "Sienāzītis"</t>
  </si>
  <si>
    <t>Blontu PII</t>
  </si>
  <si>
    <t>Briģu PII</t>
  </si>
  <si>
    <t>Ciblas PII</t>
  </si>
  <si>
    <t>Mežvidu PII "Saulīte"</t>
  </si>
  <si>
    <t>Pildas PII</t>
  </si>
  <si>
    <t>Istras PII</t>
  </si>
  <si>
    <t>Maksājumi par aizdevumiem</t>
  </si>
  <si>
    <t>Notekūdeņu apsaimniekošana. Novads</t>
  </si>
  <si>
    <t>Pašvaldības policija</t>
  </si>
  <si>
    <t>Pārvalde</t>
  </si>
  <si>
    <t>Finanšu un grāmatvedības</t>
  </si>
  <si>
    <t>Administratīvā nodaļa</t>
  </si>
  <si>
    <t>Deputāti</t>
  </si>
  <si>
    <t>Nekustamā īpašuma pārvaldības nodaļa</t>
  </si>
  <si>
    <t>Informācijas tehnoloģiju nodaļa</t>
  </si>
  <si>
    <t>Attīstības un nekustamā īpašuma nodaļa</t>
  </si>
  <si>
    <t>Juridiskā nodaļa</t>
  </si>
  <si>
    <t>Būvvalde</t>
  </si>
  <si>
    <t>KAC</t>
  </si>
  <si>
    <t>Dzimtsarakstu nodaļa</t>
  </si>
  <si>
    <t>Projekts  Veselības veicināšana (Ludza, Kārsava, Cibla)</t>
  </si>
  <si>
    <t>Sabiedriskā kārtība (atskurbtuve)</t>
  </si>
  <si>
    <t>Teritoriālā plānošana</t>
  </si>
  <si>
    <t>Teritoriju apsaimniekošana</t>
  </si>
  <si>
    <t>Teritoriju apsaimniekošana. Ludza</t>
  </si>
  <si>
    <t>Teritoriju apsaimniekošana. Kārsava</t>
  </si>
  <si>
    <t>Teritoriju apsaimniekošana. Zilupe</t>
  </si>
  <si>
    <t>Teritoriju attīstība</t>
  </si>
  <si>
    <t>Mājokļu attīstība. Novads</t>
  </si>
  <si>
    <t>TIC</t>
  </si>
  <si>
    <t>Ūdensapgāde. Ludza</t>
  </si>
  <si>
    <t>Vides piesārņojuma samaz.un  novērš. Novads.DRN</t>
  </si>
  <si>
    <t>(blank)</t>
  </si>
  <si>
    <t xml:space="preserve"> pilsētas pārvalde</t>
  </si>
  <si>
    <t>Zilupes pilsētas pārvalde</t>
  </si>
  <si>
    <t>Kārsavas pilsētas pārvalde</t>
  </si>
  <si>
    <t>pagasta pārvalde</t>
  </si>
  <si>
    <t>Malnavas pagasta pārvalde</t>
  </si>
  <si>
    <t>Ciblas pagasta pārvalde</t>
  </si>
  <si>
    <t>Mežvidu pagasta pārvalde</t>
  </si>
  <si>
    <t>Pildas pagasta pārvalde</t>
  </si>
  <si>
    <t>Isnaudas pagasta pārvalde</t>
  </si>
  <si>
    <t>Blontu pagasta pārvalde</t>
  </si>
  <si>
    <t>Mērdzenes pagasta pārvalde</t>
  </si>
  <si>
    <t>Salnavas pagasta pārvalde</t>
  </si>
  <si>
    <t>Nirzas pagasta pārvalde</t>
  </si>
  <si>
    <t>Rundēnu pagasta pārvalde</t>
  </si>
  <si>
    <t>Istras pagasta pārvalde</t>
  </si>
  <si>
    <t>Pušmucovas pagasta pārvalde</t>
  </si>
  <si>
    <t>Zvirgzdenes pagasta pārvalde</t>
  </si>
  <si>
    <t>Goliševas pagasta pārvalde</t>
  </si>
  <si>
    <t>Ņukšu pagasta pārvalde</t>
  </si>
  <si>
    <t>Pasienes pagasta pārvalde</t>
  </si>
  <si>
    <t>Cirmas pagasta pārvalde</t>
  </si>
  <si>
    <t>Lauderu pagasta pārvalde</t>
  </si>
  <si>
    <t>Pureņu pagasta pārvalde</t>
  </si>
  <si>
    <t>Briģu pagasta pārvalde</t>
  </si>
  <si>
    <t>Līdumnieku pagasta pārvalde</t>
  </si>
  <si>
    <t>Inetrešu izglītība</t>
  </si>
  <si>
    <t>Ludzas novada Sporta skola</t>
  </si>
  <si>
    <t>Ludzas mūzikas pamatskola</t>
  </si>
  <si>
    <t>Bērnu un jauniešu centrs</t>
  </si>
  <si>
    <t>Kārsavas Mūzikas un mākslas skola</t>
  </si>
  <si>
    <t>J.Soikāna Mākslas skola</t>
  </si>
  <si>
    <t>Zilupes Mūzikas un mākslas skola</t>
  </si>
  <si>
    <t>Transporta daļa</t>
  </si>
  <si>
    <t>Transporta daļa (ieķlauta iestāžu degviela) Ludza</t>
  </si>
  <si>
    <t>Transporta daļa (iekļauta iestāžu degviela) Zilupe</t>
  </si>
  <si>
    <t>Transporta daļa (ieķlauta iestāžu degviela) Kārsava</t>
  </si>
  <si>
    <t>Transporta daļa (iekļauta iestāžu degviela) Līdumnieki</t>
  </si>
  <si>
    <t>Transporta daļa (iekļauta iestāžu degviela) Blonti</t>
  </si>
  <si>
    <t>Izglītības  pārvalde</t>
  </si>
  <si>
    <t>Savstarpējie nor. par izglītības pak.izp.uz 23.11.21.</t>
  </si>
  <si>
    <t>Sociālā nodrošināšana</t>
  </si>
  <si>
    <t>Sociālie pabalsti (pašvaldības līdzekļi)</t>
  </si>
  <si>
    <t>Sociālā aizs. Invalid. gadījumā - asistenti m/d</t>
  </si>
  <si>
    <t>Sociālais dienests</t>
  </si>
  <si>
    <t>Atbalsts bezdarba gadījumā</t>
  </si>
  <si>
    <t>SAC "Ludza" - Garbari</t>
  </si>
  <si>
    <t>Bāriņtiesa</t>
  </si>
  <si>
    <t>Mājas aprūpe</t>
  </si>
  <si>
    <t>SAC "Ludza" - Istalsna</t>
  </si>
  <si>
    <t>SAC "Mūsmājas" - Kārsava</t>
  </si>
  <si>
    <t xml:space="preserve">Daudzfunkcionālais sociālo pak.centrs </t>
  </si>
  <si>
    <t>Līdzekļi neparedzētiem gadījumiem</t>
  </si>
  <si>
    <t>skolas</t>
  </si>
  <si>
    <t>Ludzas 2.vidusskola</t>
  </si>
  <si>
    <t>Ludzas pilsētas vidusskola</t>
  </si>
  <si>
    <t>Kārsavas vidusskola</t>
  </si>
  <si>
    <t>Zilupes vidusskola</t>
  </si>
  <si>
    <t>Ciblas vidusskola</t>
  </si>
  <si>
    <t>Mērdzenes pamatskola</t>
  </si>
  <si>
    <t>Ludzas pilsētas vidusskola - baseins</t>
  </si>
  <si>
    <t>Pildas pamatskola</t>
  </si>
  <si>
    <t>Mežvidu pamatskola</t>
  </si>
  <si>
    <t>Pušmucovas pamatskola</t>
  </si>
  <si>
    <t>Salnavas pamatskola</t>
  </si>
  <si>
    <t>Ludzas 2.vidusskola - dienesta viesnīca</t>
  </si>
  <si>
    <t>Grand Total</t>
  </si>
  <si>
    <t>Ludzas novada pašvaldība</t>
  </si>
  <si>
    <t>Reģ.Nr.90000017453</t>
  </si>
  <si>
    <t>LUDZAS NOVADA PAŠVALDĪBAS BUDŽETA IESTĀŽU, PASĀKUMU</t>
  </si>
  <si>
    <t>UN ĪSTENOJAMO PROJEKTU IZDEVUMI 2023. GADAM (EUR)</t>
  </si>
  <si>
    <t>Bāzes izdevumi 2022.g.</t>
  </si>
  <si>
    <t>Bāzes, virsbāzes un mērķdotāciju izdevumi 2023.g., apstiprināti 26.01.2023.</t>
  </si>
  <si>
    <t>Apstipr.26.01.2023.</t>
  </si>
  <si>
    <t>Projektu īstenošanai plānotais finansējums, apstiprin.26.01.2023.</t>
  </si>
  <si>
    <t>t.sk.</t>
  </si>
  <si>
    <t>iestādes</t>
  </si>
  <si>
    <t>Column1</t>
  </si>
  <si>
    <t>Izdevumi</t>
  </si>
  <si>
    <t>Pārējie</t>
  </si>
  <si>
    <t>P/līdzekļi</t>
  </si>
  <si>
    <t>Kopā</t>
  </si>
  <si>
    <t>Atlīdzība bāze 2024</t>
  </si>
  <si>
    <t>Pārējie bāze</t>
  </si>
  <si>
    <t>PL bāze</t>
  </si>
  <si>
    <t>Kopā bāze</t>
  </si>
  <si>
    <t>(+;-)</t>
  </si>
  <si>
    <t>Mērķdot.</t>
  </si>
  <si>
    <t>Virsbāzes atbalstītie izdevumi</t>
  </si>
  <si>
    <t>Virsbāzes neatbalstītie izdevumi</t>
  </si>
  <si>
    <t>Atbalstāmie prioritārie izdevumi</t>
  </si>
  <si>
    <t>Investīcijas</t>
  </si>
  <si>
    <t>neatb.2021.g.</t>
  </si>
  <si>
    <t>neatb.2022.g.</t>
  </si>
  <si>
    <t>Kopsumma projekti</t>
  </si>
  <si>
    <t>Pašv.līdz.</t>
  </si>
  <si>
    <t>Proj.līdz.</t>
  </si>
  <si>
    <t>Aizņēmums</t>
  </si>
  <si>
    <t>VSAO iemaksas līdz minimālai algai</t>
  </si>
  <si>
    <t>Pašv.iekšējās kontroles sistēmas ieviešana</t>
  </si>
  <si>
    <t>Raiņa iela 16A inventarizējas lieta pēc projekta realizācijas</t>
  </si>
  <si>
    <t>ERAF proj. Ludzas sociālā dienesta ēkas pārbūve-būvd.</t>
  </si>
  <si>
    <t>Proj. Europe Direct Dienvidlatgale, priekšfinansējums</t>
  </si>
  <si>
    <t>Deputātu (vadība) atlīdzība</t>
  </si>
  <si>
    <t>Pārējo deputātu  atlīdzība</t>
  </si>
  <si>
    <t>Kompensāc.bijušajiem alg.deput.(pensionāriem)</t>
  </si>
  <si>
    <t>Pārējie izdevumi</t>
  </si>
  <si>
    <r>
      <rPr>
        <b/>
        <i/>
        <sz val="11"/>
        <color rgb="FF000000"/>
        <rFont val="Calibri"/>
        <family val="2"/>
      </rPr>
      <t>KAC</t>
    </r>
    <r>
      <rPr>
        <i/>
        <sz val="11"/>
        <color rgb="FF000000"/>
        <rFont val="Calibri"/>
        <family val="2"/>
      </rPr>
      <t xml:space="preserve"> darbinieku atlīdzībai</t>
    </r>
  </si>
  <si>
    <r>
      <rPr>
        <b/>
        <i/>
        <sz val="11"/>
        <color rgb="FF000000"/>
        <rFont val="Calibri"/>
        <family val="2"/>
      </rPr>
      <t>KAC</t>
    </r>
    <r>
      <rPr>
        <i/>
        <sz val="11"/>
        <color rgb="FF000000"/>
        <rFont val="Calibri"/>
        <family val="2"/>
      </rPr>
      <t xml:space="preserve"> uzturēšanas izdevumiem</t>
    </r>
  </si>
  <si>
    <t>Attīstības un plānošanas nodaļa</t>
  </si>
  <si>
    <t>Proj. Together in Art, priekšfinansējums</t>
  </si>
  <si>
    <t>Dalība izstādē "Latgales uzņēmēju gada diena"</t>
  </si>
  <si>
    <t>Life Osmoderma proj.līdzfinansējums</t>
  </si>
  <si>
    <t>Nekustamo īpašumu vērtēšana</t>
  </si>
  <si>
    <t>Nekustamo īpašumu kad.uzmērīšana, reģistrācija</t>
  </si>
  <si>
    <t>Automašīnas iegāde un aprīkojums</t>
  </si>
  <si>
    <t>Mednieku kamera</t>
  </si>
  <si>
    <t>Uzlādes stacija kamerām</t>
  </si>
  <si>
    <t>Tizer elektrošoka pistole</t>
  </si>
  <si>
    <t>Vēlēšanu komisijas</t>
  </si>
  <si>
    <t>Briģu pagasta bibliotēka</t>
  </si>
  <si>
    <t>Pārējā teritoriju apsaimniekošanas darbība-Briģi</t>
  </si>
  <si>
    <t>Mājokļu apsaimniekošana</t>
  </si>
  <si>
    <t>Dzīvojamo māju uzkrājuma fonds</t>
  </si>
  <si>
    <t>Virsbāzes izdevumi</t>
  </si>
  <si>
    <t>Pārējā teritoriju apsaimniekošanas darbība</t>
  </si>
  <si>
    <t>Cirmas pagasta bibliotēka</t>
  </si>
  <si>
    <t>FVP</t>
  </si>
  <si>
    <t>Dozatorsūkņa iegāde (ūdensvada dezinfekcijai)</t>
  </si>
  <si>
    <t>Biodīķu tīrīšana, kanalizācijas trases remonts (ekskavatora pak)</t>
  </si>
  <si>
    <t>Pasākumi lauksaimniecības uzlabošanai</t>
  </si>
  <si>
    <t>Isnaudas pagasta bibliotēka</t>
  </si>
  <si>
    <t>Istalsnas bibliotēka</t>
  </si>
  <si>
    <t>Isnaudas tautas nams</t>
  </si>
  <si>
    <t>Istalsnas tautas nams</t>
  </si>
  <si>
    <t>Istalsnas FVP</t>
  </si>
  <si>
    <t>Ūdens filtru nomaiņa atdzelžošanas iekārtās (pakalpojums)</t>
  </si>
  <si>
    <t>Istras tautas nams</t>
  </si>
  <si>
    <t>Istras pagasta bibliotēka</t>
  </si>
  <si>
    <t>Nirzas pagasta bibliotēka</t>
  </si>
  <si>
    <t>Nirzas tautas nams</t>
  </si>
  <si>
    <t>Traktors zāles pļaušanai</t>
  </si>
  <si>
    <t>Filtrējošā materiāla nomaiņa Raipolē</t>
  </si>
  <si>
    <t>Nirzas pagasta a/m VW Multivan remonts</t>
  </si>
  <si>
    <t>Ņukšu FVP</t>
  </si>
  <si>
    <t>Ielu apgaismošana-Ņukši</t>
  </si>
  <si>
    <t>Ņukšu pagasta bibliotēka</t>
  </si>
  <si>
    <t>Ņukšu tautas nams</t>
  </si>
  <si>
    <t>Filtrējošā materiāla maiņa atdzelžotājiem ŪAS</t>
  </si>
  <si>
    <t>Mājokļu apsaimn. - Urbuma skalošana Ņukšu ciemā</t>
  </si>
  <si>
    <t>Pildas pagasta bibliotēka</t>
  </si>
  <si>
    <t>Pildas tautas nams</t>
  </si>
  <si>
    <t>TN telpu pielāgošana ģimenes ārsta prakses vietai</t>
  </si>
  <si>
    <t>Filtrējošāmateriāla maiņa atdzelžotājiem Pilda 1</t>
  </si>
  <si>
    <t>Ūdensvada akas remontdarbi</t>
  </si>
  <si>
    <t>Pureņu pagasta bibliotēka</t>
  </si>
  <si>
    <t>Pureņu FVP</t>
  </si>
  <si>
    <t>Trimmeris</t>
  </si>
  <si>
    <t>Kivdolovas atdzelžošanas stacijs ūdens filtru maiņa</t>
  </si>
  <si>
    <t>Katlu māja</t>
  </si>
  <si>
    <t>Pārējo teritoriju apsaimniekošana</t>
  </si>
  <si>
    <t>Rundēnu pagasta bibliotēka</t>
  </si>
  <si>
    <t>Ēkas remonts 2023 gada līguma izpilde</t>
  </si>
  <si>
    <t>Mājokļu  apsaimniekošana</t>
  </si>
  <si>
    <t>Bibliotēka</t>
  </si>
  <si>
    <t>Tautas nams</t>
  </si>
  <si>
    <t>Blontu KN skatuves ārdurvju nomaiņa</t>
  </si>
  <si>
    <t>Ciblas bibliotēka</t>
  </si>
  <si>
    <t>Felicianovas bibliotēka</t>
  </si>
  <si>
    <t>Līdumnieku FAP</t>
  </si>
  <si>
    <t>LucmuižasFVP</t>
  </si>
  <si>
    <t>Virzbāzes izdevumi</t>
  </si>
  <si>
    <t>Goliševas FVP</t>
  </si>
  <si>
    <t>Goliševas pagasta bibliotēka</t>
  </si>
  <si>
    <t>Goliševas kultūras nams</t>
  </si>
  <si>
    <t>Goliševas TN pārbaudes akts novērst objektā konstatētās nepilnības (zemējums, zibensaizsardzība)</t>
  </si>
  <si>
    <t>Malnavas FVP</t>
  </si>
  <si>
    <t>Malnavas pagasta Nesteru bibliotēka</t>
  </si>
  <si>
    <t>Malnavas kultūras pasākumi</t>
  </si>
  <si>
    <t>TA 2x gadā JCB sakarā ar darba apjoma palielināšanos</t>
  </si>
  <si>
    <t>Mežvidu FVP</t>
  </si>
  <si>
    <t>Mežvidu pagasta bibliotēka</t>
  </si>
  <si>
    <t>Mežvidu pagasta Ranču bibliotēka</t>
  </si>
  <si>
    <t>Mežvidu kultūras nams</t>
  </si>
  <si>
    <t xml:space="preserve">Pagastmājas apkures efektivitātes uzlabošanai radiatoru pieslēgumu komplekts </t>
  </si>
  <si>
    <t>Mērdzenes FVP</t>
  </si>
  <si>
    <t>Mērdzenes pagasta bibliotēka</t>
  </si>
  <si>
    <t>Mērdzenes kultūras nams</t>
  </si>
  <si>
    <t>Gaisa pūtējs attīrīšanas iekārtām,kanalizācijas caurule, ūdensvada caurule</t>
  </si>
  <si>
    <t>Salnavas FVP</t>
  </si>
  <si>
    <t>Salnavas pagasta bibliotēka</t>
  </si>
  <si>
    <t>Salnavas kultūras nams</t>
  </si>
  <si>
    <t>Lauderu pagasta bibliotēka</t>
  </si>
  <si>
    <t>Lauderu pagasta kultūras centrs</t>
  </si>
  <si>
    <t>Pasienes ambulance (FVP)</t>
  </si>
  <si>
    <t>Pasienes pagasta bibliotēka</t>
  </si>
  <si>
    <t>Pasienes tautas nams</t>
  </si>
  <si>
    <t>Visi pagasti kopā</t>
  </si>
  <si>
    <t>Atlīdzība sabiedrisko darbu koordinatoram</t>
  </si>
  <si>
    <t>Konkursa"Esi uzņēmējs 2021"un "Step up"</t>
  </si>
  <si>
    <t>Konkursam"Esi uzņēmējs 2024"</t>
  </si>
  <si>
    <t>Ražotnes Krāslavas 1 Ludzā apdroš.izd., elektroenerģija</t>
  </si>
  <si>
    <t>Algoto sab.darbu koordinēšana</t>
  </si>
  <si>
    <t>Zivsaimniecība (Zivju fonda līdzekļi)</t>
  </si>
  <si>
    <t>Projekts-tehnisko līdzekļu iegāde,līdzfin.</t>
  </si>
  <si>
    <t>Tehnikas uzturēšana</t>
  </si>
  <si>
    <t>Lielā Ludzas ezera apsaimn.plāna izstr.proj.līdzfin.</t>
  </si>
  <si>
    <t>Zivju resursu atjaunošana</t>
  </si>
  <si>
    <t>Atlikums uz 31.12.2023.</t>
  </si>
  <si>
    <t>Autotransports - pamatbudžets</t>
  </si>
  <si>
    <t>L.Ezerkrasta promenādes izveidošana un krastmalas teritorijas labiek.Ludzas pilsētā-pašvaldības līdzekļi</t>
  </si>
  <si>
    <t>Jāņa sētas kartes</t>
  </si>
  <si>
    <t>Audiogidi Kārsavā un Zilupē</t>
  </si>
  <si>
    <t>Datorkrēsli 2 gab</t>
  </si>
  <si>
    <t>Projekts'' Militārais mantojums''</t>
  </si>
  <si>
    <t>Saistošie noteikumi-kanalizācijas pieslēgumi DRN</t>
  </si>
  <si>
    <t>Pārējie pakalpojumi (Sungis)</t>
  </si>
  <si>
    <t>Mājokļu attīstība Ludza</t>
  </si>
  <si>
    <t>Komunālie pakalpojumi par brīvajiem dzīvokļiem</t>
  </si>
  <si>
    <t>Ārkārtas situācijas -pašv.dzīvokļu remonts</t>
  </si>
  <si>
    <t>Dūmvadu remonti pašv.daudzdzīvokļu mājās</t>
  </si>
  <si>
    <t>Mājokļu remonts (2 dzīvokļi)</t>
  </si>
  <si>
    <t>Remontdarbi no īres maksas peļņas daļas</t>
  </si>
  <si>
    <t>Līdzfinansējums Ludzas vēsturiskā centra sakārtošanai</t>
  </si>
  <si>
    <t>Mājokļu vides pieejamības nodroš.3.1.2.1.</t>
  </si>
  <si>
    <t>Projekta pieteikuma iesniegšana 2023.gadā,4 cilvēkiem pielāgot mājokli</t>
  </si>
  <si>
    <t>Mājokļu attīstība Kārsava</t>
  </si>
  <si>
    <t>Palīgēku būvn.Ludzā Stacijas 73 un Tālavijas 6</t>
  </si>
  <si>
    <t>Saistošie noteik.-mājokļu sakārtošanai</t>
  </si>
  <si>
    <t>Lietus ūdens kanalizācijas ierīk.māju pagalmos</t>
  </si>
  <si>
    <t>Ūdens. un kanaliz.pieslēgumi pašv.īpašumiem</t>
  </si>
  <si>
    <t>Daudzdz.dziv.mājas būvn.Ludzā projekts,ekspertīze</t>
  </si>
  <si>
    <t>Ludzas nov. teritorijas plānoj. izstr. - līdz 2025.g. b.</t>
  </si>
  <si>
    <t>Ūdensapgāde. Kārsava</t>
  </si>
  <si>
    <t>Ūdensvada maģistrāles izbūve (Kalēju iela)</t>
  </si>
  <si>
    <t>Ūdensvada maģistrāles izbūve (Telegrāfa iela)</t>
  </si>
  <si>
    <t>Ūdensvada maģistrāles izbūve (Miera iela)</t>
  </si>
  <si>
    <t>Ūdensapgāde. Zilupe</t>
  </si>
  <si>
    <r>
      <rPr>
        <sz val="11"/>
        <color theme="1"/>
        <rFont val="Calibri"/>
        <family val="2"/>
        <charset val="186"/>
      </rPr>
      <t>Saistošie noteikumi-ūdensvada pieslēgumi.</t>
    </r>
    <r>
      <rPr>
        <b/>
        <sz val="11"/>
        <color theme="1"/>
        <rFont val="Calibri"/>
        <family val="2"/>
        <charset val="186"/>
      </rPr>
      <t>Novads</t>
    </r>
  </si>
  <si>
    <t>Ielu apgaismošana. Ludza</t>
  </si>
  <si>
    <t>Izdevumi par elektroenerģiju</t>
  </si>
  <si>
    <t>Apkalpošana un avārijas situāciju likvidēšana</t>
  </si>
  <si>
    <r>
      <t xml:space="preserve">Avārijas situāciju likvidēšana. </t>
    </r>
    <r>
      <rPr>
        <b/>
        <i/>
        <sz val="11"/>
        <color rgb="FF000000"/>
        <rFont val="Calibri"/>
        <family val="2"/>
      </rPr>
      <t>Novads</t>
    </r>
  </si>
  <si>
    <t>Ielu apgaismošana. Kārsava</t>
  </si>
  <si>
    <t>Apkalpošanas izd. un stabu nomaiņa un remonts</t>
  </si>
  <si>
    <t>Ielu apgaismošana. Zilupe</t>
  </si>
  <si>
    <t>Pilsētas ielu, parku, skvēru apsaimniekošana (līgums)</t>
  </si>
  <si>
    <r>
      <rPr>
        <i/>
        <sz val="11"/>
        <color rgb="FF000000"/>
        <rFont val="Calibri"/>
        <family val="2"/>
      </rPr>
      <t xml:space="preserve">Bīstamo koku izzāģēšana, </t>
    </r>
    <r>
      <rPr>
        <b/>
        <i/>
        <sz val="11"/>
        <color rgb="FF000000"/>
        <rFont val="Calibri"/>
        <family val="2"/>
      </rPr>
      <t>Novads</t>
    </r>
  </si>
  <si>
    <r>
      <rPr>
        <i/>
        <sz val="11"/>
        <color rgb="FF000000"/>
        <rFont val="Calibri"/>
        <family val="2"/>
      </rPr>
      <t xml:space="preserve">Klaiņojošo dzīvnieku izķeršana. </t>
    </r>
    <r>
      <rPr>
        <b/>
        <i/>
        <sz val="11"/>
        <color rgb="FF000000"/>
        <rFont val="Calibri"/>
        <family val="2"/>
      </rPr>
      <t>Novads</t>
    </r>
  </si>
  <si>
    <t>Grāvju tīrīšana</t>
  </si>
  <si>
    <t>Pontonu apsekošana, remonts</t>
  </si>
  <si>
    <t>Laukumu Raiņa 26,26A,17 Ludzā atjaun.,līdzfin.15%,priorit.proj.</t>
  </si>
  <si>
    <t>Bērnu rotaļu laukumu izveide PII (Briģi, Malnava, Blonti) (LAD projekts)</t>
  </si>
  <si>
    <t>Bērnu rotaļu laukuma atjaunošana Ludzā (pie T/C Mego) (LAD projekts)</t>
  </si>
  <si>
    <t>Elektrības pieslēguma ierīkošana, sanit.modulu izvietošanai</t>
  </si>
  <si>
    <t xml:space="preserve">Tehn.dokum.izstr.sanitāro moduļu noviet.Ludzā </t>
  </si>
  <si>
    <t>Tehniskās dokumentācijas izstrāde 2 tualetēm(centram un Radziņam)</t>
  </si>
  <si>
    <t>Ēkas Raiņa ielā 59 Ludzā nojaukšana</t>
  </si>
  <si>
    <t>Pilsētas ielu, parku, skvēru apsaimniekošana, deleģējuma līgums ar SIA "Kārsavas namsaimnieks"</t>
  </si>
  <si>
    <t>Jaunas strūklakas ierīkošana Parka ielas dīķī</t>
  </si>
  <si>
    <t>Pārvaldes ēkas jumta remonts</t>
  </si>
  <si>
    <t>Saveļinku katoļu kapu kapličas  priekšbaznīcas telpu restaurācija</t>
  </si>
  <si>
    <t>Novada sporta pasākumiem</t>
  </si>
  <si>
    <t>Pašvaldības budžeta dotācija sporta klubiem</t>
  </si>
  <si>
    <t>Ciblas sporta kompleks</t>
  </si>
  <si>
    <t>Telpu pārbūve vides piejam.nodr. -būvprojekta izstr.</t>
  </si>
  <si>
    <t>Būvekspertīze</t>
  </si>
  <si>
    <t>Ludzas novada bibliotēkai -140</t>
  </si>
  <si>
    <t>Dūmistabas baļķu protezēšana, loga vērtnes protezēš.</t>
  </si>
  <si>
    <t>VKKF projekts</t>
  </si>
  <si>
    <t>Jumta spāru apstrāde</t>
  </si>
  <si>
    <t>Pilskalns</t>
  </si>
  <si>
    <t>LED apgaismojums</t>
  </si>
  <si>
    <t>Kinoteātris</t>
  </si>
  <si>
    <t>LAD projekts (Brīvdabas kino aprīkojums)</t>
  </si>
  <si>
    <t>Telpu tek.remonts, logu, durvju maiņa</t>
  </si>
  <si>
    <t>Kultūras centrs</t>
  </si>
  <si>
    <t>Portatīvie datori (Pušmucova, Pasiene)</t>
  </si>
  <si>
    <t>Planšetdators Apple iPad Mini darbam ar digitālām skaņu pultīm</t>
  </si>
  <si>
    <t>Akustisko sistēmu skaņu vadības procesors ar RTA mikrofonu DBX Driverack Venu 360</t>
  </si>
  <si>
    <t>Pasākumi</t>
  </si>
  <si>
    <t>Pārējie kultūras pasākumi-Ludzas pilsētas svētki</t>
  </si>
  <si>
    <t>Pārējie kultūras pasākumi-Kārsavas pilsētas svētki</t>
  </si>
  <si>
    <t>Pārējie kultūras pasākumi-Zilupes pilsētas svētki</t>
  </si>
  <si>
    <t>Pārējie kultūras pasākumi-Gada uzņēmējs</t>
  </si>
  <si>
    <t>Pārējie kultūras pasākumi-Latgaļu tirgus</t>
  </si>
  <si>
    <t>Pārējie kultūras pasākumi-Ziemassvētku tirgus</t>
  </si>
  <si>
    <t>Amatierkolektīvu atīdzība no pašvaldības līdzekļiem</t>
  </si>
  <si>
    <t>Mērķdotācija amatierkol.atlīdzībai</t>
  </si>
  <si>
    <t xml:space="preserve">Baltās tautiskās blūzes/krekli, tautas tērpi, apavi novada amatierkolektīviem </t>
  </si>
  <si>
    <t>Mazākumtautību festivāls 29.06.-30.06.2024. Liepājā (ēdināšana, transports, dalības maksa)</t>
  </si>
  <si>
    <t>Sūknis strūklakai</t>
  </si>
  <si>
    <t>Izglītība</t>
  </si>
  <si>
    <t>Pedagogu darba samaksa no pašvaldības pamatbudž.</t>
  </si>
  <si>
    <t>Pedagogu darba samaksa no mērķdotācijas</t>
  </si>
  <si>
    <t>Mācību līdzekļu iegāde</t>
  </si>
  <si>
    <t>Asistenta pakalpojumi izglītības iestādē</t>
  </si>
  <si>
    <t>Nepilgadīgo Ukrainas civiliedzīvotāju apmācība</t>
  </si>
  <si>
    <t>Ēdnīca</t>
  </si>
  <si>
    <t>Komandējums uz Somiju</t>
  </si>
  <si>
    <t>Elektriskā plīts ar cepeškrāsni</t>
  </si>
  <si>
    <t>Zemes pagraba demontāža</t>
  </si>
  <si>
    <t>Metāla garāžas novietoš. dokument.izstr, iegāde un noviet.</t>
  </si>
  <si>
    <t>Pedag.darba samaksa -Ukrainas bērni</t>
  </si>
  <si>
    <t>Datorkomplekts ar datorprogrammām</t>
  </si>
  <si>
    <t>Mācību līdzekļi - rotaļlietas</t>
  </si>
  <si>
    <t>Konvenkcijas krāsns virtuvē</t>
  </si>
  <si>
    <t>Ēdināšanas izdevumi</t>
  </si>
  <si>
    <t>Apkures telpas remonts</t>
  </si>
  <si>
    <t>Portatīvais dators</t>
  </si>
  <si>
    <t>Interaktīvais ekrāns</t>
  </si>
  <si>
    <t>Pedag.darba samaksa-Ukrainas bērni</t>
  </si>
  <si>
    <t>Bērnu tualetes kabīnes</t>
  </si>
  <si>
    <t>Planšetes 10gb (6.g.vec. bērnu māc.procesam)</t>
  </si>
  <si>
    <t>Kāpņu telpas remonts</t>
  </si>
  <si>
    <t>Portatīvai dators</t>
  </si>
  <si>
    <t>Visi PII kopā</t>
  </si>
  <si>
    <t>Pedagogu darba samaksa no mērķd.interešu izgl.</t>
  </si>
  <si>
    <t>Pedagogu darba sam.latgaliešu val.apguvei</t>
  </si>
  <si>
    <t>Latvijas skolas soma</t>
  </si>
  <si>
    <t>Stipendijas izglītojamiem, naudas balvas</t>
  </si>
  <si>
    <t>Ludzas pilsētas vidusskolas ēdnīca</t>
  </si>
  <si>
    <t>Tautas tērpi(Latvju bērni danci veda)</t>
  </si>
  <si>
    <t>Ventilācijas ierīkošana 2.korpusa virtuvē</t>
  </si>
  <si>
    <t>2. korp. ieejas kāpņu rem. un jumt. izbūve virs ieejas</t>
  </si>
  <si>
    <t>Logu nomaiņa 2.korpusā 6 gb</t>
  </si>
  <si>
    <t>Pēcavārijas remonts</t>
  </si>
  <si>
    <t>Pedagogu darba sam.valsts valodas apguvei</t>
  </si>
  <si>
    <t>Pedagogu darba sam.Ukrainas bērniem</t>
  </si>
  <si>
    <t>Ludzas 2.vidusskolas ēdnīca</t>
  </si>
  <si>
    <t>Pildas pamatskolas ēdnīca</t>
  </si>
  <si>
    <t>Interaktīvais displejs/ekrāns 86"</t>
  </si>
  <si>
    <t>Detektors - ugunsdrošības ierīce sporta telpu ģērbtuvē</t>
  </si>
  <si>
    <t>Ciblas vidusskolas ēdnīca</t>
  </si>
  <si>
    <t>Ciblas vidusskola- internāts</t>
  </si>
  <si>
    <t xml:space="preserve">Skolas jubilejas pasākumam </t>
  </si>
  <si>
    <t>Digitālās klavieres</t>
  </si>
  <si>
    <t>Malk. skald. Compact 15, jauda 3500W, garums 1070</t>
  </si>
  <si>
    <t>Datorkrēsli (10gb*150EUR)</t>
  </si>
  <si>
    <t>Stumjamais sniega tīrītājs</t>
  </si>
  <si>
    <t>Kārsavas vidusskola Ēdnīca</t>
  </si>
  <si>
    <t>Kārsavas vidusskolas Internāts</t>
  </si>
  <si>
    <t>Skolas pagalma, piebr. ceļu, trotuāru asfaltēšana</t>
  </si>
  <si>
    <t xml:space="preserve">Ugunsdz. un apziņ. sist. proj. un izbūve. sk. galv.korp. </t>
  </si>
  <si>
    <t>Ugunsdr. signalizācijas ierīkoš.internāta 1.korpusa ēdnīcā un II koprusa palīgtelpās</t>
  </si>
  <si>
    <t>Ventilācijas apsekošana un tīrīšana skolas galvenajā korp. (VUGD apsekošanas akts)</t>
  </si>
  <si>
    <t>Pedagogu darba samaksa no mērķdotācijas PII grupa</t>
  </si>
  <si>
    <t>Naudas balvas</t>
  </si>
  <si>
    <t>Mērdzenes pamatskolas ēdnīca</t>
  </si>
  <si>
    <t xml:space="preserve">Ārējās videonovērošanas uzstādīšana </t>
  </si>
  <si>
    <t>Stipendijas izglītojamiem,naudas balvas</t>
  </si>
  <si>
    <t>Zilupes vidusskolas ēdnīca</t>
  </si>
  <si>
    <t>Ledusskapis (Norāde no (PVD)</t>
  </si>
  <si>
    <t>8 UPS tīkla iekārtām, monitors 24" x3gb</t>
  </si>
  <si>
    <t>Visas skolas kopā</t>
  </si>
  <si>
    <t>Interešu izglītība</t>
  </si>
  <si>
    <t>Pedagogu darba samaksa no mērķdotācijas visp.izgl.</t>
  </si>
  <si>
    <t>Pedagogu darba samaksa no Kultūras ministrijas</t>
  </si>
  <si>
    <t>Ludzas mūzikas pamatskolas ēdnīca</t>
  </si>
  <si>
    <t>Tērpi deju nodaļai, 4-5kl 9x100, 1 kl 12x100</t>
  </si>
  <si>
    <t>Together in Art  2024-2027 (projekts)</t>
  </si>
  <si>
    <t>Zāles logu maiņa</t>
  </si>
  <si>
    <t>Atpūtas krēsli - dīvāni vestibiliem 3 gb</t>
  </si>
  <si>
    <t>Žurnālgaldi vestibiliem 5 gb</t>
  </si>
  <si>
    <t>Virtuves stūrītis skolotāju istabā</t>
  </si>
  <si>
    <t>1.kabineta (sitaminstr.klase) skaņas izolācija, remonts</t>
  </si>
  <si>
    <t>EKI projekts Craft Ways</t>
  </si>
  <si>
    <t>Tehniskās dokumentācijas aktualizācija un garāžas nojaukšana</t>
  </si>
  <si>
    <t>Durvis svarcelšanas zālei</t>
  </si>
  <si>
    <t>Soli ar āķiem (ģērbtuvēs)</t>
  </si>
  <si>
    <t>Trenažieris rokām, pleciem</t>
  </si>
  <si>
    <t>Elektrības pretestību mērījumi</t>
  </si>
  <si>
    <t>Mērķdotācija no Kultūras ministrijas kolektīviem</t>
  </si>
  <si>
    <t>Erasmus HAND MADE</t>
  </si>
  <si>
    <t>Projekts Proti un dari</t>
  </si>
  <si>
    <t>Proj. Sākotnējās prof.izgl.progr.īsten.</t>
  </si>
  <si>
    <t>Darbs ar jaunatni</t>
  </si>
  <si>
    <t>Latvju bērni danci veda (visas skolas)</t>
  </si>
  <si>
    <t>Visa interešu izglītība kopā</t>
  </si>
  <si>
    <t>Elektroautobusa iegādes līdzfinansējums 15%</t>
  </si>
  <si>
    <t>7 autobusu iegāde,10% līdzfinansējums aizd. no VK</t>
  </si>
  <si>
    <t>Vieglo automašīnu iegāde 5 gab</t>
  </si>
  <si>
    <t>Transporta daļa (skolēnu pārvad.) Blonti</t>
  </si>
  <si>
    <t>Transporta daļa (skolēnu pārvad.) Līdumnieki</t>
  </si>
  <si>
    <t>Pedagogu darba samaksa</t>
  </si>
  <si>
    <t>Izglītības stratēģijas izstrāde</t>
  </si>
  <si>
    <t>Interešu izglītības programma "Es - uzņēmējs!"</t>
  </si>
  <si>
    <t>Projekts Kompetenču attīstība...</t>
  </si>
  <si>
    <t>Savstarpējie norēķini par izglītības pak. kopā</t>
  </si>
  <si>
    <t>Mājas aprūpe bērniem invalīdiem</t>
  </si>
  <si>
    <t>Mežvidu mājas aprūpes mobilā grupa</t>
  </si>
  <si>
    <t>Daudzfunkcionālais sociālo pak.centrs Ludza m/d</t>
  </si>
  <si>
    <t>Daudzfunkcionālais sociālo pak.centrs Kārsava m/d</t>
  </si>
  <si>
    <t>Funkcionālā gulta 4gab*900</t>
  </si>
  <si>
    <t>Būvmateriāli. tualetes telpu,virtuves grīdas, vannas ist.rem</t>
  </si>
  <si>
    <t>Funkcionālā gulta 9gab*900</t>
  </si>
  <si>
    <t>Gaļas maļamā mašīna</t>
  </si>
  <si>
    <t>Veļas mazgājamā mašīna</t>
  </si>
  <si>
    <t>Veļas žāvētājs</t>
  </si>
  <si>
    <t>Zāles pļāvējs</t>
  </si>
  <si>
    <t>Siltumsūknis</t>
  </si>
  <si>
    <t>Līdzfinasēj.proj.aprīkoj. iegāde un uzstādīšana</t>
  </si>
  <si>
    <t>Atbalsts gados veciem cilvēkiem</t>
  </si>
  <si>
    <t>Atbalsts ģimenēm ar bērniem</t>
  </si>
  <si>
    <t>BJĀAC "Ozoli" Madonas nov.pašvaldība</t>
  </si>
  <si>
    <t>Pašvaldību transferti citām pašvaldībām</t>
  </si>
  <si>
    <t>Krīzes dzīvokļa pakalpojumi</t>
  </si>
  <si>
    <t>Mājokļa atbalsts</t>
  </si>
  <si>
    <t>Mājokļa atbalsts Ukrainas iedzīvotājiem</t>
  </si>
  <si>
    <t>Pabalsti maznodroš. un neaizsarg.personām</t>
  </si>
  <si>
    <t>GMI</t>
  </si>
  <si>
    <t>Atbalsts Ukrainas civiliedzīvotājiem</t>
  </si>
  <si>
    <t>Darbs ar asistentu darbības nodrošināšanu</t>
  </si>
  <si>
    <t>Visi sociālie kopā</t>
  </si>
  <si>
    <t>Pavisam</t>
  </si>
  <si>
    <t>neatbalstītie</t>
  </si>
  <si>
    <t>Kods</t>
  </si>
  <si>
    <t>2024 gada kopējie plānotie izdevumi</t>
  </si>
  <si>
    <t>Tai skaitā atlīdzība 2024</t>
  </si>
  <si>
    <t>Atlīdzības izmaiņas 2025 pret 2024</t>
  </si>
  <si>
    <t>Atlīdzība bāze 2025</t>
  </si>
  <si>
    <t>01,000</t>
  </si>
  <si>
    <t>Vispārējie vadības dienesti</t>
  </si>
  <si>
    <t>Kopā 01.000</t>
  </si>
  <si>
    <t>Sabiedriskā kārtība un drošība</t>
  </si>
  <si>
    <t>Vides aizsardzība</t>
  </si>
  <si>
    <t>Teritoriju un mājokļu apsaimniekošana</t>
  </si>
  <si>
    <t>Veselība</t>
  </si>
  <si>
    <t>Atpūta, kultūra un reļiģija</t>
  </si>
  <si>
    <t>Sociālā aizsardzība</t>
  </si>
  <si>
    <t>Atlīdzība</t>
  </si>
  <si>
    <t>Atlīdzības palielinājums</t>
  </si>
  <si>
    <t>Atlīdzība bāze</t>
  </si>
  <si>
    <t>P/līdz. Bāze</t>
  </si>
  <si>
    <t>pašv.līdz.</t>
  </si>
  <si>
    <t>proj.līdz.</t>
  </si>
  <si>
    <t>aizņēmums</t>
  </si>
  <si>
    <t>Rezerve pārvērtēš.reorganizāc.(atbrīv. pab.)med.darb.</t>
  </si>
  <si>
    <t>Pašv.iekšējās kontroles un uzraudzības sistēmas izstr.</t>
  </si>
  <si>
    <t>Ludzas sadarbības teritorijas aizsardz.pl.groz.izstrāde</t>
  </si>
  <si>
    <t>Datortehnika</t>
  </si>
  <si>
    <t>Kārtējie remonti (kabineta rem.2022.gada izpilde)</t>
  </si>
  <si>
    <t>Ugunsdzēsības signaliz.apk.pak.sadārdzinājums</t>
  </si>
  <si>
    <t>ERAF proj. Ludzas sociālā dienesta ēkas pārbūve-proj.</t>
  </si>
  <si>
    <t>Proj. From Hobby to Business ,LED ekrāns pie domes</t>
  </si>
  <si>
    <t>priekšfin., līdzfin. (domes lēmums),plānotais avanss14400 EUR, īstenošana līdz 2023.g.novembrim</t>
  </si>
  <si>
    <t>Proj.Viedās pašvaldības (saules paneļi)</t>
  </si>
  <si>
    <t>aktivitāšu izvērtēšana, proj.dokumentācijas sagatavošana</t>
  </si>
  <si>
    <t>KAC darbinieku atlīdzībai</t>
  </si>
  <si>
    <t>KAC uzturēšanas izdevumiem</t>
  </si>
  <si>
    <t>Mēbeles</t>
  </si>
  <si>
    <t>kopējie izdevumi 3 gadu laikā 80 000 EUR</t>
  </si>
  <si>
    <t>Tautas nama jumtu remonts</t>
  </si>
  <si>
    <t>Traktora remonts</t>
  </si>
  <si>
    <t>Traktora sniega lāpsta</t>
  </si>
  <si>
    <t>Soliņi</t>
  </si>
  <si>
    <t>iegādājās par saviem līdzekļiem</t>
  </si>
  <si>
    <t>Tautas namu pasākumi :Līgo svētki,LR svētki,Ziemassvētki,dāvanas</t>
  </si>
  <si>
    <t>Ielu apgaismojuma uzstādīšana</t>
  </si>
  <si>
    <t xml:space="preserve">Zāles traktora remonts
</t>
  </si>
  <si>
    <t>Atpūtas vieta Briģos</t>
  </si>
  <si>
    <t>Gājēju celiņš pie fvp</t>
  </si>
  <si>
    <t>Norādījuma zīmes uz Ebreju kapiem un J.Slobodkas baznīcu</t>
  </si>
  <si>
    <t>Tualete Brigu kapos</t>
  </si>
  <si>
    <t>Dzīv.mājas "Korallīši" uzkrājuma fonds</t>
  </si>
  <si>
    <t>Feldšeru punkta uzturēšanai</t>
  </si>
  <si>
    <t>Inventārs Feldšeru vecmāšu punktam</t>
  </si>
  <si>
    <t>Notekūdeņu dīķu tīrīšana</t>
  </si>
  <si>
    <t>Futbola laukuma norobežojošais tīkls</t>
  </si>
  <si>
    <t>Labiekārtošanai sīkais inventārs</t>
  </si>
  <si>
    <t>Pārvaldes ēkai jaunas ieejas durvis</t>
  </si>
  <si>
    <t>Pārvaldes ēkas remontam</t>
  </si>
  <si>
    <t xml:space="preserve">Inventārs bibliotēkai </t>
  </si>
  <si>
    <t>Galda spēles bibliotēkai</t>
  </si>
  <si>
    <t>diskotēka</t>
  </si>
  <si>
    <t>jaunu metāla durvju ielikšanai, apdarei un loga metāla režģa izgatavošanai Kabinets tiks pielāgots un izmantots Ludzas novada Bāriņtiesas arhīvam</t>
  </si>
  <si>
    <t>Trimera (zāles pļāvēja iegāde)</t>
  </si>
  <si>
    <t>Tutānu kapu žogs</t>
  </si>
  <si>
    <t>Āra trenažieri (iegāde un uzstādīšana)</t>
  </si>
  <si>
    <t>Dzīv.mājas "Lordi" uzkrājuma fonds</t>
  </si>
  <si>
    <t xml:space="preserve">Istalsnas FAP Feldšeru punkta uzturēšanai </t>
  </si>
  <si>
    <t>Anšupānu kapu žogs</t>
  </si>
  <si>
    <t>Gaisa kondicionieri pārvaldes ēkā</t>
  </si>
  <si>
    <t>Biodīķa tīrīšana (vides dienesta priekšraksts) c.Martiši ar PVN</t>
  </si>
  <si>
    <t>Pagasta ēkas 1.stāva un pagraba elektroinst.rem.</t>
  </si>
  <si>
    <t>Augstspiediena kanalizācijas trašu skalotājs</t>
  </si>
  <si>
    <t>Istalsnas bibl, KN, FVP dūmvadu un ventkanāla tīrīšana</t>
  </si>
  <si>
    <t>1 reize 4 gados</t>
  </si>
  <si>
    <t>Greidera remonts</t>
  </si>
  <si>
    <t>Pašv. dz. Nr.1 "Kreiču mājas" remonts</t>
  </si>
  <si>
    <t>īres maksas peļņas daļa</t>
  </si>
  <si>
    <t>Logu un durvju nomaiņa dzīvojamai ēkai</t>
  </si>
  <si>
    <t>Ugunsdzēsības dīķa žoga būvniecība</t>
  </si>
  <si>
    <t>Bibliotēka - Novadpētniecībai (fotorāmji)</t>
  </si>
  <si>
    <t>Uzkarināmā rotējošā zāles pļaujmašīna</t>
  </si>
  <si>
    <t>Mājas "Smilgas" skursteņu tīrīšana</t>
  </si>
  <si>
    <t>Lauksaimniecība</t>
  </si>
  <si>
    <t>Žalūzijas 2022.g.iepirkuma līgums</t>
  </si>
  <si>
    <t>Nirzas bibliotēkas apkures katls</t>
  </si>
  <si>
    <t>Nirzas bibliotēkas grīdas remonts</t>
  </si>
  <si>
    <t>Nirzas ezera pludmale - atpūtas laukums</t>
  </si>
  <si>
    <t>1650EUR ir plānoti</t>
  </si>
  <si>
    <t>Mājokļu apsaimniekošana - ūdens skaitītājs</t>
  </si>
  <si>
    <t>Ņukšu pagasta pārvalde - datorkrēsls</t>
  </si>
  <si>
    <t>2 skurst. galviņu nomaiņa pašvaldības dzīvokļos</t>
  </si>
  <si>
    <t>Ņukšu pagasta bibl. - periodikas abon. 2024.gadam</t>
  </si>
  <si>
    <t>Logu nomaiņa pašvaldības dzīvokļos</t>
  </si>
  <si>
    <t>Norāde uz bibl. un ceļa zīmes stabs (balsts)</t>
  </si>
  <si>
    <t>Ņukšu pagasta bibliotēka - izkārtne</t>
  </si>
  <si>
    <t>Ņukšu FVP izkārtne</t>
  </si>
  <si>
    <t>Ņukšu pagasta bibliotēka - žurnālgaldiņš</t>
  </si>
  <si>
    <t>Ņukšu KN - saliekamās 3-daļīgās trepes</t>
  </si>
  <si>
    <t>LAD proj.līdzfinansējums(TN videoprojektors un ekrāns)</t>
  </si>
  <si>
    <t>Iedzīvotāju vēstule, realizēts projekts, projekta finansējums 4643 EUR</t>
  </si>
  <si>
    <t>Ambulance</t>
  </si>
  <si>
    <t>Pildas pagasta pārvalde - datorkrēsls</t>
  </si>
  <si>
    <t>Māj.aps - ūdensv.pieslēg-s ar caurduri - Mednieku iela</t>
  </si>
  <si>
    <t>Pildas pagasta bibliotēka - grāmatu plaukts</t>
  </si>
  <si>
    <t xml:space="preserve">Pildas pag.pārv - korķa tāfele ar alumīnija rāmi </t>
  </si>
  <si>
    <t>Degviela (aktīvāko lasītāju vešana uz Alūksni)</t>
  </si>
  <si>
    <t>Krusta izgatavošana un uzstādīšana Kivdolovā</t>
  </si>
  <si>
    <t>Dzīv.mājas "Lapegles" uzkrājuma fonds</t>
  </si>
  <si>
    <t>Apkures katla remonts</t>
  </si>
  <si>
    <t>Siltumenerģijas skaitītājs, 2022.gadā avanss 20% -1228 EUR</t>
  </si>
  <si>
    <t>OSB plāksnes  ēku logu aizsegšanai</t>
  </si>
  <si>
    <t>Dīķa krasta tīrīšana peldvietas ierīkošanai</t>
  </si>
  <si>
    <t>Smilts-sāls kaisītājs traktoram</t>
  </si>
  <si>
    <t>Ēkas (pagasta pārvalde, bibliotēka) pieejamības nodrošināšana</t>
  </si>
  <si>
    <t>ir priekšraksts, ir izsludināts iepirkums</t>
  </si>
  <si>
    <t>Māju"Tulpes"un Latgales 1 skursteņu tīrīšana</t>
  </si>
  <si>
    <t>Remontmater. ūdensapgādei pēc spiediena paaugst.</t>
  </si>
  <si>
    <t>Blontu KN apkures pieslēgšana pārvaldei</t>
  </si>
  <si>
    <t>Augstspiediena mazgātājs</t>
  </si>
  <si>
    <t>Celtniecības putekļu sūcējs</t>
  </si>
  <si>
    <t>2 Mikrofoni, kokle folk.kopai "Madara"</t>
  </si>
  <si>
    <t>Tērpu remonts Deju kopai "Kaprīzes'</t>
  </si>
  <si>
    <t>konteinera noma pavasara talkas ietvaros lielgab. atkrit</t>
  </si>
  <si>
    <t>TN apkures katls</t>
  </si>
  <si>
    <t>ūdensvada atjaunošana 400m</t>
  </si>
  <si>
    <t>Ugunsdzēš. dīķa labiekārtošana (žogs, ūd. ņemš. vieta)</t>
  </si>
  <si>
    <t>Trīs dzīvokļu remonts Vecmuižas ēkas iedz (Muižas 9)</t>
  </si>
  <si>
    <t>Lai pārvietotu iedzīvotājus no skolas internāta dzīvokļiem, īres maksas peļņas daļa</t>
  </si>
  <si>
    <t>Jumta nomaiņa dzīvojamai mājai "Ceļinieki"</t>
  </si>
  <si>
    <t>Uzkrājuma fonda nav</t>
  </si>
  <si>
    <t>Jumta nomaiņa dzīvojamai mājai "Krodzinieki"</t>
  </si>
  <si>
    <t>virsbāzes izdevumi</t>
  </si>
  <si>
    <t>zāles pļāvēja iegāde (dome)</t>
  </si>
  <si>
    <t>apkures katla iegāde</t>
  </si>
  <si>
    <t>Spiedkatla iegāde (ūdensapgāde)</t>
  </si>
  <si>
    <t>Dzīv. m. "Zvārguļi" kāpņutelpas kosmētiskais remonts</t>
  </si>
  <si>
    <t>Ēkas "Tautas nams" energosertifikācija</t>
  </si>
  <si>
    <t>TN divu jaunu gāzes katlu iegāde</t>
  </si>
  <si>
    <t>Pašv.māju Mūrnieki,Sienāzīši,Odiņi ārdurvju nomaiņa 4 gb</t>
  </si>
  <si>
    <t>uzkrājuma fonda nav</t>
  </si>
  <si>
    <t>Dūmvadu tīrīšana,mājas Kaktiņi,Žubītes,Odiņi,Krāces</t>
  </si>
  <si>
    <t>Tualetes 2 kapiem (Vasarāni, Seļekova)</t>
  </si>
  <si>
    <t>Lapu pūtējs 2 gab. (Lielā parka terit., 13 kapu teritorijas)</t>
  </si>
  <si>
    <t>Inventārs (pārvalde) 2 galda lampas, 2 biroja krēsli</t>
  </si>
  <si>
    <t>Lielā konteinera noma (Pavasara talka - lielgab.atkrit.)</t>
  </si>
  <si>
    <t>Pašv.dzīvoklis Bērzu ielā 1, remonts 2 krāsnis</t>
  </si>
  <si>
    <t>īres maksas peļņas daļa, remotēs, ja būs kas dzīvos</t>
  </si>
  <si>
    <t>Pašvaldības dzīvokļa mājā "Lociņi" 1 krāsns remonts</t>
  </si>
  <si>
    <t>īres makasa peļņas daļa</t>
  </si>
  <si>
    <t>Mežvidu pagasta Raņču bibliotēka</t>
  </si>
  <si>
    <t xml:space="preserve">pagastmājas apkures efektivitātes uzlabošanai radiatoru pieslēgumu komplekts </t>
  </si>
  <si>
    <t>ūdens ņemšanas vietas jumta seguma remonts</t>
  </si>
  <si>
    <t>rezerves izejas durvju nomaiņa Mežvidu bibliotēkā</t>
  </si>
  <si>
    <t>KN flīžu  grīdas segums, izlīdzinošie materiāli, flīžu līme, skavas,  priekštelpā 82 m2* 25 e</t>
  </si>
  <si>
    <t>Dziļurbuma sūknis</t>
  </si>
  <si>
    <t>Transporta pašvaldības īpašuma ‘’Skolotāju māja’’kad.Nr.68700060363 kanalizācijas un ūdensvada pieslēguma izveidošanai pie kopējās ūdens un kanalizācijas sistēmas.</t>
  </si>
  <si>
    <t>Datortehnikas iegāde bibliotēkai</t>
  </si>
  <si>
    <t xml:space="preserve">Granulu katla iegāde </t>
  </si>
  <si>
    <t>Monitors pagasta pārvaldes vadītājai</t>
  </si>
  <si>
    <t>skaļruņi, klaviatūra, Id karšu lasītājs, pele pagasta pārvaldes vadītājai</t>
  </si>
  <si>
    <t xml:space="preserve">Novērošanas kameras (2 gab) ar uzstādīšanu un citiem nepieciešamajiem materiāliem </t>
  </si>
  <si>
    <t>Ģenerātora remonts</t>
  </si>
  <si>
    <t>Inventārs KN</t>
  </si>
  <si>
    <t>Biroja krēsla iegāde</t>
  </si>
  <si>
    <t>Videokameras iegāde</t>
  </si>
  <si>
    <t>Materiāli malkas šķūnim</t>
  </si>
  <si>
    <t>Traktora piekabe</t>
  </si>
  <si>
    <t>Tehnisk.apsekošanas atzinuma sagat KN palīgtelpai</t>
  </si>
  <si>
    <t>siena kritiskā stāvoklī</t>
  </si>
  <si>
    <t>Mērdz. KN palīgtelpas renovācija (precizēs pēc tehn.atz)</t>
  </si>
  <si>
    <t>Māja "Mētras" jumta remonts (pašvald. līdzfinans.)</t>
  </si>
  <si>
    <t>Traktora piekabe WESTERN</t>
  </si>
  <si>
    <t>Zāles pļāvējs - krūmgriezis</t>
  </si>
  <si>
    <t>Māja "Skolotāji", brīvais dz. nr 12 - granulu kamīns</t>
  </si>
  <si>
    <t>Īres maksas peļņas daļa</t>
  </si>
  <si>
    <t>Pie daudzīvokļu mājām guļošo policistu uzbūve</t>
  </si>
  <si>
    <t>noskaidrot vai var no ceļu fonda</t>
  </si>
  <si>
    <t>LAD proj.līdzfinansējums(TN hibrīdkamera)</t>
  </si>
  <si>
    <t>Projekta finansējums 3918 EUR</t>
  </si>
  <si>
    <t>Inventārs</t>
  </si>
  <si>
    <t xml:space="preserve">Lāzer printeris A4 </t>
  </si>
  <si>
    <t>Krūmgriezis STIHL FS 131</t>
  </si>
  <si>
    <t>ekskavatora pakalpojumi</t>
  </si>
  <si>
    <t>kanalizācijas trašu tīrīšana</t>
  </si>
  <si>
    <t>Jumta seguma remonts ūdens nemšanas vietā</t>
  </si>
  <si>
    <t>Apaļā krāsns pārbūve m. Elstes dz.nr 3 - remonts</t>
  </si>
  <si>
    <t>īres maksas peļņas daļa, remontēs, ja būs kas dzīvo</t>
  </si>
  <si>
    <t>Plīts pārbūve māja "Elstes" dz.nr 3 - remonts</t>
  </si>
  <si>
    <t>Lauderu FAP</t>
  </si>
  <si>
    <t>Bibliotēka Viendaļīga divpusēja magnētiskā starpsiena, 2022.g. iepirkuma līgums</t>
  </si>
  <si>
    <t>Iesniegums  60 ūdens skaitītāju iegādei (pašvaldības iestādes un dzīvokļi)</t>
  </si>
  <si>
    <t>Logu apmaiņu pārējās KN telpās</t>
  </si>
  <si>
    <t>materiāli remontdarbiem</t>
  </si>
  <si>
    <t xml:space="preserve"> mucas vākuma sūknis</t>
  </si>
  <si>
    <t>kravas mikroautobuss ar kasti un dubulto kabīni</t>
  </si>
  <si>
    <t>pļaujmašīnas traktoram</t>
  </si>
  <si>
    <t>Ūdens sagat. stacijas tehnoloģiskais aprīkojums</t>
  </si>
  <si>
    <t>Pasienes ambulance</t>
  </si>
  <si>
    <t>Ūdens attīrīšanas stacijas rekonstrukcija, papildus</t>
  </si>
  <si>
    <t>Defektu akts, iestādes budžetā ieplānoti 3360EUR, nepieciešams papildus</t>
  </si>
  <si>
    <t>Rulveida žalūzijas Pasienes KN</t>
  </si>
  <si>
    <t>visi pagasti kopā</t>
  </si>
  <si>
    <t>Automašīnas iegāde</t>
  </si>
  <si>
    <t>Konkursa"Esi uzņēmējs 2021, 2022"un "Step up"</t>
  </si>
  <si>
    <t>Konkursam"Esi uzņēmējs 2023"</t>
  </si>
  <si>
    <t>Ražotne Krāslavas 1 Ludza (elektroenerģijas izd.)</t>
  </si>
  <si>
    <t>Krāslavas 1 būvpr.izmaiņas katlu mājas pielāgošanai</t>
  </si>
  <si>
    <t>Krāslavas 1 būvpr.izmaiņas 'transf.apakšs. pārviet.</t>
  </si>
  <si>
    <t>Degrad. terit. revital. un raž.z. izveide Ludzas pilsētā</t>
  </si>
  <si>
    <t>Projekts</t>
  </si>
  <si>
    <t>Mazā Ludzas ezera ekspluatācijas noteik.izstrāde</t>
  </si>
  <si>
    <t>Atlikums uz 31.12.2022.</t>
  </si>
  <si>
    <t>L.Ezerkrasta ielas pārb.un krastm.labiekārt.būvprojekts</t>
  </si>
  <si>
    <t>Vienības ielas Kārsavā  virskārtas seg.atj. projektēšana</t>
  </si>
  <si>
    <t>vēlams no ceļu fonda papildus piešķirtā finansējuma 110 364 EUR</t>
  </si>
  <si>
    <t>M.Telegrāfa ielas seg.atj.Kārsavā ,15% līdzfin.priorit.proj.</t>
  </si>
  <si>
    <t>Būvuzraudz., autoruzr. 15% līdzfin.</t>
  </si>
  <si>
    <t>Finansējums pasākumiem LRTR Ezerzeme</t>
  </si>
  <si>
    <t>Projekts BELLA CULTURA</t>
  </si>
  <si>
    <t>Projekts From Hobby to business</t>
  </si>
  <si>
    <t>Informatīvie stendi</t>
  </si>
  <si>
    <t>Velomaršruta zīmju izgatavošana un uzstādīšana</t>
  </si>
  <si>
    <t>No LIAA pārņemto  informācijas stendu atjaunošana</t>
  </si>
  <si>
    <t>Kopā 9 stendi par summu 9000 EUR, pēc vienošanās par stendu pārņemšanu no LIAA, pašv.apmēmusies aktualizēt informāciju līdz 01.06.2023.</t>
  </si>
  <si>
    <t>Iekšējā internettīkla pārveidei</t>
  </si>
  <si>
    <t>Tīrības dienas pavasara, vasaras akcijas, Lielā talka DRN</t>
  </si>
  <si>
    <t>Lielā talka Kārsava</t>
  </si>
  <si>
    <t>Artēziskā urbuma tamponēšana Istras pag. DRN</t>
  </si>
  <si>
    <t>Pārējie izdevumi DRN</t>
  </si>
  <si>
    <t>Saistošie noteikumi-kanalizācijas pieslēgumi p/b</t>
  </si>
  <si>
    <t>Pamatbudžeta līdzekļi</t>
  </si>
  <si>
    <t>Pārējie pakalpojumi</t>
  </si>
  <si>
    <t>Ūdensvada un kanalizācijas tīklu renovācija Kārsavā</t>
  </si>
  <si>
    <t>ieguldījums SIA "Kārsavas namsaimnieks" nepieciešama lielāka summa</t>
  </si>
  <si>
    <t>Pašvaldības dzīvokļu remonts</t>
  </si>
  <si>
    <t>Vienības ielā 34 Kārsavā soc.dzīvokļu ierīkošana</t>
  </si>
  <si>
    <t>Atkritumu laukuma labiek.Skolas ielā 4d Kārsavā</t>
  </si>
  <si>
    <t>Nekustamo īpašumu reģistrācija, vērtēšana</t>
  </si>
  <si>
    <t>Saistošie noteik.-vēsturiskā centra sakārtošanai</t>
  </si>
  <si>
    <t>Covid-19 aizsardzības pasākumi</t>
  </si>
  <si>
    <t>Saistošie noteik.-mājokļu energoef.ES proj.ietvaros</t>
  </si>
  <si>
    <t>Māju jumtu nomaiņa pagastos</t>
  </si>
  <si>
    <t>Dūmvadu nomaiņa mājokļos pagastos un pilsētās</t>
  </si>
  <si>
    <t>Daudzdz.dziv.mājas būvn.Ludzā projekts,avanss 30%</t>
  </si>
  <si>
    <t>Soc.dzīvokļu remonta tehn.dokum.izstrāde</t>
  </si>
  <si>
    <t>Mājokļu vides pieejamības nodroš.3.1.2.1.1.</t>
  </si>
  <si>
    <t>Kalēju ielas ūdensvada maģistrāles izbūve(Kārsava)</t>
  </si>
  <si>
    <t>Telegrāfa ielas ūdensvada maģistrāles izb (Kārsava)</t>
  </si>
  <si>
    <t>Miera ielas ūdensvada maģistrāles izbūve (Kārsava)</t>
  </si>
  <si>
    <t>Elektr. piesl. ierīk. (proj.izstr)Vienības 34-Kārsava</t>
  </si>
  <si>
    <t>Attīstības plāna grozījumi, 2017.gada līguma izpilde</t>
  </si>
  <si>
    <t>Līniju un balstu nomaiņa</t>
  </si>
  <si>
    <r>
      <rPr>
        <i/>
        <sz val="11"/>
        <color rgb="FF000000"/>
        <rFont val="Calibri"/>
        <family val="2"/>
      </rPr>
      <t xml:space="preserve">Ielu apgaismojuma spuldžu nomaiņa, </t>
    </r>
    <r>
      <rPr>
        <b/>
        <i/>
        <sz val="11"/>
        <color rgb="FF000000"/>
        <rFont val="Calibri"/>
        <family val="2"/>
      </rPr>
      <t>novads</t>
    </r>
  </si>
  <si>
    <t>stabu nomaiņa un remonts</t>
  </si>
  <si>
    <t>Apkalpošana un tekošais remonts</t>
  </si>
  <si>
    <t>Kapitālais remonts</t>
  </si>
  <si>
    <t>Pilsētas ielu, parku, skvēru aps.deleģējuma līgums</t>
  </si>
  <si>
    <t>Nekustamo īpašumu iegāde</t>
  </si>
  <si>
    <t>Laukuma Raiņa 17 projektēšana, topogrāfija</t>
  </si>
  <si>
    <t>Laukuma Raiņa 26 Ludzā projektēšana</t>
  </si>
  <si>
    <t>2024.g. līzfinansējums 28900 EUR</t>
  </si>
  <si>
    <t>Eversmuižas kungu mājas tehn.doku. izstrāde</t>
  </si>
  <si>
    <t>Arhitektoniski mākslinieciskā izpēte</t>
  </si>
  <si>
    <t>Projekts"Ģimenei draudzīgā pašvaldība"</t>
  </si>
  <si>
    <t>Radziņa tualete</t>
  </si>
  <si>
    <t>Četru bērnu rotaļu laukumu proj., topogrāfija</t>
  </si>
  <si>
    <t>Ludzā Mego, Malnavas PII, Blontu PII, Briģu PII ( iesniegšanai LAD projektiem)</t>
  </si>
  <si>
    <t>Projekts NATTOUR Green Palette v.2.0.līdzfin, priekšfin.</t>
  </si>
  <si>
    <t>projekts apstiprināts, plānotais avanss 24915 EUR, projekts jārealizē līdz 2023,g.novembrim</t>
  </si>
  <si>
    <t>Projekts NATTOUR</t>
  </si>
  <si>
    <t>Proj."Gājēju takas izveide gar Šņitkas krastiem 1.posms</t>
  </si>
  <si>
    <t>Proj."Gājēju takas izveide gar Šņitkas krastiem 2.posms</t>
  </si>
  <si>
    <t>projekta pieteikuma iesniegšana 2023.g., projekta summa 110 000 EUR</t>
  </si>
  <si>
    <t>Ēkas Vienības ielā 90 nojaukšana (atzinuma sagatavošana)</t>
  </si>
  <si>
    <t>Ekskavatora kapitālais remonts (ieguldījums pamatkapitālā)</t>
  </si>
  <si>
    <t>Skeitparka ierīkošana</t>
  </si>
  <si>
    <t>Pacēlājs (ieguldījums pamatkapitālā Zilupe LTD)</t>
  </si>
  <si>
    <t>Būvprojekta izstrāde būvobjektam - zemes gabala teritorijas labiekārtošanas darbi.</t>
  </si>
  <si>
    <t>Gājēju ietves izbūve Meža ielas posmā sākot no Brīvības ielas līdz Meža ielas (projekta izstr.)</t>
  </si>
  <si>
    <t>Novada sporta pasākumiem, inventāram,port.datoram</t>
  </si>
  <si>
    <t>Balvas par sasniegumiem sportā</t>
  </si>
  <si>
    <t>Būvprojekta izstrādes papilddarbi</t>
  </si>
  <si>
    <t>Būvprojekta ekspertīze</t>
  </si>
  <si>
    <t>Projekts HOME</t>
  </si>
  <si>
    <t>Datorkomplekts stacionārais</t>
  </si>
  <si>
    <t xml:space="preserve">Tikšanās pieauguš. ar grāmatu  autorēm </t>
  </si>
  <si>
    <t>Linoleja ieklāšana 2.stāva koridorī</t>
  </si>
  <si>
    <t>Tikšanās bērniem ar autori ilzi Spergu un grupu "Rupuči'</t>
  </si>
  <si>
    <t>Projekts. Bezvadu mobilo grāmatu pakomāts</t>
  </si>
  <si>
    <t>Izdevumi par komunālajiem pakalpojumiem</t>
  </si>
  <si>
    <t>Ekspozīciju izveidošanai</t>
  </si>
  <si>
    <t>Keramikas darbnīcas renovāc.tehn.dokum.izstrāde</t>
  </si>
  <si>
    <t>Ekspozīciju zāles remonts</t>
  </si>
  <si>
    <t>Zemnieku mājas jumta remonts</t>
  </si>
  <si>
    <t>Mākslas plenēra organizēšana</t>
  </si>
  <si>
    <t xml:space="preserve">Virsbāzes izdevumi </t>
  </si>
  <si>
    <t>Vitrīnas iegāde ekspozīcijai</t>
  </si>
  <si>
    <t>Objekta DŪMISTABA sienas un jumta remonts</t>
  </si>
  <si>
    <t>Ekspozīcijas apskaņošanas sistēma (dators, skaļruņi)</t>
  </si>
  <si>
    <t>Telts (Pop up alumīnija 3x3)</t>
  </si>
  <si>
    <t>Biroja galds ar plauktu</t>
  </si>
  <si>
    <t>Žalūzijas</t>
  </si>
  <si>
    <t>Spoguļa restaurācija (atvests no pašvaldības)</t>
  </si>
  <si>
    <t>Nojume virs durvīm</t>
  </si>
  <si>
    <t>Projekts Rīteiropas vērtības (pilskalns)</t>
  </si>
  <si>
    <t>Projekts Rīteiropas vērtības (pilskalns) proj.izmaiņas</t>
  </si>
  <si>
    <t>Transformējami, saliekami izstāžu stendi 5 gab</t>
  </si>
  <si>
    <t>Podesti, vitrīnas izstādēm</t>
  </si>
  <si>
    <t>Plaukti mājražotāju produkcijas un suvenīru izvietošanai</t>
  </si>
  <si>
    <t>Virtuves iekārta ar el. plīti, tvaika nosūcēju, trauku mazgājamo mašīnu un izlietni</t>
  </si>
  <si>
    <t>Izlietnes ierīkošana</t>
  </si>
  <si>
    <t>Virtuves un galda piederumi, tējkanna, termosi, trauki</t>
  </si>
  <si>
    <t>Galds ar krēsliem</t>
  </si>
  <si>
    <t>Saliekams galds un krēsli</t>
  </si>
  <si>
    <t>Albums par Kārsavu un apkārtni No 1991 gada līdz mūsdienām</t>
  </si>
  <si>
    <t>Spēles, puzles ar Kārsavas attēliem</t>
  </si>
  <si>
    <t>Rotaļlietu izgatavošana ar tirgus tematiku</t>
  </si>
  <si>
    <t>Materiāli radošajām darbnīcām</t>
  </si>
  <si>
    <t>Fotokamera, printeris krāsainu attēlu drukai</t>
  </si>
  <si>
    <t>Izstāžu aprīkojums - rāmīši, turētāji</t>
  </si>
  <si>
    <t>Mērķdotācija KN, t.sk. atm.2022.g. neizm. 2372 EUR</t>
  </si>
  <si>
    <t>Jumta remonts</t>
  </si>
  <si>
    <t>Skaņas aparatūra</t>
  </si>
  <si>
    <t>Siltumsistēmas remonts</t>
  </si>
  <si>
    <t>Kāpņu telpas tekošais remonts</t>
  </si>
  <si>
    <t>Pilsētas prezentācijas raidījums</t>
  </si>
  <si>
    <t>Mērķdotācija KN</t>
  </si>
  <si>
    <t>LAD proj.līdzfinansējums(Brīvdabas kino aprīkojums)</t>
  </si>
  <si>
    <t>Projekta finansējumsa 43418 EUR, notiek izvērtēšana</t>
  </si>
  <si>
    <t>Dators</t>
  </si>
  <si>
    <t>Projektors</t>
  </si>
  <si>
    <t>Var izmantot no LAD proj.Pildas TN iegādāto projektoru</t>
  </si>
  <si>
    <t>Latgaliešu seriāla "FATI"4.sērijas fimēšanas līdzfinansējums</t>
  </si>
  <si>
    <t>Pārējie kultūras pasākumi- dziesmu svētki</t>
  </si>
  <si>
    <t>Tautu tērpi kolektīviem</t>
  </si>
  <si>
    <t>Papildus izdevumi degvielai un transporta pakalp.</t>
  </si>
  <si>
    <t>N.Rancāna balva -  līdzfinansējums</t>
  </si>
  <si>
    <t>Balva "Boņuks" līdzfinansējums</t>
  </si>
  <si>
    <t>Piemaksa ped.,skolot,pal.,auklēm Covid-19 p.laikā</t>
  </si>
  <si>
    <t>Mācību līdzekļi "Lielvārds"</t>
  </si>
  <si>
    <t>Skeneris virtuves blokam</t>
  </si>
  <si>
    <t>Pārējie pamatlīdzekļi 2 digitālie ekrāni</t>
  </si>
  <si>
    <t>Spēļu laukumu aprīkojums</t>
  </si>
  <si>
    <t>Āra mūzikas insgtrumenti 3 gb.</t>
  </si>
  <si>
    <t>Rotaļlaukumu aprīkojums</t>
  </si>
  <si>
    <t>Šūpoles ar grozu "Ligzda"</t>
  </si>
  <si>
    <t>PVN par 2022g.iegādāto datoru</t>
  </si>
  <si>
    <t>Dabīgās ventilācijas kanālu remonts</t>
  </si>
  <si>
    <t>Ugunsaizsardzības sistēmas ierīkošana</t>
  </si>
  <si>
    <t>Ēdināšanas bloka labiekārtošana</t>
  </si>
  <si>
    <t>Zemes pagraba demontāžas projekts</t>
  </si>
  <si>
    <t>Sporta laukuma seguma projektēšana</t>
  </si>
  <si>
    <t>Grupu laukumu nojumes 6x 4000</t>
  </si>
  <si>
    <t>Logu nomaiņa 2.daļa</t>
  </si>
  <si>
    <t>Virtuves fasādes siltināšana</t>
  </si>
  <si>
    <t>Fasādes remonts, atlikušā daļa</t>
  </si>
  <si>
    <t>Drošas starpsienas ierīkošana iestādes zālē</t>
  </si>
  <si>
    <t>Zibensaizsardzības sistēmas remontdarbi</t>
  </si>
  <si>
    <t>Teritorijas žoga pārcelšana</t>
  </si>
  <si>
    <t xml:space="preserve"> 2 kāpņu telpu kosmētiskais remonts</t>
  </si>
  <si>
    <t>Telpas(zāles) kosmētiskais remonts</t>
  </si>
  <si>
    <t>Būvproj. izstrādāts 2022. gadā</t>
  </si>
  <si>
    <t>Mauriņa traktors</t>
  </si>
  <si>
    <t>iegādāts maijā</t>
  </si>
  <si>
    <t>Ēdiena sadales letes un metāla žalūzijas 3gbx400EUR</t>
  </si>
  <si>
    <t>Interakt.ekr. ar programmat. pirmsk."Sākam mācīties"</t>
  </si>
  <si>
    <t>Nojume</t>
  </si>
  <si>
    <t>Energoefektivitātes projekta izstrāde, ekspertīze</t>
  </si>
  <si>
    <t>2 nojumes</t>
  </si>
  <si>
    <t>Iestādes vadītāja novērtēšana</t>
  </si>
  <si>
    <t>Rotaļu laukums</t>
  </si>
  <si>
    <t xml:space="preserve">Kopētājs </t>
  </si>
  <si>
    <t>printeris 3 vienā</t>
  </si>
  <si>
    <t>Diennakts grupas atpūtas telpas tek.remonts</t>
  </si>
  <si>
    <t>Diennakts grupas guļamistabas telpas tek.remonts</t>
  </si>
  <si>
    <t>Diennakts grupas tualešu telpu tek.remonts</t>
  </si>
  <si>
    <t>Bērnu rotaļu laukuma elementu izgatavošana</t>
  </si>
  <si>
    <t>Bērnudārza spēļu laukuma izveidošana</t>
  </si>
  <si>
    <t>Interaktīvais ekrāns 75</t>
  </si>
  <si>
    <t>Datori (stacionārais un portatīvais)</t>
  </si>
  <si>
    <t>Plīts iegāde virtuvei</t>
  </si>
  <si>
    <t>Digitālās klavieres CASIO</t>
  </si>
  <si>
    <t>Inventārs (lāpstas, spaiņi, krēsliņi)</t>
  </si>
  <si>
    <t>Var pārcellt uz nākamo gadu</t>
  </si>
  <si>
    <t>Iestādes vadītājs novērtēšana</t>
  </si>
  <si>
    <t>Telpu remonts (pēc instanču priekšrakstiem)</t>
  </si>
  <si>
    <t>Projektors 1gb.</t>
  </si>
  <si>
    <t>Projektori 4gb. 1000EUR, IT nodaļa iesaka 1gb.500EUR</t>
  </si>
  <si>
    <t>Skrūvgriezis</t>
  </si>
  <si>
    <t>jau iegādāts</t>
  </si>
  <si>
    <t>Elektrourbis</t>
  </si>
  <si>
    <t>Virtuves skapītis izlietnei</t>
  </si>
  <si>
    <t>Grīdas seg.maiņa gr Bitīte āra nojumē (remontmateriāli)</t>
  </si>
  <si>
    <t>Ēkas 2.stāva tualešu un sienas remonts-skolas internāts</t>
  </si>
  <si>
    <t>3449 EUR novirzīts no skolas izdevumiem kurināmajam</t>
  </si>
  <si>
    <t>Par izglītības pakalpojumiem "Zaļā skola"</t>
  </si>
  <si>
    <t>Zibensnovedēja pārrāvumu likvid. un iezemēšana</t>
  </si>
  <si>
    <t>Ventilācijas šahtu tīrīšana</t>
  </si>
  <si>
    <t>Stāvlaukuma izbūves projekts</t>
  </si>
  <si>
    <t>Elektroinstalācijas rekonstrukcija iestādē</t>
  </si>
  <si>
    <t>Ja ir līdzekļi, vajadzētu</t>
  </si>
  <si>
    <t>Telpas- zāles izbūve (izd. nav noteikti)</t>
  </si>
  <si>
    <t>nav skaidrs</t>
  </si>
  <si>
    <t>Iekšējo telpu, grupiņu remonti (izd. nav noteikti)</t>
  </si>
  <si>
    <t>Žalūzijas guļamtelpā</t>
  </si>
  <si>
    <t>Datorkrēsls</t>
  </si>
  <si>
    <t>Siltummezgla ierīkošana</t>
  </si>
  <si>
    <t>Digit.māc.līdz.skolotājam "Sākam mācīties"</t>
  </si>
  <si>
    <t>Bērnu rotaļu laukuma atribūti</t>
  </si>
  <si>
    <t>Rotaļu laukuma atribūti</t>
  </si>
  <si>
    <t>Komunālie pakalpojumi</t>
  </si>
  <si>
    <t>Telpu remonts</t>
  </si>
  <si>
    <t>3in1(skeneris, print., kopētājs) virtuves blokam</t>
  </si>
  <si>
    <t>Izdevumi vadītājas novērtēšanai</t>
  </si>
  <si>
    <t>Ieejas trepju remonts (flīžu nomaiņa)</t>
  </si>
  <si>
    <t>Pavisam PII</t>
  </si>
  <si>
    <t>Erasmus projekts 059783 _2 Variety in Eur...reģions</t>
  </si>
  <si>
    <t>Erasmus projekts 059783 _3 learn.from the h...</t>
  </si>
  <si>
    <t>Projekts "Vesels-Aktīvs-Zinošs"</t>
  </si>
  <si>
    <t>RoboNet projekta priekšfinansējums</t>
  </si>
  <si>
    <t>Precizēt summu</t>
  </si>
  <si>
    <t>Erasmus proj Nr.2019....-059783-2lskolu apm.partnerība</t>
  </si>
  <si>
    <t>Bēniņu apstr. 2 korpusiem 1x 5 gados ar ugunsdr. mater.</t>
  </si>
  <si>
    <t>Vent.šahtas dab.tīrīšana 2 korpusiem 1x 5 gados</t>
  </si>
  <si>
    <t>Grīdas seguma nomaiņa 2.korpusa zālē</t>
  </si>
  <si>
    <t>Srejriteņi, aizsargķiveres, ceļu aizsargi</t>
  </si>
  <si>
    <t>Stacionārie datorkomplekti 2.korpusam, 15 gab.</t>
  </si>
  <si>
    <t>Interaktīvie ekrāni</t>
  </si>
  <si>
    <t>Obligātā veselības pārbaude  reizi trīs gados</t>
  </si>
  <si>
    <t>Luxriot video serverim cietais disks</t>
  </si>
  <si>
    <t>Datorkomplekts stacionārais - 6gb</t>
  </si>
  <si>
    <t>Interaktīvais ekrāns 86" - 4gb</t>
  </si>
  <si>
    <t>Papildfinansējums toneru iegādei</t>
  </si>
  <si>
    <t>Kāpņu remonts pie stadiona</t>
  </si>
  <si>
    <t>Stipendijas izglītojamiem</t>
  </si>
  <si>
    <t>Grīdas lakošanai sporta hallē</t>
  </si>
  <si>
    <t>ESF proj. "Atbalsts priekšl.māc. pārtr. samazināšanai"</t>
  </si>
  <si>
    <t>Interaktīvais ekrāns 86"', 3 gab.</t>
  </si>
  <si>
    <t>Datortehnikas un datortīkla rezerves daļas</t>
  </si>
  <si>
    <t>Krēsli ēdnīcai</t>
  </si>
  <si>
    <t>Stacionārie datorkomplekti 5 gab.</t>
  </si>
  <si>
    <t>Ventilācijas iekārtu remonts</t>
  </si>
  <si>
    <t>Fotoaparāts/fotokamera ar aprīkojumu</t>
  </si>
  <si>
    <t>Skolēnu domes iesniegums</t>
  </si>
  <si>
    <t>Inventarizācijas lieta</t>
  </si>
  <si>
    <t>10 planšetdatori un uzlādēšanas galds</t>
  </si>
  <si>
    <t>Programmas iekārta interaktīva displ darb. nodrošin</t>
  </si>
  <si>
    <t>Portatīvais dators interaktīvajam displejam</t>
  </si>
  <si>
    <t>Bezvadu mikrofoni skolas pasākumiem</t>
  </si>
  <si>
    <t>Robotu komplekts robotikas pulciņa nodarbībām</t>
  </si>
  <si>
    <t>Dūmvadu apsekošana 1x 3 gados</t>
  </si>
  <si>
    <t>Projekts "'Ment. veselības stabilizēšana Covid-19.."</t>
  </si>
  <si>
    <t>Atbalsts.priekšl.māc.samazin PUMPURS</t>
  </si>
  <si>
    <t>Novērošanas kameras skolas iekšt. un to uzstādīšana</t>
  </si>
  <si>
    <t>Multa- veto pieprasījums</t>
  </si>
  <si>
    <t>Skatuves ierīkošana (apvienojot matem.kabinetu....un)</t>
  </si>
  <si>
    <t>Mācību līdzekļi</t>
  </si>
  <si>
    <t>Skolas zsv pasākuma organizēšanai</t>
  </si>
  <si>
    <t>Gaismas prožektori</t>
  </si>
  <si>
    <t>lampiņu virtenes</t>
  </si>
  <si>
    <t>Skaļruņi, pastiprinātāji</t>
  </si>
  <si>
    <t>Degviela - autobusa izmantošanai dalībai konkursos</t>
  </si>
  <si>
    <t>Novusa galds</t>
  </si>
  <si>
    <t>Datu kamera</t>
  </si>
  <si>
    <t>Interneta līkla remontmateriāli (galv.rūteris)</t>
  </si>
  <si>
    <t>pufi 7gb</t>
  </si>
  <si>
    <t>Datortehnika un WIFI tīkla izbūve</t>
  </si>
  <si>
    <t>Mērķdot no Kultūras Ministrijas amatierkolektīviem</t>
  </si>
  <si>
    <t>Internāta aplodas remonts</t>
  </si>
  <si>
    <t>Skolas fasādes tīrīšana</t>
  </si>
  <si>
    <t>Ugunsdroš.obligāto prasību izpilde(ventilācija)</t>
  </si>
  <si>
    <t>Elektroinstalācijas izolāc.pretestību mērījumi</t>
  </si>
  <si>
    <t>Apk. sist. sūkņa maiņa  un termoreg.galvu uzst.</t>
  </si>
  <si>
    <t>Sporta halles apgaism- bojāto lampu iegāde un maiņa</t>
  </si>
  <si>
    <t>obligātā prasība</t>
  </si>
  <si>
    <t>Jumta lūkas, sniega barjeru, noteku nomaiņa (bojājumi)</t>
  </si>
  <si>
    <t>Iekšdurvju kārbu iegāde, nomaiņa ar apdari (20gb)</t>
  </si>
  <si>
    <t>Interneta tīkla izbūve (līdzfinansējums)</t>
  </si>
  <si>
    <t>Mikrotīkla ziedojums + 12000</t>
  </si>
  <si>
    <t>Portatīvo datoru uzlādes skapis (chrome book uzgl/uzl)</t>
  </si>
  <si>
    <t>Āra soliņi 10x 250 EUR</t>
  </si>
  <si>
    <t>Interaktīvie ekrāni (86collu) 5x4000EUR</t>
  </si>
  <si>
    <t>4 stacionārie datori</t>
  </si>
  <si>
    <t>1 interaktīvā tāfele</t>
  </si>
  <si>
    <t>2 logi 1.stāvā</t>
  </si>
  <si>
    <t>Ventilācijas iekārtu pārb.un tīrīšana</t>
  </si>
  <si>
    <t>Skolas ēkas noteku tīrīšana un remonts</t>
  </si>
  <si>
    <t>Mācību līdzekļu iegāde PII</t>
  </si>
  <si>
    <t>Skolas internāta pieslēguma jaudas uzlabošana</t>
  </si>
  <si>
    <t>Iekšējā un ārējā videonovērošana</t>
  </si>
  <si>
    <t>Portatīv.dat meiteņu mājt.kabinetam (ar licencēm)</t>
  </si>
  <si>
    <t>Signalizācija fiz.kab. un sākumskolas bēniņos</t>
  </si>
  <si>
    <t>Kārtējais remonts</t>
  </si>
  <si>
    <r>
      <rPr>
        <sz val="11"/>
        <color rgb="FF000000"/>
        <rFont val="Calibri"/>
        <family val="2"/>
      </rPr>
      <t xml:space="preserve">Kanalizācijas remonts </t>
    </r>
    <r>
      <rPr>
        <b/>
        <sz val="11"/>
        <color rgb="FF000000"/>
        <rFont val="Calibri"/>
        <family val="2"/>
      </rPr>
      <t>(nedarbojas</t>
    </r>
    <r>
      <rPr>
        <sz val="11"/>
        <color rgb="FF000000"/>
        <rFont val="Calibri"/>
        <family val="2"/>
      </rPr>
      <t xml:space="preserve"> vairākos kabinetos)</t>
    </r>
  </si>
  <si>
    <t>Saldētava (norāde no (PVD)</t>
  </si>
  <si>
    <t>Volejbola statīvi (māc progr.izpildei un skolēnu droš.)</t>
  </si>
  <si>
    <t xml:space="preserve"> </t>
  </si>
  <si>
    <t>Koka soli</t>
  </si>
  <si>
    <t xml:space="preserve">Mācību līdzekļi </t>
  </si>
  <si>
    <t>Bibliotēku krājumi</t>
  </si>
  <si>
    <t>Pavisam skolas</t>
  </si>
  <si>
    <t>Pedagogu darba samaksa no kultūras ministrijas</t>
  </si>
  <si>
    <t>Mūz.instr/Marimba /Yamaha bungu komplekts</t>
  </si>
  <si>
    <t>Tautu tērpi</t>
  </si>
  <si>
    <t>Akreditācijas izdevumi</t>
  </si>
  <si>
    <t>Naudas balvas par sasniegumiem konkursos</t>
  </si>
  <si>
    <t>Papildus pārtikas pakām</t>
  </si>
  <si>
    <t>Sporta zāles pārbūve par kamerzāli</t>
  </si>
  <si>
    <t>1.kabineta kosmētiskais remonts</t>
  </si>
  <si>
    <t>Skolas  teritorijas labiekārtošana</t>
  </si>
  <si>
    <t>2 interaktīvie ekrāni</t>
  </si>
  <si>
    <t>Portatīvais dators, datortehnika</t>
  </si>
  <si>
    <t>Koridoru, vestibila kosm.rem.,logu nomaiņa aktu zālē</t>
  </si>
  <si>
    <t>Segums āra spēļu laukumam</t>
  </si>
  <si>
    <t>Zāle4s logu maiņa, skolas koridoru, vestibilu remonts</t>
  </si>
  <si>
    <t>Datorkrēsli 5 gb</t>
  </si>
  <si>
    <t>Apavu skapīši 2 gb</t>
  </si>
  <si>
    <t>Ēdamgaldi ēdnīcā 6 gb</t>
  </si>
  <si>
    <t>Interaktīvie ekrāni 2 gb</t>
  </si>
  <si>
    <t>Keramikas virpas</t>
  </si>
  <si>
    <t>Projekts CraftWays</t>
  </si>
  <si>
    <t>Skolas fasādes jumta karnīzes remonts</t>
  </si>
  <si>
    <t>Mūz. instr. - Pianīns</t>
  </si>
  <si>
    <t>Datortehnikas atjaunošana datorklasē 5 komplekti</t>
  </si>
  <si>
    <t>Samaksa par komunālajiem pakalpojumiem</t>
  </si>
  <si>
    <t>Datorkomplekts 2gab.(nosacījums akreditācijai)</t>
  </si>
  <si>
    <t>Būvniecības ieceres projekta aktualizācija</t>
  </si>
  <si>
    <t>Interaktīvais ekrāns 75"</t>
  </si>
  <si>
    <t>BB01A12 Photoshop CC</t>
  </si>
  <si>
    <t>Klavieru skaņošana</t>
  </si>
  <si>
    <t xml:space="preserve">Datortehnika </t>
  </si>
  <si>
    <t>Stadiona būvprojekta izstrāde</t>
  </si>
  <si>
    <t>Stadiona būvprojekta izstrāde (ekspertīze)</t>
  </si>
  <si>
    <t>1.stāva svarcelšanas zāles grīdas remonts</t>
  </si>
  <si>
    <t>Svarcelšanas zāles atjaunošana</t>
  </si>
  <si>
    <t>Klēpjdators</t>
  </si>
  <si>
    <t>Trenažieris hiperestenzija</t>
  </si>
  <si>
    <t>Svarcelšanas zāles grīdas remonts</t>
  </si>
  <si>
    <t>Mīkstie krēsli ar metāla kājām 30x35EUR</t>
  </si>
  <si>
    <t>Legorobotikas komplekti 4x500EUR</t>
  </si>
  <si>
    <t>Apskaņošanas sistēma+3 miKrofoni 1x4500 EUR</t>
  </si>
  <si>
    <t>Biroja krēsli 4x170EUR</t>
  </si>
  <si>
    <t>Muzikālais instruments Džamba 4x500 EUR</t>
  </si>
  <si>
    <t>Muzikālais instruments - kokle 4x800 EUR</t>
  </si>
  <si>
    <t>Planšetdators 6x230 EUR</t>
  </si>
  <si>
    <t>Stacionārais dators 2x1150 EUR</t>
  </si>
  <si>
    <t>3 autobusu iegāde,10% līdzfinansējums aizd. no VK</t>
  </si>
  <si>
    <t>Pēc zemākās piedāvātās cenas, notiek iepirkuma izvērtēšana</t>
  </si>
  <si>
    <t>Notiek iepirkuma procedūra</t>
  </si>
  <si>
    <t>Nod.pers.prof.kompetences pilnveide</t>
  </si>
  <si>
    <t>Projekts Karjeras atbalsts...</t>
  </si>
  <si>
    <t>Proj. Labbūtības ceļakartes aktivitāšu īstenošana</t>
  </si>
  <si>
    <t>Savstarpējie norēķini par izglītības pak.</t>
  </si>
  <si>
    <t xml:space="preserve">2 telpu renovācija sociālās aprūpes nodaļā Kārsavā (Neizmantotie līdzekļi 2021.g.Pamatkapitāla palielin.Kārsavas slimnīca)
</t>
  </si>
  <si>
    <t>Kārsavas slimnīcas telpas</t>
  </si>
  <si>
    <t>Laukumiņa ierīkošana, celiņa paplašināšana</t>
  </si>
  <si>
    <t>Inv. darbiniekiem un klientiem, galdi, krēsli, televizors</t>
  </si>
  <si>
    <t>Būvmateriāli istabas remontam</t>
  </si>
  <si>
    <t>katlu mājas dūmvada remonts</t>
  </si>
  <si>
    <t>Portatīvais dators- radošajām darbn., pasāk. organizēš.</t>
  </si>
  <si>
    <t>Trauku mazgājamā mašīna</t>
  </si>
  <si>
    <t>1.st.remonts, virtuve, koridors</t>
  </si>
  <si>
    <t>2.st. vannas istabas remonts</t>
  </si>
  <si>
    <t>Bēniņu telpas remonts</t>
  </si>
  <si>
    <t>Ventilācijas sistēmas remonts</t>
  </si>
  <si>
    <t>Ventilācijas sistēmas ventilatoru un sensoru nomaiņa</t>
  </si>
  <si>
    <t>jau izdarīts</t>
  </si>
  <si>
    <t>Katlu mājas remonts</t>
  </si>
  <si>
    <t>Vannas istabas remonts 2. stāvā</t>
  </si>
  <si>
    <t>Projektors - radoš.darbnīcām, pasākumu organizēšanai</t>
  </si>
  <si>
    <t>Grīdas remonts dušas telpā</t>
  </si>
  <si>
    <t>Skapji medikamentu uzglabāšanai, 2 gab.</t>
  </si>
  <si>
    <t>DI pasākumu īstenošana m/d</t>
  </si>
  <si>
    <t>Pabalsti iedzīvotājiem Energoresursu cenu ārkārtēja pieauguma samazinājuma pasākuma ietvaros</t>
  </si>
  <si>
    <t>Projekts Sociālā darba attīstība m/d</t>
  </si>
  <si>
    <t>Soc. pabalsti (mājokļa pab., arī citos veidos lieli izdevumi)</t>
  </si>
  <si>
    <t>2 telpu renovācija soc.apr.nod.Kārsavā(pamatkapit.pal.)</t>
  </si>
  <si>
    <t>Līdzekļu kopsumma prioritāro izdevumu segšanai</t>
  </si>
  <si>
    <t>Autoceļu fonda mērķdotācijas palielinājums</t>
  </si>
  <si>
    <t>Sagatavoja: A.Ņukša</t>
  </si>
  <si>
    <t>Pielikums Nr. 2</t>
  </si>
  <si>
    <t>UN ĪSTENOJAMO PROJEKTU IZDEVUMI 2024. GADAM (EUR)</t>
  </si>
  <si>
    <t>Ūdensūknis</t>
  </si>
  <si>
    <t>Hidrofora nomaiņa</t>
  </si>
  <si>
    <t>Ūdenstorņa hidroizolāc.atjaunošana</t>
  </si>
  <si>
    <t>Sāls tabletes ūdens mīkstināšanai</t>
  </si>
  <si>
    <t>Portatīvais dators (ne mazāks par 15 collām, 500Gb, Mac Os operētājsistēma) - pasākumu apskaņošanai Ludzas TN</t>
  </si>
  <si>
    <t>Bezvadu mikrof.komplekts ar transportkasti (Kārsavai un pagastiem )</t>
  </si>
  <si>
    <t>Zibensnovedējs (priekšraksts no VUGD)</t>
  </si>
  <si>
    <t>Automātiskās ugunsgrēka sistēmas renovācija(VUGD)</t>
  </si>
  <si>
    <t>Dozācijas sūknis remonts</t>
  </si>
  <si>
    <t>Ugunsdrošības pasākumi(VUGD)</t>
  </si>
  <si>
    <t>Ledusskapis (PVD)</t>
  </si>
  <si>
    <t>Latvijas SOS Bērnu ciematu Asociācija</t>
  </si>
  <si>
    <t>visitludza.lv tulkošana LT,EST</t>
  </si>
  <si>
    <t>Zemes iegāde (Stacijas iela 38)</t>
  </si>
  <si>
    <t>Akordeons Hohner Bravo II 48 (Bozova)</t>
  </si>
  <si>
    <t>Datorkomplekts ar datorprogrammām (Windows 11 un Office Home&amp; Buisness) un ar Monitoru 27 2GB</t>
  </si>
  <si>
    <t xml:space="preserve">Blontu PII (Ciblas struktūrvienība) </t>
  </si>
  <si>
    <t>Kombinētais ūdens sildītājs 150l 2grupiņai</t>
  </si>
  <si>
    <t>Transporta daļa Kārsava</t>
  </si>
  <si>
    <t>Transporta daļa Zilupe</t>
  </si>
  <si>
    <t>Transporta daļa Ludza</t>
  </si>
  <si>
    <t>Daudzfunkcionālais sociālo pak.centrs Ludza</t>
  </si>
  <si>
    <t>Daudzfunkcionālais sociālo pak.centrs Kārsava</t>
  </si>
  <si>
    <t>Sociālā aizs. Invalid. gadījumā - asistenti (mērķotācija)</t>
  </si>
  <si>
    <t>Pansionāts "Mūsmājas" - Kārsava</t>
  </si>
  <si>
    <t>Grupu dzīvokļa pakalpojums</t>
  </si>
  <si>
    <t>SIA Ludzas med.centrs, pamatkapitāla palielināšana  (mikroautobuss, apkures katls)</t>
  </si>
  <si>
    <t>SIA Ludzas apsaimniekotājs, pamatkapitāla palielināšana, pamatbudžeta līdzekļi</t>
  </si>
  <si>
    <t>SIA Ludzas apsaimniekotājs, pamatkapitāla palielināšana, Dabas resursu nodoklis</t>
  </si>
  <si>
    <t>Apstiprināti ar Ludzas novada pašvaldibas domes 05.02.2024.</t>
  </si>
  <si>
    <t>saistošiem noteikumiem Nr. 4/2024</t>
  </si>
  <si>
    <r>
      <t>sēdes lēmumu Nr. 29 (prot. Nr. 2, 2. §</t>
    </r>
    <r>
      <rPr>
        <sz val="8.8000000000000007"/>
        <rFont val="Calibri"/>
        <family val="2"/>
        <charset val="186"/>
      </rPr>
      <t>)</t>
    </r>
  </si>
  <si>
    <r>
      <t xml:space="preserve">Ludzas novada pašvaldības domes priekšsēdētājs </t>
    </r>
    <r>
      <rPr>
        <i/>
        <sz val="11"/>
        <color theme="1"/>
        <rFont val="Calibri"/>
        <family val="2"/>
        <charset val="186"/>
      </rPr>
      <t>E. Mekšs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</si>
</sst>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_);_(* \(#,##0\);_(* &quot;-&quot;??_);_(@_)"/>
    <numFmt numFmtId="165" formatCode="0.000"/>
  </numFmts>
  <fonts count="55" x14ac:knownFonts="1">
    <font>
      <sz val="11"/>
      <color theme="1"/>
      <name val="Arial"/>
      <family val="2"/>
    </font>
    <font>
      <sz val="11"/>
      <color theme="1"/>
      <name val="Calibri"/>
      <family val="2"/>
      <charset val="186"/>
    </font>
    <font>
      <sz val="11"/>
      <color rgb="FF00B050"/>
      <name val="Calibri"/>
      <family val="2"/>
      <charset val="186"/>
    </font>
    <font>
      <sz val="11"/>
      <color rgb="FFFF0000"/>
      <name val="Calibri"/>
      <family val="2"/>
      <charset val="186"/>
    </font>
    <font>
      <b/>
      <sz val="12"/>
      <color theme="1"/>
      <name val="Calibri"/>
      <family val="2"/>
      <charset val="186"/>
    </font>
    <font>
      <sz val="12"/>
      <color theme="1"/>
      <name val="Calibri"/>
      <family val="2"/>
      <charset val="186"/>
    </font>
    <font>
      <b/>
      <sz val="11"/>
      <color theme="1"/>
      <name val="Calibri"/>
      <family val="2"/>
      <charset val="186"/>
    </font>
    <font>
      <i/>
      <sz val="11"/>
      <color theme="1"/>
      <name val="Calibri"/>
      <family val="2"/>
      <charset val="186"/>
    </font>
    <font>
      <i/>
      <sz val="11"/>
      <color rgb="FFFF0000"/>
      <name val="Calibri"/>
      <family val="2"/>
      <charset val="186"/>
    </font>
    <font>
      <i/>
      <sz val="11"/>
      <color rgb="FF00B0F0"/>
      <name val="Calibri"/>
      <family val="2"/>
      <charset val="186"/>
    </font>
    <font>
      <b/>
      <i/>
      <sz val="11"/>
      <color theme="1"/>
      <name val="Calibri"/>
      <family val="2"/>
      <charset val="186"/>
    </font>
    <font>
      <sz val="11"/>
      <color rgb="FF00B0F0"/>
      <name val="Calibri"/>
      <family val="2"/>
      <charset val="186"/>
    </font>
    <font>
      <sz val="11"/>
      <name val="Calibri"/>
      <family val="2"/>
      <charset val="186"/>
    </font>
    <font>
      <sz val="11"/>
      <color rgb="FF000000"/>
      <name val="Calibri"/>
      <family val="2"/>
      <charset val="186"/>
    </font>
    <font>
      <sz val="11"/>
      <color theme="9"/>
      <name val="Arial"/>
      <family val="2"/>
      <charset val="186"/>
    </font>
    <font>
      <sz val="11"/>
      <color rgb="FFFF0000"/>
      <name val="Arial"/>
      <family val="2"/>
      <charset val="186"/>
    </font>
    <font>
      <i/>
      <sz val="11"/>
      <color rgb="FF000000"/>
      <name val="Calibri"/>
      <family val="2"/>
      <charset val="186"/>
    </font>
    <font>
      <b/>
      <i/>
      <sz val="11"/>
      <color rgb="FF000000"/>
      <name val="Calibri"/>
      <family val="2"/>
    </font>
    <font>
      <b/>
      <sz val="12"/>
      <name val="Calibri"/>
      <family val="2"/>
      <charset val="186"/>
    </font>
    <font>
      <sz val="12"/>
      <name val="Calibri"/>
      <family val="2"/>
      <charset val="186"/>
    </font>
    <font>
      <b/>
      <sz val="11"/>
      <color theme="1"/>
      <name val="Arial"/>
      <family val="2"/>
      <charset val="186"/>
    </font>
    <font>
      <sz val="11"/>
      <name val="Arial"/>
      <family val="2"/>
      <charset val="186"/>
    </font>
    <font>
      <i/>
      <sz val="11"/>
      <name val="Calibri"/>
      <family val="2"/>
      <charset val="186"/>
    </font>
    <font>
      <b/>
      <i/>
      <sz val="11"/>
      <name val="Calibri"/>
      <family val="2"/>
      <charset val="186"/>
    </font>
    <font>
      <b/>
      <sz val="11"/>
      <name val="Calibri"/>
      <family val="2"/>
      <charset val="186"/>
    </font>
    <font>
      <b/>
      <sz val="12"/>
      <color rgb="FFFF0000"/>
      <name val="Calibri"/>
      <family val="2"/>
      <charset val="186"/>
    </font>
    <font>
      <sz val="12"/>
      <color rgb="FFFF0000"/>
      <name val="Calibri"/>
      <family val="2"/>
      <charset val="186"/>
    </font>
    <font>
      <b/>
      <i/>
      <sz val="11"/>
      <color rgb="FFFF0000"/>
      <name val="Calibri"/>
      <family val="2"/>
      <charset val="186"/>
    </font>
    <font>
      <b/>
      <sz val="11"/>
      <color rgb="FFFF0000"/>
      <name val="Calibri"/>
      <family val="2"/>
      <charset val="186"/>
    </font>
    <font>
      <b/>
      <sz val="11"/>
      <color rgb="FF000000"/>
      <name val="Calibri"/>
      <family val="2"/>
    </font>
    <font>
      <u/>
      <sz val="11"/>
      <color theme="1"/>
      <name val="Calibri"/>
      <family val="2"/>
      <charset val="186"/>
    </font>
    <font>
      <b/>
      <sz val="12"/>
      <color rgb="FF00B050"/>
      <name val="Calibri"/>
      <family val="2"/>
      <charset val="186"/>
    </font>
    <font>
      <sz val="12"/>
      <color rgb="FF00B050"/>
      <name val="Calibri"/>
      <family val="2"/>
      <charset val="186"/>
    </font>
    <font>
      <i/>
      <sz val="11"/>
      <color rgb="FF00B050"/>
      <name val="Calibri"/>
      <family val="2"/>
      <charset val="186"/>
    </font>
    <font>
      <b/>
      <i/>
      <sz val="11"/>
      <color rgb="FF00B050"/>
      <name val="Calibri"/>
      <family val="2"/>
      <charset val="186"/>
    </font>
    <font>
      <sz val="11"/>
      <color rgb="FF00B050"/>
      <name val="Arial"/>
      <family val="2"/>
      <charset val="186"/>
    </font>
    <font>
      <b/>
      <sz val="11"/>
      <color rgb="FF00B050"/>
      <name val="Calibri"/>
      <family val="2"/>
      <charset val="186"/>
    </font>
    <font>
      <b/>
      <i/>
      <sz val="11"/>
      <color rgb="FF00B0F0"/>
      <name val="Calibri"/>
      <family val="2"/>
      <charset val="186"/>
    </font>
    <font>
      <sz val="11"/>
      <color rgb="FF00B0F0"/>
      <name val="Arial"/>
      <family val="2"/>
    </font>
    <font>
      <sz val="9"/>
      <color theme="1"/>
      <name val="Arial"/>
      <family val="2"/>
    </font>
    <font>
      <b/>
      <sz val="9"/>
      <color theme="1"/>
      <name val="Calibri"/>
      <family val="2"/>
      <charset val="186"/>
    </font>
    <font>
      <sz val="9"/>
      <color theme="1"/>
      <name val="Calibri"/>
      <family val="2"/>
      <charset val="186"/>
    </font>
    <font>
      <i/>
      <sz val="9"/>
      <color theme="1"/>
      <name val="Calibri"/>
      <family val="2"/>
      <charset val="186"/>
    </font>
    <font>
      <b/>
      <i/>
      <sz val="9"/>
      <color theme="1"/>
      <name val="Calibri"/>
      <family val="2"/>
      <charset val="186"/>
    </font>
    <font>
      <i/>
      <sz val="9"/>
      <color rgb="FF000000"/>
      <name val="Calibri"/>
      <family val="2"/>
      <charset val="186"/>
    </font>
    <font>
      <i/>
      <sz val="9"/>
      <color theme="1"/>
      <name val="Calibri Light"/>
      <family val="2"/>
    </font>
    <font>
      <i/>
      <sz val="9"/>
      <color theme="1"/>
      <name val="Arial"/>
      <family val="2"/>
    </font>
    <font>
      <i/>
      <sz val="9"/>
      <color rgb="FF00B0F0"/>
      <name val="Calibri"/>
      <family val="2"/>
      <charset val="186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8.8000000000000007"/>
      <name val="Calibri"/>
      <family val="2"/>
      <charset val="186"/>
    </font>
    <font>
      <b/>
      <sz val="13"/>
      <color theme="1"/>
      <name val="Arial"/>
      <family val="2"/>
      <charset val="186"/>
    </font>
    <font>
      <i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theme="1"/>
      <name val="Arial"/>
      <family val="2"/>
      <charset val="186"/>
    </font>
  </fonts>
  <fills count="1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599932859279152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9" tint="0.59993285927915285"/>
        <bgColor indexed="64"/>
      </patternFill>
    </fill>
  </fills>
  <borders count="4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rgb="FF000000"/>
      </top>
      <bottom/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8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1" fillId="0" borderId="1" xfId="0" applyFont="1" applyBorder="1" applyAlignment="1">
      <alignment horizontal="center"/>
    </xf>
    <xf numFmtId="0" fontId="1" fillId="2" borderId="2" xfId="0" applyFont="1" applyFill="1" applyBorder="1"/>
    <xf numFmtId="0" fontId="1" fillId="0" borderId="3" xfId="0" applyFont="1" applyBorder="1"/>
    <xf numFmtId="0" fontId="1" fillId="2" borderId="3" xfId="0" applyFont="1" applyFill="1" applyBorder="1"/>
    <xf numFmtId="0" fontId="1" fillId="0" borderId="1" xfId="0" applyFont="1" applyBorder="1"/>
    <xf numFmtId="0" fontId="1" fillId="0" borderId="4" xfId="0" applyFont="1" applyBorder="1"/>
    <xf numFmtId="3" fontId="1" fillId="0" borderId="0" xfId="0" applyNumberFormat="1" applyFont="1"/>
    <xf numFmtId="3" fontId="3" fillId="0" borderId="0" xfId="0" applyNumberFormat="1" applyFont="1"/>
    <xf numFmtId="0" fontId="7" fillId="0" borderId="0" xfId="0" applyFont="1"/>
    <xf numFmtId="0" fontId="7" fillId="0" borderId="4" xfId="0" applyFont="1" applyBorder="1"/>
    <xf numFmtId="3" fontId="7" fillId="0" borderId="0" xfId="0" applyNumberFormat="1" applyFont="1"/>
    <xf numFmtId="3" fontId="8" fillId="0" borderId="0" xfId="0" applyNumberFormat="1" applyFont="1"/>
    <xf numFmtId="3" fontId="9" fillId="0" borderId="0" xfId="0" applyNumberFormat="1" applyFont="1"/>
    <xf numFmtId="0" fontId="7" fillId="0" borderId="4" xfId="0" applyFont="1" applyBorder="1" applyAlignment="1">
      <alignment horizontal="left"/>
    </xf>
    <xf numFmtId="0" fontId="7" fillId="0" borderId="4" xfId="0" applyFont="1" applyBorder="1" applyAlignment="1">
      <alignment horizontal="right"/>
    </xf>
    <xf numFmtId="0" fontId="10" fillId="0" borderId="0" xfId="0" applyFont="1"/>
    <xf numFmtId="0" fontId="6" fillId="0" borderId="1" xfId="0" applyFont="1" applyBorder="1" applyAlignment="1">
      <alignment horizontal="right"/>
    </xf>
    <xf numFmtId="0" fontId="6" fillId="0" borderId="1" xfId="0" applyFont="1" applyBorder="1" applyAlignment="1">
      <alignment horizontal="left"/>
    </xf>
    <xf numFmtId="0" fontId="6" fillId="0" borderId="5" xfId="0" applyFont="1" applyBorder="1" applyAlignment="1">
      <alignment horizontal="right"/>
    </xf>
    <xf numFmtId="3" fontId="1" fillId="2" borderId="2" xfId="0" applyNumberFormat="1" applyFont="1" applyFill="1" applyBorder="1"/>
    <xf numFmtId="3" fontId="1" fillId="3" borderId="2" xfId="0" applyNumberFormat="1" applyFont="1" applyFill="1" applyBorder="1"/>
    <xf numFmtId="0" fontId="6" fillId="0" borderId="4" xfId="0" applyFont="1" applyBorder="1"/>
    <xf numFmtId="3" fontId="11" fillId="0" borderId="0" xfId="0" applyNumberFormat="1" applyFont="1"/>
    <xf numFmtId="0" fontId="10" fillId="0" borderId="4" xfId="0" applyFont="1" applyBorder="1"/>
    <xf numFmtId="0" fontId="6" fillId="0" borderId="1" xfId="0" applyFont="1" applyBorder="1"/>
    <xf numFmtId="0" fontId="7" fillId="0" borderId="4" xfId="0" applyFont="1" applyBorder="1" applyAlignment="1">
      <alignment wrapText="1"/>
    </xf>
    <xf numFmtId="0" fontId="7" fillId="0" borderId="6" xfId="0" applyFont="1" applyBorder="1"/>
    <xf numFmtId="0" fontId="10" fillId="0" borderId="6" xfId="0" applyFont="1" applyBorder="1" applyAlignment="1">
      <alignment horizontal="right"/>
    </xf>
    <xf numFmtId="0" fontId="10" fillId="0" borderId="4" xfId="0" applyFont="1" applyBorder="1" applyAlignment="1">
      <alignment horizontal="right"/>
    </xf>
    <xf numFmtId="0" fontId="1" fillId="0" borderId="4" xfId="0" applyFont="1" applyBorder="1" applyAlignment="1">
      <alignment horizontal="left"/>
    </xf>
    <xf numFmtId="3" fontId="12" fillId="0" borderId="0" xfId="0" applyNumberFormat="1" applyFont="1"/>
    <xf numFmtId="3" fontId="1" fillId="3" borderId="7" xfId="0" applyNumberFormat="1" applyFont="1" applyFill="1" applyBorder="1"/>
    <xf numFmtId="0" fontId="10" fillId="0" borderId="5" xfId="0" applyFont="1" applyBorder="1" applyAlignment="1">
      <alignment horizontal="right"/>
    </xf>
    <xf numFmtId="3" fontId="1" fillId="2" borderId="7" xfId="0" applyNumberFormat="1" applyFont="1" applyFill="1" applyBorder="1"/>
    <xf numFmtId="3" fontId="7" fillId="2" borderId="2" xfId="0" applyNumberFormat="1" applyFont="1" applyFill="1" applyBorder="1"/>
    <xf numFmtId="3" fontId="7" fillId="3" borderId="7" xfId="0" applyNumberFormat="1" applyFont="1" applyFill="1" applyBorder="1"/>
    <xf numFmtId="0" fontId="10" fillId="0" borderId="1" xfId="0" applyFont="1" applyBorder="1" applyAlignment="1">
      <alignment horizontal="right"/>
    </xf>
    <xf numFmtId="3" fontId="13" fillId="0" borderId="0" xfId="0" applyNumberFormat="1" applyFont="1"/>
    <xf numFmtId="3" fontId="0" fillId="0" borderId="0" xfId="0" applyNumberFormat="1"/>
    <xf numFmtId="3" fontId="7" fillId="3" borderId="2" xfId="0" applyNumberFormat="1" applyFont="1" applyFill="1" applyBorder="1"/>
    <xf numFmtId="0" fontId="6" fillId="0" borderId="4" xfId="0" applyFont="1" applyBorder="1" applyAlignment="1">
      <alignment horizontal="center" vertical="center"/>
    </xf>
    <xf numFmtId="0" fontId="6" fillId="0" borderId="0" xfId="0" applyFont="1"/>
    <xf numFmtId="0" fontId="6" fillId="0" borderId="4" xfId="0" applyFont="1" applyBorder="1" applyAlignment="1">
      <alignment horizontal="left"/>
    </xf>
    <xf numFmtId="3" fontId="6" fillId="0" borderId="0" xfId="0" applyNumberFormat="1" applyFont="1"/>
    <xf numFmtId="0" fontId="10" fillId="0" borderId="1" xfId="0" applyFont="1" applyBorder="1"/>
    <xf numFmtId="0" fontId="7" fillId="0" borderId="4" xfId="0" applyFont="1" applyBorder="1" applyAlignment="1">
      <alignment horizontal="left" wrapText="1"/>
    </xf>
    <xf numFmtId="0" fontId="1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7" fillId="0" borderId="1" xfId="0" applyFont="1" applyBorder="1"/>
    <xf numFmtId="0" fontId="10" fillId="0" borderId="0" xfId="0" applyFont="1" applyAlignment="1">
      <alignment horizontal="right"/>
    </xf>
    <xf numFmtId="3" fontId="1" fillId="2" borderId="8" xfId="0" applyNumberFormat="1" applyFont="1" applyFill="1" applyBorder="1"/>
    <xf numFmtId="3" fontId="1" fillId="3" borderId="8" xfId="0" applyNumberFormat="1" applyFont="1" applyFill="1" applyBorder="1"/>
    <xf numFmtId="3" fontId="1" fillId="2" borderId="0" xfId="0" applyNumberFormat="1" applyFont="1" applyFill="1"/>
    <xf numFmtId="3" fontId="1" fillId="3" borderId="0" xfId="0" applyNumberFormat="1" applyFont="1" applyFill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3" fontId="0" fillId="4" borderId="0" xfId="0" applyNumberFormat="1" applyFill="1"/>
    <xf numFmtId="3" fontId="0" fillId="0" borderId="0" xfId="0" applyNumberFormat="1" applyAlignment="1">
      <alignment wrapText="1"/>
    </xf>
    <xf numFmtId="3" fontId="0" fillId="5" borderId="0" xfId="0" applyNumberFormat="1" applyFill="1" applyAlignment="1">
      <alignment wrapText="1"/>
    </xf>
    <xf numFmtId="3" fontId="0" fillId="6" borderId="0" xfId="0" applyNumberFormat="1" applyFill="1"/>
    <xf numFmtId="3" fontId="0" fillId="5" borderId="0" xfId="0" applyNumberFormat="1" applyFill="1"/>
    <xf numFmtId="3" fontId="14" fillId="0" borderId="0" xfId="0" applyNumberFormat="1" applyFont="1"/>
    <xf numFmtId="3" fontId="15" fillId="0" borderId="0" xfId="0" applyNumberFormat="1" applyFont="1"/>
    <xf numFmtId="3" fontId="0" fillId="2" borderId="0" xfId="0" applyNumberFormat="1" applyFill="1"/>
    <xf numFmtId="3" fontId="1" fillId="0" borderId="8" xfId="0" applyNumberFormat="1" applyFont="1" applyBorder="1"/>
    <xf numFmtId="3" fontId="12" fillId="2" borderId="2" xfId="0" applyNumberFormat="1" applyFont="1" applyFill="1" applyBorder="1"/>
    <xf numFmtId="0" fontId="6" fillId="0" borderId="5" xfId="0" applyFont="1" applyBorder="1"/>
    <xf numFmtId="0" fontId="1" fillId="2" borderId="0" xfId="0" applyFont="1" applyFill="1"/>
    <xf numFmtId="0" fontId="1" fillId="3" borderId="0" xfId="0" applyFont="1" applyFill="1"/>
    <xf numFmtId="0" fontId="2" fillId="2" borderId="0" xfId="0" applyFont="1" applyFill="1"/>
    <xf numFmtId="0" fontId="2" fillId="3" borderId="0" xfId="0" applyFont="1" applyFill="1"/>
    <xf numFmtId="0" fontId="4" fillId="2" borderId="0" xfId="0" applyFont="1" applyFill="1"/>
    <xf numFmtId="0" fontId="4" fillId="3" borderId="0" xfId="0" applyFont="1" applyFill="1"/>
    <xf numFmtId="0" fontId="5" fillId="2" borderId="0" xfId="0" applyFont="1" applyFill="1"/>
    <xf numFmtId="0" fontId="5" fillId="3" borderId="0" xfId="0" applyFont="1" applyFill="1"/>
    <xf numFmtId="0" fontId="1" fillId="0" borderId="2" xfId="0" applyFont="1" applyBorder="1"/>
    <xf numFmtId="0" fontId="1" fillId="0" borderId="7" xfId="0" applyFont="1" applyBorder="1"/>
    <xf numFmtId="3" fontId="10" fillId="0" borderId="8" xfId="0" applyNumberFormat="1" applyFont="1" applyBorder="1"/>
    <xf numFmtId="3" fontId="10" fillId="0" borderId="2" xfId="0" applyNumberFormat="1" applyFont="1" applyBorder="1"/>
    <xf numFmtId="3" fontId="1" fillId="0" borderId="2" xfId="0" applyNumberFormat="1" applyFont="1" applyBorder="1"/>
    <xf numFmtId="3" fontId="3" fillId="0" borderId="8" xfId="0" applyNumberFormat="1" applyFont="1" applyBorder="1"/>
    <xf numFmtId="3" fontId="11" fillId="0" borderId="8" xfId="0" applyNumberFormat="1" applyFont="1" applyBorder="1"/>
    <xf numFmtId="3" fontId="7" fillId="0" borderId="7" xfId="0" applyNumberFormat="1" applyFont="1" applyBorder="1"/>
    <xf numFmtId="3" fontId="8" fillId="0" borderId="7" xfId="0" applyNumberFormat="1" applyFont="1" applyBorder="1"/>
    <xf numFmtId="3" fontId="7" fillId="2" borderId="0" xfId="0" applyNumberFormat="1" applyFont="1" applyFill="1"/>
    <xf numFmtId="3" fontId="7" fillId="3" borderId="0" xfId="0" applyNumberFormat="1" applyFont="1" applyFill="1"/>
    <xf numFmtId="3" fontId="7" fillId="0" borderId="2" xfId="0" applyNumberFormat="1" applyFont="1" applyBorder="1"/>
    <xf numFmtId="3" fontId="3" fillId="0" borderId="7" xfId="0" applyNumberFormat="1" applyFont="1" applyBorder="1"/>
    <xf numFmtId="3" fontId="1" fillId="0" borderId="7" xfId="0" applyNumberFormat="1" applyFont="1" applyBorder="1"/>
    <xf numFmtId="3" fontId="7" fillId="0" borderId="8" xfId="0" applyNumberFormat="1" applyFont="1" applyBorder="1"/>
    <xf numFmtId="3" fontId="8" fillId="0" borderId="8" xfId="0" applyNumberFormat="1" applyFont="1" applyBorder="1"/>
    <xf numFmtId="3" fontId="7" fillId="3" borderId="8" xfId="0" applyNumberFormat="1" applyFont="1" applyFill="1" applyBorder="1"/>
    <xf numFmtId="3" fontId="12" fillId="0" borderId="8" xfId="0" applyNumberFormat="1" applyFont="1" applyBorder="1"/>
    <xf numFmtId="3" fontId="6" fillId="0" borderId="2" xfId="0" applyNumberFormat="1" applyFont="1" applyBorder="1"/>
    <xf numFmtId="3" fontId="8" fillId="2" borderId="0" xfId="0" applyNumberFormat="1" applyFont="1" applyFill="1"/>
    <xf numFmtId="3" fontId="7" fillId="2" borderId="8" xfId="0" applyNumberFormat="1" applyFont="1" applyFill="1" applyBorder="1"/>
    <xf numFmtId="3" fontId="12" fillId="2" borderId="0" xfId="0" applyNumberFormat="1" applyFont="1" applyFill="1"/>
    <xf numFmtId="3" fontId="12" fillId="0" borderId="2" xfId="0" applyNumberFormat="1" applyFont="1" applyBorder="1"/>
    <xf numFmtId="3" fontId="6" fillId="0" borderId="8" xfId="0" applyNumberFormat="1" applyFont="1" applyBorder="1"/>
    <xf numFmtId="0" fontId="1" fillId="0" borderId="0" xfId="0" applyFont="1" applyAlignment="1">
      <alignment horizontal="center"/>
    </xf>
    <xf numFmtId="3" fontId="16" fillId="0" borderId="0" xfId="0" applyNumberFormat="1" applyFont="1"/>
    <xf numFmtId="0" fontId="1" fillId="0" borderId="4" xfId="0" applyFont="1" applyBorder="1" applyAlignment="1">
      <alignment wrapText="1"/>
    </xf>
    <xf numFmtId="3" fontId="13" fillId="0" borderId="8" xfId="0" applyNumberFormat="1" applyFont="1" applyBorder="1"/>
    <xf numFmtId="0" fontId="16" fillId="0" borderId="4" xfId="0" applyFont="1" applyBorder="1"/>
    <xf numFmtId="0" fontId="1" fillId="0" borderId="4" xfId="0" applyFont="1" applyBorder="1" applyAlignment="1">
      <alignment horizontal="left" wrapText="1"/>
    </xf>
    <xf numFmtId="3" fontId="13" fillId="3" borderId="0" xfId="0" applyNumberFormat="1" applyFont="1" applyFill="1"/>
    <xf numFmtId="3" fontId="13" fillId="3" borderId="8" xfId="0" applyNumberFormat="1" applyFont="1" applyFill="1" applyBorder="1"/>
    <xf numFmtId="0" fontId="13" fillId="0" borderId="4" xfId="0" applyFont="1" applyBorder="1"/>
    <xf numFmtId="3" fontId="16" fillId="0" borderId="8" xfId="0" applyNumberFormat="1" applyFont="1" applyBorder="1"/>
    <xf numFmtId="0" fontId="19" fillId="0" borderId="0" xfId="0" applyFont="1" applyAlignment="1">
      <alignment horizontal="right"/>
    </xf>
    <xf numFmtId="0" fontId="12" fillId="0" borderId="0" xfId="0" applyFont="1" applyAlignment="1">
      <alignment horizontal="right"/>
    </xf>
    <xf numFmtId="0" fontId="20" fillId="0" borderId="0" xfId="0" applyFont="1"/>
    <xf numFmtId="0" fontId="12" fillId="0" borderId="0" xfId="0" applyFont="1" applyAlignment="1">
      <alignment horizontal="left"/>
    </xf>
    <xf numFmtId="0" fontId="6" fillId="0" borderId="9" xfId="0" applyFont="1" applyBorder="1" applyAlignment="1">
      <alignment horizontal="right"/>
    </xf>
    <xf numFmtId="3" fontId="10" fillId="0" borderId="10" xfId="0" applyNumberFormat="1" applyFont="1" applyBorder="1"/>
    <xf numFmtId="3" fontId="1" fillId="2" borderId="10" xfId="0" applyNumberFormat="1" applyFont="1" applyFill="1" applyBorder="1"/>
    <xf numFmtId="3" fontId="1" fillId="0" borderId="10" xfId="0" applyNumberFormat="1" applyFont="1" applyBorder="1"/>
    <xf numFmtId="3" fontId="1" fillId="3" borderId="10" xfId="0" applyNumberFormat="1" applyFont="1" applyFill="1" applyBorder="1"/>
    <xf numFmtId="0" fontId="6" fillId="0" borderId="11" xfId="0" applyFont="1" applyBorder="1"/>
    <xf numFmtId="0" fontId="1" fillId="0" borderId="11" xfId="0" applyFont="1" applyBorder="1"/>
    <xf numFmtId="0" fontId="1" fillId="0" borderId="12" xfId="0" applyFont="1" applyBorder="1"/>
    <xf numFmtId="3" fontId="1" fillId="0" borderId="13" xfId="0" applyNumberFormat="1" applyFont="1" applyBorder="1"/>
    <xf numFmtId="3" fontId="1" fillId="2" borderId="13" xfId="0" applyNumberFormat="1" applyFont="1" applyFill="1" applyBorder="1"/>
    <xf numFmtId="3" fontId="1" fillId="3" borderId="13" xfId="0" applyNumberFormat="1" applyFont="1" applyFill="1" applyBorder="1"/>
    <xf numFmtId="3" fontId="3" fillId="0" borderId="13" xfId="0" applyNumberFormat="1" applyFont="1" applyBorder="1"/>
    <xf numFmtId="0" fontId="6" fillId="0" borderId="9" xfId="0" applyFont="1" applyBorder="1"/>
    <xf numFmtId="3" fontId="11" fillId="0" borderId="10" xfId="0" applyNumberFormat="1" applyFont="1" applyBorder="1"/>
    <xf numFmtId="3" fontId="3" fillId="0" borderId="10" xfId="0" applyNumberFormat="1" applyFont="1" applyBorder="1"/>
    <xf numFmtId="0" fontId="7" fillId="0" borderId="11" xfId="0" applyFont="1" applyBorder="1"/>
    <xf numFmtId="0" fontId="10" fillId="0" borderId="11" xfId="0" applyFont="1" applyBorder="1"/>
    <xf numFmtId="0" fontId="7" fillId="0" borderId="14" xfId="0" applyFont="1" applyBorder="1"/>
    <xf numFmtId="0" fontId="10" fillId="0" borderId="12" xfId="0" applyFont="1" applyBorder="1" applyAlignment="1">
      <alignment horizontal="right"/>
    </xf>
    <xf numFmtId="3" fontId="7" fillId="0" borderId="13" xfId="0" applyNumberFormat="1" applyFont="1" applyBorder="1"/>
    <xf numFmtId="3" fontId="1" fillId="2" borderId="15" xfId="0" applyNumberFormat="1" applyFont="1" applyFill="1" applyBorder="1"/>
    <xf numFmtId="3" fontId="1" fillId="0" borderId="15" xfId="0" applyNumberFormat="1" applyFont="1" applyBorder="1"/>
    <xf numFmtId="3" fontId="1" fillId="3" borderId="15" xfId="0" applyNumberFormat="1" applyFont="1" applyFill="1" applyBorder="1"/>
    <xf numFmtId="0" fontId="6" fillId="0" borderId="16" xfId="0" applyFont="1" applyBorder="1" applyAlignment="1">
      <alignment horizontal="right"/>
    </xf>
    <xf numFmtId="0" fontId="1" fillId="0" borderId="11" xfId="0" applyFont="1" applyBorder="1" applyAlignment="1">
      <alignment horizontal="left"/>
    </xf>
    <xf numFmtId="0" fontId="7" fillId="0" borderId="9" xfId="0" applyFont="1" applyBorder="1"/>
    <xf numFmtId="3" fontId="7" fillId="0" borderId="10" xfId="0" applyNumberFormat="1" applyFont="1" applyBorder="1"/>
    <xf numFmtId="3" fontId="7" fillId="2" borderId="10" xfId="0" applyNumberFormat="1" applyFont="1" applyFill="1" applyBorder="1"/>
    <xf numFmtId="0" fontId="7" fillId="0" borderId="12" xfId="0" applyFont="1" applyBorder="1"/>
    <xf numFmtId="3" fontId="8" fillId="0" borderId="13" xfId="0" applyNumberFormat="1" applyFont="1" applyBorder="1"/>
    <xf numFmtId="3" fontId="16" fillId="0" borderId="13" xfId="0" applyNumberFormat="1" applyFont="1" applyBorder="1"/>
    <xf numFmtId="3" fontId="13" fillId="0" borderId="13" xfId="0" applyNumberFormat="1" applyFont="1" applyBorder="1"/>
    <xf numFmtId="3" fontId="13" fillId="3" borderId="13" xfId="0" applyNumberFormat="1" applyFont="1" applyFill="1" applyBorder="1"/>
    <xf numFmtId="3" fontId="13" fillId="0" borderId="10" xfId="0" applyNumberFormat="1" applyFont="1" applyBorder="1"/>
    <xf numFmtId="0" fontId="10" fillId="0" borderId="12" xfId="0" applyFont="1" applyBorder="1"/>
    <xf numFmtId="0" fontId="1" fillId="0" borderId="14" xfId="0" applyFont="1" applyBorder="1"/>
    <xf numFmtId="0" fontId="12" fillId="0" borderId="0" xfId="0" applyFont="1"/>
    <xf numFmtId="0" fontId="21" fillId="0" borderId="0" xfId="0" applyFont="1"/>
    <xf numFmtId="0" fontId="18" fillId="0" borderId="0" xfId="0" applyFont="1"/>
    <xf numFmtId="0" fontId="19" fillId="0" borderId="0" xfId="0" applyFont="1"/>
    <xf numFmtId="0" fontId="12" fillId="0" borderId="3" xfId="0" applyFont="1" applyBorder="1"/>
    <xf numFmtId="0" fontId="12" fillId="0" borderId="17" xfId="0" applyFont="1" applyBorder="1"/>
    <xf numFmtId="0" fontId="12" fillId="0" borderId="5" xfId="0" applyFont="1" applyBorder="1"/>
    <xf numFmtId="0" fontId="12" fillId="0" borderId="2" xfId="0" applyFont="1" applyBorder="1"/>
    <xf numFmtId="3" fontId="12" fillId="0" borderId="18" xfId="0" applyNumberFormat="1" applyFont="1" applyBorder="1"/>
    <xf numFmtId="3" fontId="22" fillId="0" borderId="0" xfId="0" applyNumberFormat="1" applyFont="1"/>
    <xf numFmtId="3" fontId="22" fillId="0" borderId="18" xfId="0" applyNumberFormat="1" applyFont="1" applyBorder="1"/>
    <xf numFmtId="3" fontId="22" fillId="0" borderId="19" xfId="0" applyNumberFormat="1" applyFont="1" applyBorder="1"/>
    <xf numFmtId="3" fontId="23" fillId="0" borderId="8" xfId="0" applyNumberFormat="1" applyFont="1" applyBorder="1"/>
    <xf numFmtId="3" fontId="23" fillId="0" borderId="20" xfId="0" applyNumberFormat="1" applyFont="1" applyBorder="1"/>
    <xf numFmtId="3" fontId="23" fillId="0" borderId="2" xfId="0" applyNumberFormat="1" applyFont="1" applyBorder="1"/>
    <xf numFmtId="3" fontId="23" fillId="0" borderId="10" xfId="0" applyNumberFormat="1" applyFont="1" applyBorder="1"/>
    <xf numFmtId="3" fontId="23" fillId="0" borderId="21" xfId="0" applyNumberFormat="1" applyFont="1" applyBorder="1"/>
    <xf numFmtId="3" fontId="12" fillId="0" borderId="22" xfId="0" applyNumberFormat="1" applyFont="1" applyBorder="1"/>
    <xf numFmtId="3" fontId="12" fillId="0" borderId="13" xfId="0" applyNumberFormat="1" applyFont="1" applyBorder="1"/>
    <xf numFmtId="3" fontId="12" fillId="0" borderId="23" xfId="0" applyNumberFormat="1" applyFont="1" applyBorder="1"/>
    <xf numFmtId="3" fontId="12" fillId="0" borderId="20" xfId="0" applyNumberFormat="1" applyFont="1" applyBorder="1"/>
    <xf numFmtId="3" fontId="12" fillId="0" borderId="10" xfId="0" applyNumberFormat="1" applyFont="1" applyBorder="1"/>
    <xf numFmtId="3" fontId="12" fillId="0" borderId="21" xfId="0" applyNumberFormat="1" applyFont="1" applyBorder="1"/>
    <xf numFmtId="3" fontId="22" fillId="0" borderId="7" xfId="0" applyNumberFormat="1" applyFont="1" applyBorder="1"/>
    <xf numFmtId="3" fontId="22" fillId="0" borderId="13" xfId="0" applyNumberFormat="1" applyFont="1" applyBorder="1"/>
    <xf numFmtId="3" fontId="22" fillId="0" borderId="23" xfId="0" applyNumberFormat="1" applyFont="1" applyBorder="1"/>
    <xf numFmtId="3" fontId="12" fillId="0" borderId="15" xfId="0" applyNumberFormat="1" applyFont="1" applyBorder="1"/>
    <xf numFmtId="3" fontId="12" fillId="0" borderId="24" xfId="0" applyNumberFormat="1" applyFont="1" applyBorder="1"/>
    <xf numFmtId="3" fontId="22" fillId="0" borderId="2" xfId="0" applyNumberFormat="1" applyFont="1" applyBorder="1"/>
    <xf numFmtId="3" fontId="12" fillId="0" borderId="7" xfId="0" applyNumberFormat="1" applyFont="1" applyBorder="1"/>
    <xf numFmtId="3" fontId="12" fillId="0" borderId="25" xfId="0" applyNumberFormat="1" applyFont="1" applyBorder="1"/>
    <xf numFmtId="3" fontId="22" fillId="0" borderId="8" xfId="0" applyNumberFormat="1" applyFont="1" applyBorder="1"/>
    <xf numFmtId="3" fontId="22" fillId="0" borderId="20" xfId="0" applyNumberFormat="1" applyFont="1" applyBorder="1"/>
    <xf numFmtId="3" fontId="21" fillId="0" borderId="0" xfId="0" applyNumberFormat="1" applyFont="1"/>
    <xf numFmtId="3" fontId="24" fillId="0" borderId="2" xfId="0" applyNumberFormat="1" applyFont="1" applyBorder="1"/>
    <xf numFmtId="3" fontId="24" fillId="0" borderId="0" xfId="0" applyNumberFormat="1" applyFont="1"/>
    <xf numFmtId="3" fontId="24" fillId="0" borderId="18" xfId="0" applyNumberFormat="1" applyFont="1" applyBorder="1"/>
    <xf numFmtId="3" fontId="22" fillId="0" borderId="22" xfId="0" applyNumberFormat="1" applyFont="1" applyBorder="1"/>
    <xf numFmtId="3" fontId="22" fillId="0" borderId="10" xfId="0" applyNumberFormat="1" applyFont="1" applyBorder="1"/>
    <xf numFmtId="3" fontId="22" fillId="0" borderId="21" xfId="0" applyNumberFormat="1" applyFont="1" applyBorder="1"/>
    <xf numFmtId="3" fontId="24" fillId="0" borderId="8" xfId="0" applyNumberFormat="1" applyFont="1" applyBorder="1"/>
    <xf numFmtId="3" fontId="12" fillId="0" borderId="19" xfId="0" applyNumberFormat="1" applyFont="1" applyBorder="1"/>
    <xf numFmtId="0" fontId="10" fillId="0" borderId="9" xfId="0" applyFont="1" applyBorder="1" applyAlignment="1">
      <alignment horizontal="right"/>
    </xf>
    <xf numFmtId="3" fontId="7" fillId="3" borderId="10" xfId="0" applyNumberFormat="1" applyFont="1" applyFill="1" applyBorder="1"/>
    <xf numFmtId="3" fontId="6" fillId="0" borderId="15" xfId="0" applyNumberFormat="1" applyFont="1" applyBorder="1"/>
    <xf numFmtId="0" fontId="25" fillId="0" borderId="0" xfId="0" applyFont="1"/>
    <xf numFmtId="0" fontId="26" fillId="0" borderId="0" xfId="0" applyFont="1"/>
    <xf numFmtId="0" fontId="3" fillId="0" borderId="3" xfId="0" applyFont="1" applyBorder="1" applyAlignment="1">
      <alignment wrapText="1"/>
    </xf>
    <xf numFmtId="3" fontId="27" fillId="0" borderId="2" xfId="0" applyNumberFormat="1" applyFont="1" applyBorder="1"/>
    <xf numFmtId="3" fontId="27" fillId="0" borderId="8" xfId="0" applyNumberFormat="1" applyFont="1" applyBorder="1"/>
    <xf numFmtId="3" fontId="27" fillId="0" borderId="10" xfId="0" applyNumberFormat="1" applyFont="1" applyBorder="1"/>
    <xf numFmtId="3" fontId="3" fillId="0" borderId="2" xfId="0" applyNumberFormat="1" applyFont="1" applyBorder="1"/>
    <xf numFmtId="3" fontId="3" fillId="0" borderId="15" xfId="0" applyNumberFormat="1" applyFont="1" applyBorder="1"/>
    <xf numFmtId="3" fontId="8" fillId="0" borderId="2" xfId="0" applyNumberFormat="1" applyFont="1" applyBorder="1"/>
    <xf numFmtId="3" fontId="8" fillId="0" borderId="10" xfId="0" applyNumberFormat="1" applyFont="1" applyBorder="1"/>
    <xf numFmtId="0" fontId="15" fillId="0" borderId="0" xfId="0" applyFont="1"/>
    <xf numFmtId="3" fontId="28" fillId="0" borderId="2" xfId="0" applyNumberFormat="1" applyFont="1" applyBorder="1"/>
    <xf numFmtId="3" fontId="28" fillId="0" borderId="0" xfId="0" applyNumberFormat="1" applyFont="1"/>
    <xf numFmtId="3" fontId="28" fillId="0" borderId="8" xfId="0" applyNumberFormat="1" applyFont="1" applyBorder="1"/>
    <xf numFmtId="0" fontId="3" fillId="0" borderId="2" xfId="0" applyFont="1" applyBorder="1"/>
    <xf numFmtId="0" fontId="3" fillId="0" borderId="3" xfId="0" applyFont="1" applyBorder="1"/>
    <xf numFmtId="0" fontId="10" fillId="0" borderId="26" xfId="0" applyFont="1" applyBorder="1" applyAlignment="1">
      <alignment horizontal="right"/>
    </xf>
    <xf numFmtId="3" fontId="7" fillId="0" borderId="27" xfId="0" applyNumberFormat="1" applyFont="1" applyBorder="1"/>
    <xf numFmtId="3" fontId="1" fillId="2" borderId="27" xfId="0" applyNumberFormat="1" applyFont="1" applyFill="1" applyBorder="1"/>
    <xf numFmtId="3" fontId="1" fillId="0" borderId="27" xfId="0" applyNumberFormat="1" applyFont="1" applyBorder="1"/>
    <xf numFmtId="3" fontId="1" fillId="3" borderId="27" xfId="0" applyNumberFormat="1" applyFont="1" applyFill="1" applyBorder="1"/>
    <xf numFmtId="3" fontId="22" fillId="0" borderId="27" xfId="0" applyNumberFormat="1" applyFont="1" applyBorder="1"/>
    <xf numFmtId="3" fontId="8" fillId="0" borderId="27" xfId="0" applyNumberFormat="1" applyFont="1" applyBorder="1"/>
    <xf numFmtId="3" fontId="8" fillId="0" borderId="28" xfId="0" applyNumberFormat="1" applyFont="1" applyBorder="1"/>
    <xf numFmtId="0" fontId="6" fillId="0" borderId="4" xfId="0" applyFont="1" applyBorder="1" applyAlignment="1">
      <alignment horizontal="left" vertical="top"/>
    </xf>
    <xf numFmtId="3" fontId="7" fillId="0" borderId="3" xfId="0" applyNumberFormat="1" applyFont="1" applyBorder="1"/>
    <xf numFmtId="3" fontId="7" fillId="3" borderId="3" xfId="0" applyNumberFormat="1" applyFont="1" applyFill="1" applyBorder="1"/>
    <xf numFmtId="3" fontId="8" fillId="0" borderId="3" xfId="0" applyNumberFormat="1" applyFont="1" applyBorder="1"/>
    <xf numFmtId="3" fontId="22" fillId="0" borderId="5" xfId="0" applyNumberFormat="1" applyFont="1" applyBorder="1"/>
    <xf numFmtId="0" fontId="17" fillId="0" borderId="4" xfId="0" applyFont="1" applyBorder="1"/>
    <xf numFmtId="0" fontId="1" fillId="0" borderId="3" xfId="0" applyFont="1" applyBorder="1" applyAlignment="1">
      <alignment horizontal="right"/>
    </xf>
    <xf numFmtId="3" fontId="13" fillId="7" borderId="0" xfId="0" applyNumberFormat="1" applyFont="1" applyFill="1"/>
    <xf numFmtId="0" fontId="7" fillId="7" borderId="0" xfId="0" applyFont="1" applyFill="1"/>
    <xf numFmtId="0" fontId="30" fillId="0" borderId="4" xfId="0" applyFont="1" applyBorder="1"/>
    <xf numFmtId="0" fontId="31" fillId="0" borderId="0" xfId="0" applyFont="1"/>
    <xf numFmtId="0" fontId="32" fillId="0" borderId="0" xfId="0" applyFont="1"/>
    <xf numFmtId="0" fontId="2" fillId="0" borderId="3" xfId="0" applyFont="1" applyBorder="1" applyAlignment="1">
      <alignment wrapText="1"/>
    </xf>
    <xf numFmtId="3" fontId="2" fillId="0" borderId="0" xfId="0" applyNumberFormat="1" applyFont="1"/>
    <xf numFmtId="3" fontId="33" fillId="0" borderId="0" xfId="0" applyNumberFormat="1" applyFont="1"/>
    <xf numFmtId="3" fontId="34" fillId="0" borderId="8" xfId="0" applyNumberFormat="1" applyFont="1" applyBorder="1"/>
    <xf numFmtId="3" fontId="34" fillId="0" borderId="10" xfId="0" applyNumberFormat="1" applyFont="1" applyBorder="1"/>
    <xf numFmtId="3" fontId="2" fillId="0" borderId="13" xfId="0" applyNumberFormat="1" applyFont="1" applyBorder="1"/>
    <xf numFmtId="3" fontId="2" fillId="0" borderId="2" xfId="0" applyNumberFormat="1" applyFont="1" applyBorder="1"/>
    <xf numFmtId="3" fontId="2" fillId="0" borderId="8" xfId="0" applyNumberFormat="1" applyFont="1" applyBorder="1"/>
    <xf numFmtId="3" fontId="2" fillId="0" borderId="10" xfId="0" applyNumberFormat="1" applyFont="1" applyBorder="1"/>
    <xf numFmtId="3" fontId="33" fillId="0" borderId="7" xfId="0" applyNumberFormat="1" applyFont="1" applyBorder="1"/>
    <xf numFmtId="3" fontId="33" fillId="0" borderId="8" xfId="0" applyNumberFormat="1" applyFont="1" applyBorder="1"/>
    <xf numFmtId="3" fontId="33" fillId="0" borderId="10" xfId="0" applyNumberFormat="1" applyFont="1" applyBorder="1"/>
    <xf numFmtId="3" fontId="35" fillId="0" borderId="0" xfId="0" applyNumberFormat="1" applyFont="1"/>
    <xf numFmtId="3" fontId="2" fillId="0" borderId="7" xfId="0" applyNumberFormat="1" applyFont="1" applyBorder="1"/>
    <xf numFmtId="0" fontId="35" fillId="0" borderId="0" xfId="0" applyFont="1"/>
    <xf numFmtId="3" fontId="36" fillId="0" borderId="0" xfId="0" applyNumberFormat="1" applyFont="1"/>
    <xf numFmtId="3" fontId="33" fillId="0" borderId="13" xfId="0" applyNumberFormat="1" applyFont="1" applyBorder="1"/>
    <xf numFmtId="3" fontId="34" fillId="0" borderId="2" xfId="0" applyNumberFormat="1" applyFont="1" applyBorder="1"/>
    <xf numFmtId="3" fontId="33" fillId="0" borderId="27" xfId="0" applyNumberFormat="1" applyFont="1" applyBorder="1"/>
    <xf numFmtId="3" fontId="2" fillId="0" borderId="15" xfId="0" applyNumberFormat="1" applyFont="1" applyBorder="1"/>
    <xf numFmtId="3" fontId="33" fillId="0" borderId="2" xfId="0" applyNumberFormat="1" applyFont="1" applyBorder="1"/>
    <xf numFmtId="3" fontId="33" fillId="0" borderId="3" xfId="0" applyNumberFormat="1" applyFont="1" applyBorder="1"/>
    <xf numFmtId="3" fontId="36" fillId="0" borderId="2" xfId="0" applyNumberFormat="1" applyFont="1" applyBorder="1"/>
    <xf numFmtId="3" fontId="36" fillId="0" borderId="8" xfId="0" applyNumberFormat="1" applyFont="1" applyBorder="1"/>
    <xf numFmtId="3" fontId="12" fillId="7" borderId="0" xfId="0" applyNumberFormat="1" applyFont="1" applyFill="1"/>
    <xf numFmtId="0" fontId="0" fillId="7" borderId="0" xfId="0" applyFill="1"/>
    <xf numFmtId="3" fontId="16" fillId="0" borderId="2" xfId="0" applyNumberFormat="1" applyFont="1" applyBorder="1"/>
    <xf numFmtId="0" fontId="12" fillId="7" borderId="0" xfId="0" applyFont="1" applyFill="1"/>
    <xf numFmtId="0" fontId="37" fillId="0" borderId="1" xfId="0" applyFont="1" applyBorder="1"/>
    <xf numFmtId="0" fontId="9" fillId="0" borderId="4" xfId="0" applyFont="1" applyBorder="1"/>
    <xf numFmtId="3" fontId="9" fillId="2" borderId="0" xfId="0" applyNumberFormat="1" applyFont="1" applyFill="1"/>
    <xf numFmtId="3" fontId="11" fillId="3" borderId="0" xfId="0" applyNumberFormat="1" applyFont="1" applyFill="1"/>
    <xf numFmtId="3" fontId="9" fillId="0" borderId="18" xfId="0" applyNumberFormat="1" applyFont="1" applyBorder="1"/>
    <xf numFmtId="0" fontId="9" fillId="0" borderId="0" xfId="0" applyFont="1"/>
    <xf numFmtId="0" fontId="38" fillId="0" borderId="0" xfId="0" applyFont="1"/>
    <xf numFmtId="3" fontId="8" fillId="7" borderId="0" xfId="0" applyNumberFormat="1" applyFont="1" applyFill="1" applyAlignment="1">
      <alignment wrapText="1"/>
    </xf>
    <xf numFmtId="3" fontId="29" fillId="0" borderId="0" xfId="0" applyNumberFormat="1" applyFont="1"/>
    <xf numFmtId="0" fontId="39" fillId="0" borderId="0" xfId="0" applyFont="1"/>
    <xf numFmtId="0" fontId="40" fillId="0" borderId="0" xfId="0" applyFont="1"/>
    <xf numFmtId="0" fontId="41" fillId="0" borderId="0" xfId="0" applyFont="1"/>
    <xf numFmtId="0" fontId="42" fillId="0" borderId="0" xfId="0" applyFont="1"/>
    <xf numFmtId="3" fontId="43" fillId="0" borderId="0" xfId="0" applyNumberFormat="1" applyFont="1"/>
    <xf numFmtId="0" fontId="43" fillId="0" borderId="0" xfId="0" applyFont="1"/>
    <xf numFmtId="0" fontId="44" fillId="0" borderId="0" xfId="0" applyFont="1"/>
    <xf numFmtId="0" fontId="42" fillId="7" borderId="0" xfId="0" applyFont="1" applyFill="1"/>
    <xf numFmtId="0" fontId="45" fillId="7" borderId="0" xfId="0" applyFont="1" applyFill="1"/>
    <xf numFmtId="0" fontId="41" fillId="0" borderId="4" xfId="0" applyFont="1" applyBorder="1"/>
    <xf numFmtId="0" fontId="45" fillId="0" borderId="0" xfId="0" applyFont="1"/>
    <xf numFmtId="0" fontId="39" fillId="7" borderId="0" xfId="0" applyFont="1" applyFill="1"/>
    <xf numFmtId="0" fontId="46" fillId="0" borderId="0" xfId="0" applyFont="1"/>
    <xf numFmtId="0" fontId="47" fillId="0" borderId="0" xfId="0" applyFont="1"/>
    <xf numFmtId="3" fontId="39" fillId="0" borderId="0" xfId="0" applyNumberFormat="1" applyFont="1"/>
    <xf numFmtId="3" fontId="12" fillId="8" borderId="0" xfId="0" applyNumberFormat="1" applyFont="1" applyFill="1"/>
    <xf numFmtId="0" fontId="39" fillId="9" borderId="0" xfId="0" applyFont="1" applyFill="1"/>
    <xf numFmtId="0" fontId="0" fillId="9" borderId="0" xfId="0" applyFill="1"/>
    <xf numFmtId="0" fontId="7" fillId="2" borderId="4" xfId="0" applyFont="1" applyFill="1" applyBorder="1" applyAlignment="1">
      <alignment horizontal="left"/>
    </xf>
    <xf numFmtId="0" fontId="41" fillId="2" borderId="0" xfId="0" applyFont="1" applyFill="1"/>
    <xf numFmtId="0" fontId="0" fillId="2" borderId="0" xfId="0" applyFill="1"/>
    <xf numFmtId="0" fontId="12" fillId="0" borderId="17" xfId="0" applyFont="1" applyBorder="1" applyAlignment="1">
      <alignment wrapText="1"/>
    </xf>
    <xf numFmtId="0" fontId="1" fillId="0" borderId="29" xfId="0" applyFont="1" applyBorder="1"/>
    <xf numFmtId="0" fontId="1" fillId="3" borderId="2" xfId="0" applyFont="1" applyFill="1" applyBorder="1"/>
    <xf numFmtId="0" fontId="3" fillId="0" borderId="17" xfId="0" applyFont="1" applyBorder="1" applyAlignment="1">
      <alignment wrapText="1"/>
    </xf>
    <xf numFmtId="0" fontId="1" fillId="3" borderId="29" xfId="0" applyFont="1" applyFill="1" applyBorder="1"/>
    <xf numFmtId="0" fontId="0" fillId="10" borderId="0" xfId="0" applyFill="1"/>
    <xf numFmtId="3" fontId="2" fillId="10" borderId="0" xfId="0" applyNumberFormat="1" applyFont="1" applyFill="1"/>
    <xf numFmtId="3" fontId="3" fillId="10" borderId="0" xfId="0" applyNumberFormat="1" applyFont="1" applyFill="1"/>
    <xf numFmtId="0" fontId="24" fillId="0" borderId="3" xfId="0" applyFont="1" applyBorder="1"/>
    <xf numFmtId="0" fontId="12" fillId="0" borderId="29" xfId="0" applyFont="1" applyBorder="1"/>
    <xf numFmtId="0" fontId="24" fillId="0" borderId="5" xfId="0" applyFont="1" applyBorder="1" applyAlignment="1">
      <alignment wrapText="1"/>
    </xf>
    <xf numFmtId="0" fontId="12" fillId="0" borderId="29" xfId="0" applyFont="1" applyBorder="1" applyAlignment="1">
      <alignment horizontal="left" wrapText="1"/>
    </xf>
    <xf numFmtId="3" fontId="3" fillId="7" borderId="0" xfId="0" applyNumberFormat="1" applyFont="1" applyFill="1"/>
    <xf numFmtId="3" fontId="14" fillId="0" borderId="0" xfId="0" applyNumberFormat="1" applyFont="1" applyAlignment="1">
      <alignment wrapText="1"/>
    </xf>
    <xf numFmtId="3" fontId="15" fillId="0" borderId="0" xfId="0" applyNumberFormat="1" applyFont="1" applyAlignment="1">
      <alignment wrapText="1"/>
    </xf>
    <xf numFmtId="3" fontId="3" fillId="0" borderId="18" xfId="0" applyNumberFormat="1" applyFont="1" applyBorder="1"/>
    <xf numFmtId="3" fontId="8" fillId="0" borderId="18" xfId="0" applyNumberFormat="1" applyFont="1" applyBorder="1"/>
    <xf numFmtId="3" fontId="3" fillId="0" borderId="22" xfId="0" applyNumberFormat="1" applyFont="1" applyBorder="1"/>
    <xf numFmtId="3" fontId="3" fillId="0" borderId="21" xfId="0" applyNumberFormat="1" applyFont="1" applyBorder="1"/>
    <xf numFmtId="3" fontId="8" fillId="0" borderId="22" xfId="0" applyNumberFormat="1" applyFont="1" applyBorder="1"/>
    <xf numFmtId="0" fontId="48" fillId="0" borderId="0" xfId="0" applyFont="1"/>
    <xf numFmtId="0" fontId="49" fillId="0" borderId="0" xfId="0" applyFont="1"/>
    <xf numFmtId="3" fontId="17" fillId="11" borderId="8" xfId="0" applyNumberFormat="1" applyFont="1" applyFill="1" applyBorder="1"/>
    <xf numFmtId="3" fontId="29" fillId="11" borderId="8" xfId="0" applyNumberFormat="1" applyFont="1" applyFill="1" applyBorder="1"/>
    <xf numFmtId="3" fontId="17" fillId="11" borderId="2" xfId="0" applyNumberFormat="1" applyFont="1" applyFill="1" applyBorder="1"/>
    <xf numFmtId="3" fontId="6" fillId="11" borderId="2" xfId="0" applyNumberFormat="1" applyFont="1" applyFill="1" applyBorder="1"/>
    <xf numFmtId="3" fontId="29" fillId="11" borderId="2" xfId="0" applyNumberFormat="1" applyFont="1" applyFill="1" applyBorder="1"/>
    <xf numFmtId="3" fontId="17" fillId="11" borderId="17" xfId="0" applyNumberFormat="1" applyFont="1" applyFill="1" applyBorder="1"/>
    <xf numFmtId="3" fontId="17" fillId="11" borderId="15" xfId="0" applyNumberFormat="1" applyFont="1" applyFill="1" applyBorder="1"/>
    <xf numFmtId="3" fontId="17" fillId="11" borderId="24" xfId="0" applyNumberFormat="1" applyFont="1" applyFill="1" applyBorder="1"/>
    <xf numFmtId="3" fontId="10" fillId="5" borderId="2" xfId="0" applyNumberFormat="1" applyFont="1" applyFill="1" applyBorder="1"/>
    <xf numFmtId="3" fontId="17" fillId="5" borderId="8" xfId="0" applyNumberFormat="1" applyFont="1" applyFill="1" applyBorder="1"/>
    <xf numFmtId="3" fontId="17" fillId="5" borderId="2" xfId="0" applyNumberFormat="1" applyFont="1" applyFill="1" applyBorder="1"/>
    <xf numFmtId="3" fontId="29" fillId="5" borderId="8" xfId="0" applyNumberFormat="1" applyFont="1" applyFill="1" applyBorder="1"/>
    <xf numFmtId="3" fontId="28" fillId="5" borderId="8" xfId="0" applyNumberFormat="1" applyFont="1" applyFill="1" applyBorder="1"/>
    <xf numFmtId="3" fontId="17" fillId="5" borderId="0" xfId="0" applyNumberFormat="1" applyFont="1" applyFill="1"/>
    <xf numFmtId="3" fontId="23" fillId="5" borderId="2" xfId="0" applyNumberFormat="1" applyFont="1" applyFill="1" applyBorder="1"/>
    <xf numFmtId="3" fontId="23" fillId="5" borderId="17" xfId="0" applyNumberFormat="1" applyFont="1" applyFill="1" applyBorder="1"/>
    <xf numFmtId="3" fontId="13" fillId="0" borderId="18" xfId="0" applyNumberFormat="1" applyFont="1" applyBorder="1"/>
    <xf numFmtId="3" fontId="3" fillId="0" borderId="30" xfId="0" applyNumberFormat="1" applyFont="1" applyBorder="1"/>
    <xf numFmtId="3" fontId="17" fillId="11" borderId="31" xfId="0" applyNumberFormat="1" applyFont="1" applyFill="1" applyBorder="1"/>
    <xf numFmtId="3" fontId="3" fillId="0" borderId="31" xfId="0" applyNumberFormat="1" applyFont="1" applyBorder="1"/>
    <xf numFmtId="3" fontId="17" fillId="11" borderId="3" xfId="0" applyNumberFormat="1" applyFont="1" applyFill="1" applyBorder="1"/>
    <xf numFmtId="3" fontId="3" fillId="0" borderId="32" xfId="0" applyNumberFormat="1" applyFont="1" applyBorder="1"/>
    <xf numFmtId="3" fontId="17" fillId="11" borderId="33" xfId="0" applyNumberFormat="1" applyFont="1" applyFill="1" applyBorder="1"/>
    <xf numFmtId="3" fontId="8" fillId="0" borderId="30" xfId="0" applyNumberFormat="1" applyFont="1" applyBorder="1"/>
    <xf numFmtId="3" fontId="3" fillId="0" borderId="29" xfId="0" applyNumberFormat="1" applyFont="1" applyBorder="1"/>
    <xf numFmtId="3" fontId="8" fillId="0" borderId="31" xfId="0" applyNumberFormat="1" applyFont="1" applyBorder="1"/>
    <xf numFmtId="3" fontId="17" fillId="5" borderId="31" xfId="0" applyNumberFormat="1" applyFont="1" applyFill="1" applyBorder="1"/>
    <xf numFmtId="3" fontId="17" fillId="5" borderId="3" xfId="0" applyNumberFormat="1" applyFont="1" applyFill="1" applyBorder="1"/>
    <xf numFmtId="3" fontId="13" fillId="0" borderId="30" xfId="0" applyNumberFormat="1" applyFont="1" applyBorder="1"/>
    <xf numFmtId="3" fontId="27" fillId="0" borderId="31" xfId="0" applyNumberFormat="1" applyFont="1" applyBorder="1"/>
    <xf numFmtId="3" fontId="28" fillId="5" borderId="31" xfId="0" applyNumberFormat="1" applyFont="1" applyFill="1" applyBorder="1"/>
    <xf numFmtId="3" fontId="12" fillId="0" borderId="30" xfId="0" applyNumberFormat="1" applyFont="1" applyBorder="1"/>
    <xf numFmtId="3" fontId="28" fillId="0" borderId="30" xfId="0" applyNumberFormat="1" applyFont="1" applyBorder="1"/>
    <xf numFmtId="3" fontId="17" fillId="5" borderId="30" xfId="0" applyNumberFormat="1" applyFont="1" applyFill="1" applyBorder="1"/>
    <xf numFmtId="3" fontId="13" fillId="0" borderId="7" xfId="0" applyNumberFormat="1" applyFont="1" applyBorder="1"/>
    <xf numFmtId="3" fontId="16" fillId="0" borderId="30" xfId="0" applyNumberFormat="1" applyFont="1" applyBorder="1"/>
    <xf numFmtId="0" fontId="17" fillId="11" borderId="2" xfId="0" applyFont="1" applyFill="1" applyBorder="1" applyAlignment="1">
      <alignment horizontal="right"/>
    </xf>
    <xf numFmtId="3" fontId="3" fillId="5" borderId="0" xfId="0" applyNumberFormat="1" applyFont="1" applyFill="1"/>
    <xf numFmtId="3" fontId="3" fillId="5" borderId="30" xfId="0" applyNumberFormat="1" applyFont="1" applyFill="1" applyBorder="1"/>
    <xf numFmtId="164" fontId="6" fillId="11" borderId="8" xfId="0" applyNumberFormat="1" applyFont="1" applyFill="1" applyBorder="1" applyAlignment="1">
      <alignment horizontal="right"/>
    </xf>
    <xf numFmtId="0" fontId="0" fillId="0" borderId="30" xfId="0" applyBorder="1"/>
    <xf numFmtId="0" fontId="0" fillId="0" borderId="18" xfId="0" applyBorder="1"/>
    <xf numFmtId="165" fontId="0" fillId="12" borderId="3" xfId="0" applyNumberFormat="1" applyFill="1" applyBorder="1"/>
    <xf numFmtId="0" fontId="0" fillId="12" borderId="3" xfId="0" applyFill="1" applyBorder="1"/>
    <xf numFmtId="165" fontId="0" fillId="12" borderId="5" xfId="0" applyNumberFormat="1" applyFill="1" applyBorder="1"/>
    <xf numFmtId="0" fontId="0" fillId="12" borderId="2" xfId="0" applyFill="1" applyBorder="1"/>
    <xf numFmtId="0" fontId="0" fillId="11" borderId="31" xfId="0" applyFill="1" applyBorder="1"/>
    <xf numFmtId="0" fontId="20" fillId="11" borderId="31" xfId="0" applyFont="1" applyFill="1" applyBorder="1" applyAlignment="1">
      <alignment horizontal="right"/>
    </xf>
    <xf numFmtId="0" fontId="28" fillId="4" borderId="30" xfId="0" applyFont="1" applyFill="1" applyBorder="1" applyAlignment="1">
      <alignment horizontal="center" vertical="center" wrapText="1"/>
    </xf>
    <xf numFmtId="0" fontId="24" fillId="4" borderId="30" xfId="0" applyFont="1" applyFill="1" applyBorder="1" applyAlignment="1">
      <alignment horizontal="center" vertical="center" wrapText="1"/>
    </xf>
    <xf numFmtId="0" fontId="36" fillId="4" borderId="30" xfId="0" applyFont="1" applyFill="1" applyBorder="1" applyAlignment="1">
      <alignment horizontal="center" vertical="center" wrapText="1"/>
    </xf>
    <xf numFmtId="0" fontId="24" fillId="4" borderId="30" xfId="0" applyFont="1" applyFill="1" applyBorder="1" applyAlignment="1">
      <alignment horizontal="center" vertical="center"/>
    </xf>
    <xf numFmtId="0" fontId="0" fillId="11" borderId="1" xfId="0" applyFill="1" applyBorder="1"/>
    <xf numFmtId="0" fontId="0" fillId="12" borderId="5" xfId="0" applyFill="1" applyBorder="1"/>
    <xf numFmtId="0" fontId="24" fillId="4" borderId="4" xfId="0" applyFont="1" applyFill="1" applyBorder="1" applyAlignment="1">
      <alignment horizontal="center" vertical="center"/>
    </xf>
    <xf numFmtId="0" fontId="49" fillId="4" borderId="30" xfId="0" applyFont="1" applyFill="1" applyBorder="1" applyAlignment="1">
      <alignment horizontal="center" vertical="center" wrapText="1"/>
    </xf>
    <xf numFmtId="0" fontId="29" fillId="4" borderId="18" xfId="0" applyFont="1" applyFill="1" applyBorder="1" applyAlignment="1">
      <alignment horizontal="center" vertical="center"/>
    </xf>
    <xf numFmtId="0" fontId="29" fillId="4" borderId="30" xfId="0" applyFont="1" applyFill="1" applyBorder="1" applyAlignment="1">
      <alignment horizontal="center" vertical="center" wrapText="1"/>
    </xf>
    <xf numFmtId="0" fontId="29" fillId="4" borderId="30" xfId="0" applyFont="1" applyFill="1" applyBorder="1" applyAlignment="1">
      <alignment horizontal="center" vertical="center"/>
    </xf>
    <xf numFmtId="165" fontId="0" fillId="12" borderId="5" xfId="0" quotePrefix="1" applyNumberFormat="1" applyFill="1" applyBorder="1"/>
    <xf numFmtId="0" fontId="6" fillId="4" borderId="34" xfId="0" applyFont="1" applyFill="1" applyBorder="1" applyAlignment="1">
      <alignment horizontal="center" vertical="center"/>
    </xf>
    <xf numFmtId="0" fontId="24" fillId="4" borderId="34" xfId="0" applyFont="1" applyFill="1" applyBorder="1" applyAlignment="1">
      <alignment horizontal="center" vertical="center" wrapText="1"/>
    </xf>
    <xf numFmtId="0" fontId="24" fillId="4" borderId="34" xfId="0" applyFont="1" applyFill="1" applyBorder="1" applyAlignment="1">
      <alignment horizontal="center" vertical="center"/>
    </xf>
    <xf numFmtId="0" fontId="51" fillId="0" borderId="0" xfId="0" applyFont="1"/>
    <xf numFmtId="3" fontId="10" fillId="5" borderId="35" xfId="0" applyNumberFormat="1" applyFont="1" applyFill="1" applyBorder="1"/>
    <xf numFmtId="3" fontId="17" fillId="11" borderId="36" xfId="0" applyNumberFormat="1" applyFont="1" applyFill="1" applyBorder="1"/>
    <xf numFmtId="3" fontId="27" fillId="0" borderId="36" xfId="0" applyNumberFormat="1" applyFont="1" applyBorder="1"/>
    <xf numFmtId="3" fontId="17" fillId="11" borderId="37" xfId="0" applyNumberFormat="1" applyFont="1" applyFill="1" applyBorder="1"/>
    <xf numFmtId="3" fontId="3" fillId="0" borderId="36" xfId="0" applyNumberFormat="1" applyFont="1" applyBorder="1"/>
    <xf numFmtId="3" fontId="28" fillId="5" borderId="36" xfId="0" applyNumberFormat="1" applyFont="1" applyFill="1" applyBorder="1"/>
    <xf numFmtId="3" fontId="3" fillId="0" borderId="19" xfId="0" applyNumberFormat="1" applyFont="1" applyBorder="1"/>
    <xf numFmtId="3" fontId="16" fillId="0" borderId="22" xfId="0" applyNumberFormat="1" applyFont="1" applyBorder="1"/>
    <xf numFmtId="3" fontId="13" fillId="0" borderId="22" xfId="0" applyNumberFormat="1" applyFont="1" applyBorder="1"/>
    <xf numFmtId="3" fontId="28" fillId="0" borderId="22" xfId="0" applyNumberFormat="1" applyFont="1" applyBorder="1"/>
    <xf numFmtId="3" fontId="8" fillId="0" borderId="36" xfId="0" applyNumberFormat="1" applyFont="1" applyBorder="1"/>
    <xf numFmtId="3" fontId="3" fillId="5" borderId="22" xfId="0" applyNumberFormat="1" applyFont="1" applyFill="1" applyBorder="1"/>
    <xf numFmtId="3" fontId="17" fillId="5" borderId="22" xfId="0" applyNumberFormat="1" applyFont="1" applyFill="1" applyBorder="1"/>
    <xf numFmtId="3" fontId="17" fillId="5" borderId="36" xfId="0" applyNumberFormat="1" applyFont="1" applyFill="1" applyBorder="1"/>
    <xf numFmtId="3" fontId="17" fillId="5" borderId="37" xfId="0" applyNumberFormat="1" applyFont="1" applyFill="1" applyBorder="1"/>
    <xf numFmtId="3" fontId="13" fillId="0" borderId="38" xfId="0" applyNumberFormat="1" applyFont="1" applyBorder="1"/>
    <xf numFmtId="3" fontId="13" fillId="0" borderId="39" xfId="0" applyNumberFormat="1" applyFont="1" applyBorder="1"/>
    <xf numFmtId="3" fontId="3" fillId="0" borderId="39" xfId="0" applyNumberFormat="1" applyFont="1" applyBorder="1"/>
    <xf numFmtId="3" fontId="1" fillId="0" borderId="39" xfId="0" applyNumberFormat="1" applyFont="1" applyBorder="1"/>
    <xf numFmtId="3" fontId="17" fillId="11" borderId="40" xfId="0" applyNumberFormat="1" applyFont="1" applyFill="1" applyBorder="1"/>
    <xf numFmtId="3" fontId="13" fillId="0" borderId="40" xfId="0" applyNumberFormat="1" applyFont="1" applyBorder="1"/>
    <xf numFmtId="3" fontId="17" fillId="11" borderId="41" xfId="0" applyNumberFormat="1" applyFont="1" applyFill="1" applyBorder="1"/>
    <xf numFmtId="3" fontId="29" fillId="11" borderId="41" xfId="0" applyNumberFormat="1" applyFont="1" applyFill="1" applyBorder="1"/>
    <xf numFmtId="3" fontId="17" fillId="11" borderId="42" xfId="0" applyNumberFormat="1" applyFont="1" applyFill="1" applyBorder="1"/>
    <xf numFmtId="3" fontId="29" fillId="11" borderId="40" xfId="0" applyNumberFormat="1" applyFont="1" applyFill="1" applyBorder="1"/>
    <xf numFmtId="3" fontId="17" fillId="11" borderId="43" xfId="0" applyNumberFormat="1" applyFont="1" applyFill="1" applyBorder="1"/>
    <xf numFmtId="3" fontId="29" fillId="5" borderId="41" xfId="0" applyNumberFormat="1" applyFont="1" applyFill="1" applyBorder="1"/>
    <xf numFmtId="3" fontId="3" fillId="0" borderId="40" xfId="0" applyNumberFormat="1" applyFont="1" applyBorder="1"/>
    <xf numFmtId="3" fontId="3" fillId="0" borderId="38" xfId="0" applyNumberFormat="1" applyFont="1" applyBorder="1"/>
    <xf numFmtId="3" fontId="16" fillId="0" borderId="40" xfId="0" applyNumberFormat="1" applyFont="1" applyBorder="1"/>
    <xf numFmtId="3" fontId="16" fillId="0" borderId="39" xfId="0" applyNumberFormat="1" applyFont="1" applyBorder="1"/>
    <xf numFmtId="3" fontId="8" fillId="0" borderId="39" xfId="0" applyNumberFormat="1" applyFont="1" applyBorder="1"/>
    <xf numFmtId="3" fontId="3" fillId="5" borderId="39" xfId="0" applyNumberFormat="1" applyFont="1" applyFill="1" applyBorder="1"/>
    <xf numFmtId="3" fontId="17" fillId="5" borderId="40" xfId="0" applyNumberFormat="1" applyFont="1" applyFill="1" applyBorder="1"/>
    <xf numFmtId="3" fontId="17" fillId="5" borderId="42" xfId="0" applyNumberFormat="1" applyFont="1" applyFill="1" applyBorder="1"/>
    <xf numFmtId="3" fontId="17" fillId="5" borderId="41" xfId="0" applyNumberFormat="1" applyFont="1" applyFill="1" applyBorder="1"/>
    <xf numFmtId="3" fontId="3" fillId="0" borderId="44" xfId="0" applyNumberFormat="1" applyFont="1" applyBorder="1"/>
    <xf numFmtId="3" fontId="10" fillId="5" borderId="34" xfId="0" applyNumberFormat="1" applyFont="1" applyFill="1" applyBorder="1"/>
    <xf numFmtId="0" fontId="6" fillId="4" borderId="45" xfId="0" applyFont="1" applyFill="1" applyBorder="1" applyAlignment="1">
      <alignment horizontal="center" vertical="center" wrapText="1"/>
    </xf>
    <xf numFmtId="0" fontId="6" fillId="0" borderId="39" xfId="0" applyFont="1" applyBorder="1"/>
    <xf numFmtId="0" fontId="1" fillId="0" borderId="39" xfId="0" applyFont="1" applyBorder="1"/>
    <xf numFmtId="0" fontId="7" fillId="0" borderId="39" xfId="0" applyFont="1" applyBorder="1"/>
    <xf numFmtId="0" fontId="16" fillId="0" borderId="39" xfId="0" applyFont="1" applyBorder="1"/>
    <xf numFmtId="0" fontId="7" fillId="0" borderId="39" xfId="0" applyFont="1" applyBorder="1" applyAlignment="1">
      <alignment horizontal="left"/>
    </xf>
    <xf numFmtId="0" fontId="10" fillId="11" borderId="40" xfId="0" applyFont="1" applyFill="1" applyBorder="1" applyAlignment="1">
      <alignment horizontal="right"/>
    </xf>
    <xf numFmtId="0" fontId="6" fillId="0" borderId="40" xfId="0" applyFont="1" applyBorder="1" applyAlignment="1">
      <alignment horizontal="left"/>
    </xf>
    <xf numFmtId="0" fontId="10" fillId="11" borderId="41" xfId="0" applyFont="1" applyFill="1" applyBorder="1" applyAlignment="1">
      <alignment horizontal="right"/>
    </xf>
    <xf numFmtId="0" fontId="17" fillId="11" borderId="41" xfId="0" applyFont="1" applyFill="1" applyBorder="1" applyAlignment="1">
      <alignment horizontal="right"/>
    </xf>
    <xf numFmtId="0" fontId="6" fillId="0" borderId="40" xfId="0" applyFont="1" applyBorder="1"/>
    <xf numFmtId="0" fontId="10" fillId="0" borderId="39" xfId="0" applyFont="1" applyBorder="1"/>
    <xf numFmtId="0" fontId="6" fillId="0" borderId="38" xfId="0" applyFont="1" applyBorder="1"/>
    <xf numFmtId="0" fontId="17" fillId="11" borderId="40" xfId="0" applyFont="1" applyFill="1" applyBorder="1" applyAlignment="1">
      <alignment horizontal="right"/>
    </xf>
    <xf numFmtId="0" fontId="17" fillId="11" borderId="42" xfId="0" applyFont="1" applyFill="1" applyBorder="1" applyAlignment="1">
      <alignment horizontal="right"/>
    </xf>
    <xf numFmtId="0" fontId="6" fillId="0" borderId="39" xfId="0" applyFont="1" applyBorder="1" applyAlignment="1">
      <alignment horizontal="left" vertical="top"/>
    </xf>
    <xf numFmtId="0" fontId="1" fillId="0" borderId="39" xfId="0" applyFont="1" applyBorder="1" applyAlignment="1">
      <alignment horizontal="left"/>
    </xf>
    <xf numFmtId="0" fontId="7" fillId="0" borderId="39" xfId="0" applyFont="1" applyBorder="1" applyAlignment="1">
      <alignment wrapText="1"/>
    </xf>
    <xf numFmtId="0" fontId="1" fillId="0" borderId="39" xfId="0" applyFont="1" applyBorder="1" applyAlignment="1">
      <alignment wrapText="1"/>
    </xf>
    <xf numFmtId="0" fontId="13" fillId="0" borderId="39" xfId="0" applyFont="1" applyBorder="1"/>
    <xf numFmtId="0" fontId="6" fillId="5" borderId="40" xfId="0" applyFont="1" applyFill="1" applyBorder="1" applyAlignment="1">
      <alignment horizontal="right"/>
    </xf>
    <xf numFmtId="0" fontId="7" fillId="0" borderId="44" xfId="0" applyFont="1" applyBorder="1"/>
    <xf numFmtId="0" fontId="29" fillId="0" borderId="39" xfId="0" applyFont="1" applyBorder="1" applyAlignment="1">
      <alignment horizontal="left"/>
    </xf>
    <xf numFmtId="0" fontId="16" fillId="0" borderId="39" xfId="0" applyFont="1" applyBorder="1" applyAlignment="1">
      <alignment horizontal="left" vertical="center" wrapText="1"/>
    </xf>
    <xf numFmtId="0" fontId="6" fillId="0" borderId="39" xfId="0" applyFont="1" applyBorder="1" applyAlignment="1">
      <alignment horizontal="center"/>
    </xf>
    <xf numFmtId="0" fontId="10" fillId="0" borderId="40" xfId="0" applyFont="1" applyBorder="1"/>
    <xf numFmtId="0" fontId="6" fillId="0" borderId="39" xfId="0" applyFont="1" applyBorder="1" applyAlignment="1">
      <alignment horizontal="left"/>
    </xf>
    <xf numFmtId="0" fontId="7" fillId="0" borderId="39" xfId="0" applyFont="1" applyBorder="1" applyAlignment="1">
      <alignment horizontal="left" wrapText="1"/>
    </xf>
    <xf numFmtId="0" fontId="6" fillId="0" borderId="38" xfId="0" applyFont="1" applyBorder="1" applyAlignment="1">
      <alignment horizontal="left"/>
    </xf>
    <xf numFmtId="0" fontId="13" fillId="0" borderId="39" xfId="0" applyFont="1" applyBorder="1" applyAlignment="1">
      <alignment wrapText="1"/>
    </xf>
    <xf numFmtId="0" fontId="6" fillId="5" borderId="39" xfId="0" applyFont="1" applyFill="1" applyBorder="1" applyAlignment="1">
      <alignment horizontal="center"/>
    </xf>
    <xf numFmtId="0" fontId="29" fillId="0" borderId="39" xfId="0" applyFont="1" applyBorder="1"/>
    <xf numFmtId="0" fontId="17" fillId="5" borderId="39" xfId="0" applyFont="1" applyFill="1" applyBorder="1" applyAlignment="1">
      <alignment horizontal="right"/>
    </xf>
    <xf numFmtId="0" fontId="13" fillId="0" borderId="39" xfId="0" applyFont="1" applyBorder="1" applyAlignment="1">
      <alignment horizontal="left"/>
    </xf>
    <xf numFmtId="0" fontId="17" fillId="0" borderId="39" xfId="0" applyFont="1" applyBorder="1"/>
    <xf numFmtId="0" fontId="17" fillId="5" borderId="40" xfId="0" applyFont="1" applyFill="1" applyBorder="1" applyAlignment="1">
      <alignment horizontal="right"/>
    </xf>
    <xf numFmtId="0" fontId="17" fillId="5" borderId="41" xfId="0" applyFont="1" applyFill="1" applyBorder="1" applyAlignment="1">
      <alignment horizontal="right"/>
    </xf>
    <xf numFmtId="0" fontId="10" fillId="0" borderId="39" xfId="0" applyFont="1" applyBorder="1" applyAlignment="1">
      <alignment horizontal="left"/>
    </xf>
    <xf numFmtId="0" fontId="1" fillId="0" borderId="40" xfId="0" applyFont="1" applyBorder="1"/>
    <xf numFmtId="0" fontId="10" fillId="5" borderId="41" xfId="0" applyFont="1" applyFill="1" applyBorder="1" applyAlignment="1">
      <alignment horizontal="right"/>
    </xf>
    <xf numFmtId="0" fontId="1" fillId="0" borderId="39" xfId="0" applyFont="1" applyBorder="1" applyAlignment="1">
      <alignment horizontal="left" wrapText="1"/>
    </xf>
    <xf numFmtId="164" fontId="6" fillId="11" borderId="40" xfId="0" applyNumberFormat="1" applyFont="1" applyFill="1" applyBorder="1" applyAlignment="1">
      <alignment horizontal="right"/>
    </xf>
    <xf numFmtId="3" fontId="29" fillId="5" borderId="40" xfId="0" applyNumberFormat="1" applyFont="1" applyFill="1" applyBorder="1"/>
    <xf numFmtId="3" fontId="13" fillId="0" borderId="44" xfId="0" applyNumberFormat="1" applyFont="1" applyBorder="1"/>
    <xf numFmtId="3" fontId="6" fillId="11" borderId="41" xfId="0" applyNumberFormat="1" applyFont="1" applyFill="1" applyBorder="1"/>
    <xf numFmtId="3" fontId="17" fillId="5" borderId="39" xfId="0" applyNumberFormat="1" applyFont="1" applyFill="1" applyBorder="1"/>
    <xf numFmtId="3" fontId="10" fillId="5" borderId="41" xfId="0" applyNumberFormat="1" applyFont="1" applyFill="1" applyBorder="1"/>
    <xf numFmtId="3" fontId="12" fillId="0" borderId="39" xfId="0" applyNumberFormat="1" applyFont="1" applyBorder="1"/>
    <xf numFmtId="3" fontId="27" fillId="0" borderId="40" xfId="0" applyNumberFormat="1" applyFont="1" applyBorder="1"/>
    <xf numFmtId="3" fontId="15" fillId="0" borderId="39" xfId="0" applyNumberFormat="1" applyFont="1" applyBorder="1"/>
    <xf numFmtId="3" fontId="8" fillId="0" borderId="40" xfId="0" applyNumberFormat="1" applyFont="1" applyBorder="1"/>
    <xf numFmtId="3" fontId="28" fillId="5" borderId="40" xfId="0" applyNumberFormat="1" applyFont="1" applyFill="1" applyBorder="1"/>
    <xf numFmtId="3" fontId="28" fillId="0" borderId="39" xfId="0" applyNumberFormat="1" applyFont="1" applyBorder="1"/>
    <xf numFmtId="3" fontId="23" fillId="5" borderId="41" xfId="0" applyNumberFormat="1" applyFont="1" applyFill="1" applyBorder="1"/>
    <xf numFmtId="3" fontId="1" fillId="0" borderId="40" xfId="0" applyNumberFormat="1" applyFont="1" applyBorder="1"/>
    <xf numFmtId="0" fontId="1" fillId="0" borderId="0" xfId="0" applyFont="1" applyAlignment="1">
      <alignment horizontal="right"/>
    </xf>
  </cellXfs>
  <cellStyles count="1">
    <cellStyle name="Normal" xfId="0" builtinId="0"/>
  </cellStyles>
  <dxfs count="59">
    <dxf>
      <font>
        <b val="0"/>
        <i val="0"/>
        <strike val="0"/>
        <u val="none"/>
        <sz val="11"/>
        <color auto="1"/>
        <name val="Calibri"/>
      </font>
      <numFmt numFmtId="3" formatCode="#,##0"/>
      <border>
        <left/>
        <right style="thin">
          <color rgb="FF000000"/>
        </right>
        <top/>
        <bottom/>
      </border>
    </dxf>
    <dxf>
      <font>
        <b val="0"/>
        <i val="0"/>
        <strike val="0"/>
        <u val="none"/>
        <sz val="11"/>
        <color auto="1"/>
        <name val="Calibri"/>
      </font>
      <numFmt numFmtId="3" formatCode="#,##0"/>
    </dxf>
    <dxf>
      <font>
        <b val="0"/>
        <i val="0"/>
        <strike val="0"/>
        <u val="none"/>
        <sz val="11"/>
        <color auto="1"/>
        <name val="Calibri"/>
      </font>
      <numFmt numFmtId="3" formatCode="#,##0"/>
    </dxf>
    <dxf>
      <font>
        <b val="0"/>
        <i val="0"/>
        <strike val="0"/>
        <u val="none"/>
        <sz val="11"/>
        <color auto="1"/>
        <name val="Calibri"/>
      </font>
      <numFmt numFmtId="3" formatCode="#,##0"/>
    </dxf>
    <dxf>
      <font>
        <b val="0"/>
        <i val="0"/>
        <strike val="0"/>
        <u val="none"/>
        <sz val="11"/>
        <color auto="1"/>
        <name val="Calibri"/>
      </font>
      <numFmt numFmtId="3" formatCode="#,##0"/>
    </dxf>
    <dxf>
      <font>
        <b val="0"/>
        <i val="0"/>
        <strike val="0"/>
        <u val="none"/>
        <sz val="11"/>
        <color auto="1"/>
        <name val="Calibri"/>
      </font>
      <numFmt numFmtId="3" formatCode="#,##0"/>
    </dxf>
    <dxf>
      <font>
        <b val="0"/>
        <i val="0"/>
        <strike val="0"/>
        <u val="none"/>
        <sz val="11"/>
        <color auto="1"/>
        <name val="Calibri"/>
      </font>
      <numFmt numFmtId="3" formatCode="#,##0"/>
    </dxf>
    <dxf>
      <font>
        <b val="0"/>
        <i val="0"/>
        <strike val="0"/>
        <u val="none"/>
        <sz val="11"/>
        <color rgb="FF00B050"/>
        <name val="Calibri"/>
      </font>
      <numFmt numFmtId="3" formatCode="#,##0"/>
      <fill>
        <patternFill patternType="none">
          <bgColor rgb="FF92D050"/>
        </patternFill>
      </fill>
    </dxf>
    <dxf>
      <font>
        <b val="0"/>
        <i val="0"/>
        <strike val="0"/>
        <u val="none"/>
        <sz val="11"/>
        <color rgb="FFFF0000"/>
        <name val="Calibri"/>
      </font>
      <numFmt numFmtId="3" formatCode="#,##0"/>
    </dxf>
    <dxf>
      <font>
        <b val="0"/>
        <i val="0"/>
        <strike val="0"/>
        <u val="none"/>
        <sz val="11"/>
        <color auto="1"/>
        <name val="Calibri"/>
      </font>
      <numFmt numFmtId="3" formatCode="#,##0"/>
    </dxf>
    <dxf>
      <font>
        <b val="0"/>
        <i val="0"/>
        <strike val="0"/>
        <u val="none"/>
        <sz val="11"/>
        <color theme="1"/>
        <name val="Calibri"/>
      </font>
      <numFmt numFmtId="3" formatCode="#,##0"/>
    </dxf>
    <dxf>
      <font>
        <b val="0"/>
        <i val="0"/>
        <strike val="0"/>
        <u val="none"/>
        <sz val="11"/>
        <color theme="1"/>
        <name val="Calibri"/>
      </font>
      <numFmt numFmtId="3" formatCode="#,##0"/>
      <fill>
        <patternFill patternType="solid">
          <fgColor rgb="FFFFC000"/>
          <bgColor rgb="FFFFC000"/>
        </patternFill>
      </fill>
    </dxf>
    <dxf>
      <font>
        <b val="0"/>
        <i val="0"/>
        <strike val="0"/>
        <u val="none"/>
        <sz val="11"/>
        <color theme="1"/>
        <name val="Calibri"/>
      </font>
      <numFmt numFmtId="3" formatCode="#,##0"/>
      <fill>
        <patternFill patternType="none">
          <fgColor rgb="FF92D050"/>
          <bgColor rgb="FF92D050"/>
        </patternFill>
      </fill>
    </dxf>
    <dxf>
      <font>
        <b val="0"/>
        <i val="0"/>
        <strike val="0"/>
        <u val="none"/>
        <sz val="11"/>
        <color theme="1"/>
        <name val="Calibri"/>
      </font>
      <numFmt numFmtId="3" formatCode="#,##0"/>
    </dxf>
    <dxf>
      <font>
        <b val="0"/>
        <i val="0"/>
        <strike val="0"/>
        <u val="none"/>
        <sz val="11"/>
        <color theme="1"/>
        <name val="Calibri"/>
      </font>
      <numFmt numFmtId="3" formatCode="#,##0"/>
    </dxf>
    <dxf>
      <font>
        <b val="0"/>
        <i val="0"/>
        <strike val="0"/>
        <u val="none"/>
        <sz val="11"/>
        <color theme="1"/>
        <name val="Calibri"/>
      </font>
      <numFmt numFmtId="3" formatCode="#,##0"/>
    </dxf>
    <dxf>
      <font>
        <b val="0"/>
        <i val="0"/>
        <strike val="0"/>
        <u val="none"/>
        <sz val="11"/>
        <color rgb="FFFF0000"/>
        <name val="Calibri"/>
      </font>
      <numFmt numFmtId="3" formatCode="#,##0"/>
      <fill>
        <patternFill patternType="none">
          <fgColor rgb="FF92D050"/>
          <bgColor rgb="FF92D050"/>
        </patternFill>
      </fill>
    </dxf>
    <dxf>
      <font>
        <b val="0"/>
        <i val="0"/>
        <strike val="0"/>
        <u val="none"/>
        <sz val="11"/>
        <color theme="1"/>
        <name val="Calibri"/>
      </font>
      <numFmt numFmtId="3" formatCode="#,##0"/>
      <fill>
        <patternFill patternType="solid">
          <fgColor rgb="FF92D050"/>
          <bgColor rgb="FF92D050"/>
        </patternFill>
      </fill>
    </dxf>
    <dxf>
      <font>
        <b val="0"/>
        <i val="0"/>
        <strike val="0"/>
        <u val="none"/>
        <sz val="11"/>
        <color theme="1"/>
        <name val="Calibri"/>
      </font>
      <numFmt numFmtId="3" formatCode="#,##0"/>
    </dxf>
    <dxf>
      <font>
        <b val="0"/>
        <i val="0"/>
        <strike val="0"/>
        <u val="none"/>
        <sz val="11"/>
        <color theme="1"/>
        <name val="Calibri"/>
      </font>
      <numFmt numFmtId="3" formatCode="#,##0"/>
    </dxf>
    <dxf>
      <font>
        <b val="0"/>
        <i val="0"/>
        <strike val="0"/>
        <u val="none"/>
        <sz val="11"/>
        <color theme="1"/>
        <name val="Calibri"/>
      </font>
      <numFmt numFmtId="3" formatCode="#,##0"/>
    </dxf>
    <dxf>
      <font>
        <b val="0"/>
        <i val="0"/>
        <strike val="0"/>
        <u val="none"/>
        <sz val="11"/>
        <color theme="1"/>
        <name val="Calibri"/>
      </font>
      <border>
        <left style="thin">
          <color rgb="FF000000"/>
        </left>
        <right/>
        <top/>
        <bottom/>
      </border>
    </dxf>
    <dxf>
      <font>
        <b val="0"/>
        <i val="0"/>
        <strike val="0"/>
        <u val="none"/>
        <sz val="11"/>
        <color theme="1"/>
        <name val="Calibri"/>
      </font>
    </dxf>
    <dxf>
      <font>
        <b val="0"/>
        <i val="0"/>
        <strike val="0"/>
        <u val="none"/>
        <sz val="11"/>
        <color theme="1"/>
        <name val="Calibri"/>
      </font>
    </dxf>
    <dxf>
      <font>
        <b val="0"/>
        <i val="0"/>
        <strike val="0"/>
        <u val="none"/>
        <sz val="11"/>
        <color theme="1"/>
        <name val="Calibri"/>
      </font>
    </dxf>
    <dxf>
      <border>
        <right style="thin">
          <color rgb="FF000000"/>
        </right>
        <top style="thin">
          <color rgb="FF000000"/>
        </top>
      </border>
    </dxf>
    <dxf>
      <font>
        <b/>
        <i val="0"/>
        <strike val="0"/>
        <u val="none"/>
        <sz val="11"/>
        <color auto="1"/>
        <name val="Calibri"/>
      </font>
      <fill>
        <patternFill patternType="solid">
          <bgColor theme="4" tint="0.59993285927915285"/>
        </patternFill>
      </fill>
      <alignment horizontal="center" vertical="center" textRotation="0" wrapText="0" shrinkToFit="0" readingOrder="0"/>
      <border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u val="none"/>
        <sz val="11"/>
        <color auto="1"/>
        <name val="Calibri"/>
      </font>
      <numFmt numFmtId="3" formatCode="#,##0"/>
      <border>
        <left/>
        <right style="thin">
          <color rgb="FF000000"/>
        </right>
        <top/>
        <bottom/>
      </border>
    </dxf>
    <dxf>
      <font>
        <b val="0"/>
        <i val="0"/>
        <strike val="0"/>
        <u val="none"/>
        <sz val="11"/>
        <color auto="1"/>
        <name val="Calibri"/>
      </font>
      <numFmt numFmtId="3" formatCode="#,##0"/>
      <border>
        <left style="thin">
          <color auto="1"/>
        </left>
        <right style="thin">
          <color auto="1"/>
        </right>
      </border>
    </dxf>
    <dxf>
      <font>
        <b val="0"/>
        <i val="0"/>
        <strike val="0"/>
        <u val="none"/>
        <sz val="11"/>
        <color auto="1"/>
        <name val="Calibri"/>
      </font>
      <numFmt numFmtId="3" formatCode="#,##0"/>
    </dxf>
    <dxf>
      <font>
        <b val="0"/>
        <i val="0"/>
        <strike val="0"/>
        <u val="none"/>
        <sz val="11"/>
        <color auto="1"/>
        <name val="Calibri"/>
      </font>
      <numFmt numFmtId="3" formatCode="#,##0"/>
      <border>
        <left style="thin">
          <color rgb="FF000000"/>
        </left>
        <right style="thin">
          <color rgb="FF000000"/>
        </right>
      </border>
    </dxf>
    <dxf>
      <font>
        <b val="0"/>
        <i val="0"/>
        <strike val="0"/>
        <u val="none"/>
        <sz val="11"/>
        <color auto="1"/>
        <name val="Calibri"/>
      </font>
      <numFmt numFmtId="3" formatCode="#,##0"/>
    </dxf>
    <dxf>
      <font>
        <b val="0"/>
        <i val="0"/>
        <strike val="0"/>
        <u val="none"/>
        <sz val="11"/>
        <color auto="1"/>
        <name val="Calibri"/>
      </font>
      <numFmt numFmtId="3" formatCode="#,##0"/>
      <border>
        <left style="thin">
          <color auto="1"/>
        </left>
        <right style="thin">
          <color auto="1"/>
        </right>
      </border>
    </dxf>
    <dxf>
      <font>
        <b val="0"/>
        <i val="0"/>
        <strike val="0"/>
        <u val="none"/>
        <sz val="11"/>
        <color theme="1"/>
        <name val="Calibri"/>
      </font>
      <numFmt numFmtId="3" formatCode="#,##0"/>
      <border>
        <left style="thin">
          <color auto="1"/>
        </left>
        <right style="thin">
          <color auto="1"/>
        </right>
      </border>
    </dxf>
    <dxf>
      <font>
        <b val="0"/>
        <i val="0"/>
        <strike val="0"/>
        <u val="none"/>
        <sz val="11"/>
        <color theme="1"/>
        <name val="Calibri"/>
      </font>
      <numFmt numFmtId="3" formatCode="#,##0"/>
      <fill>
        <patternFill patternType="none">
          <fgColor rgb="FF92D050"/>
          <bgColor rgb="FF92D050"/>
        </patternFill>
      </fill>
      <border>
        <left style="thin">
          <color auto="1"/>
        </left>
        <right style="thin">
          <color auto="1"/>
        </right>
      </border>
    </dxf>
    <dxf>
      <font>
        <b val="0"/>
        <i val="0"/>
        <strike val="0"/>
        <u val="none"/>
        <sz val="11"/>
        <color theme="1"/>
        <name val="Calibri"/>
      </font>
      <numFmt numFmtId="3" formatCode="#,##0"/>
    </dxf>
    <dxf>
      <font>
        <b val="0"/>
        <i val="0"/>
        <strike val="0"/>
        <u val="none"/>
        <sz val="11"/>
        <color theme="1"/>
        <name val="Calibri"/>
      </font>
      <numFmt numFmtId="3" formatCode="#,##0"/>
      <border>
        <left style="thin">
          <color auto="1"/>
        </left>
        <right style="thin">
          <color auto="1"/>
        </right>
      </border>
    </dxf>
    <dxf>
      <font>
        <b val="0"/>
        <i val="0"/>
        <strike val="0"/>
        <u val="none"/>
        <sz val="11"/>
        <color theme="1"/>
        <name val="Calibri"/>
      </font>
      <numFmt numFmtId="3" formatCode="#,##0"/>
    </dxf>
    <dxf>
      <font>
        <b val="0"/>
        <i val="0"/>
        <strike val="0"/>
        <u val="none"/>
        <sz val="11"/>
        <color theme="1"/>
        <name val="Calibri"/>
      </font>
      <border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u val="none"/>
        <sz val="11"/>
        <color theme="1"/>
        <name val="Calibri"/>
      </font>
    </dxf>
    <dxf>
      <border>
        <bottom style="thin">
          <color auto="1"/>
        </bottom>
      </border>
    </dxf>
    <dxf>
      <border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 style="thin">
          <color auto="1"/>
        </horizontal>
      </border>
    </dxf>
    <dxf>
      <alignment wrapText="1"/>
    </dxf>
    <dxf>
      <numFmt numFmtId="3" formatCode="#,##0"/>
    </dxf>
    <dxf>
      <numFmt numFmtId="3" formatCode="#,##0"/>
    </dxf>
    <dxf>
      <fill>
        <patternFill>
          <bgColor theme="4" tint="0.59993285927915285"/>
        </patternFill>
      </fill>
    </dxf>
    <dxf>
      <fill>
        <patternFill>
          <bgColor theme="4" tint="0.59993285927915285"/>
        </patternFill>
      </fill>
    </dxf>
    <dxf>
      <fill>
        <patternFill>
          <bgColor theme="9" tint="0.39997558519241921"/>
        </patternFill>
      </fill>
    </dxf>
    <dxf>
      <fill>
        <patternFill>
          <bgColor theme="9" tint="0.39997558519241921"/>
        </patternFill>
      </fill>
    </dxf>
    <dxf>
      <alignment wrapText="1"/>
    </dxf>
    <dxf>
      <alignment wrapText="1"/>
    </dxf>
    <dxf>
      <font>
        <color rgb="FFFF0000"/>
      </font>
    </dxf>
    <dxf>
      <font>
        <color rgb="FFFF0000"/>
      </font>
    </dxf>
    <dxf>
      <font>
        <color theme="9"/>
      </font>
    </dxf>
    <dxf>
      <font>
        <color theme="9"/>
      </font>
    </dxf>
    <dxf>
      <fill>
        <patternFill patternType="solid">
          <bgColor theme="7" tint="0.39997558519241921"/>
        </patternFill>
      </fill>
    </dxf>
    <dxf>
      <fill>
        <patternFill patternType="solid">
          <bgColor theme="7" tint="0.39997558519241921"/>
        </patternFill>
      </fill>
    </dxf>
    <dxf>
      <alignment wrapText="1"/>
    </dxf>
    <dxf>
      <alignment wrapText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Maris" refreshedDate="44570.877320833337" createdVersion="7" refreshedVersion="7" minRefreshableVersion="3" recordCount="1015">
  <cacheSource type="worksheet">
    <worksheetSource name="Table1"/>
  </cacheSource>
  <cacheFields count="22">
    <cacheField name="iestādes" numFmtId="0">
      <sharedItems containsBlank="1" count="54">
        <s v="Pārvalde"/>
        <m/>
        <s v=" pilsētas pārvalde"/>
        <s v="pagasta pārvalde"/>
        <s v="Maksājumi par aizdevumiem"/>
        <s v="Pašvaldības policija"/>
        <s v="Sabiedriskā kārtība (atskurbtuve)"/>
        <s v="Ekonomiskā darbība"/>
        <s v="Autotransports - autoceļu fonds"/>
        <s v="TIC"/>
        <s v="Vides piesārņojuma samaz.un  novērš. Novads.DRN"/>
        <s v="Notekūdeņu apsaimniekošana. Novads"/>
        <s v="Teritoriju attīstība"/>
        <s v="Teritoriālā plānošana"/>
        <s v="Ūdensapgāde. Ludza"/>
        <s v="Ielu apgaismošana"/>
        <s v="Teritoriju apsaimniekošana"/>
        <s v="Projekts  Veselības veicināšana (Ludza, Kārsava, Cibla)"/>
        <s v="Atpūta, kultūra, reliģija"/>
        <s v="Izglītība PII"/>
        <s v="skolas"/>
        <s v="Inetrešu izglītība"/>
        <s v="Transporta daļa"/>
        <s v="Izglītības  pārvalde"/>
        <s v="Savstarpējie nor. par izglītības pak.izp.uz 23.11.21."/>
        <s v="Sociālā nodrošināšana"/>
        <s v="Līdzekļi neparedzētiem gadījumiem"/>
        <s v="Kārsavas pilsētas pārvalde" u="1"/>
        <s v="Lauderu pagasta pārvalde" u="1"/>
        <s v="Līdumnieku pagasta pārvalde" u="1"/>
        <s v="Pasienes pagasta pārvalde" u="1"/>
        <s v="Mežvidu pagasta pārvalde" u="1"/>
        <s v="Zilupes pilsētas pārvalde" u="1"/>
        <s v="Ņukšu pagasta pārvalde" u="1"/>
        <s v="Malnavas pagasta pārvalde" u="1"/>
        <s v="Blontu pagasta pārvalde" u="1"/>
        <s v="Isnaudas pagasta pārvalde" u="1"/>
        <s v="Briģu pagasta pārvalde" u="1"/>
        <s v="Cirmas pagasta pārvalde" u="1"/>
        <s v="Zivsaimniecība (Zivju fonda līdzekļi)" u="1"/>
        <s v="Zvirgzdenes pagasta pārvalde" u="1"/>
        <s v="Pildas pagasta pārvalde" u="1"/>
        <s v="Mežsaimniecība" u="1"/>
        <s v="Istras pagasta pārvalde" u="1"/>
        <s v="Pušmucovas pagasta pārvalde" u="1"/>
        <s v="Nirzas pagasta pārvalde" u="1"/>
        <s v="Mērdzenes pagasta pārvalde" u="1"/>
        <s v="Salnavas pagasta pārvalde" u="1"/>
        <s v="Pureņu pagasta pārvalde" u="1"/>
        <s v="Vesels-Aktīvs-Zinošs&quot;" u="1"/>
        <s v="skola" u="1"/>
        <s v="Goliševas pagasta pārvalde" u="1"/>
        <s v="Rundēnu pagasta pārvalde" u="1"/>
        <s v="Ciblas pagasta pārvalde" u="1"/>
      </sharedItems>
    </cacheField>
    <cacheField name="Column1" numFmtId="0">
      <sharedItems containsBlank="1" count="152">
        <s v="Administratīvā nodaļa"/>
        <s v="Deputāti"/>
        <s v="KAC"/>
        <s v="Juridiskā nodaļa"/>
        <s v="Dzimtsarakstu nodaļa"/>
        <s v="Finanšu un grāmatvedības"/>
        <s v="Būvvalde"/>
        <s v="Informācijas tehnoloģiju nodaļa"/>
        <s v="Attīstības un nekustamā īpašuma nodaļa"/>
        <s v="Nekustamā īpašuma pārvaldības nodaļa"/>
        <m/>
        <s v="Kārsavas pilsētas pārvalde"/>
        <s v="Zilupes pilsētas pārvalde"/>
        <s v="Briģu pagasta pārvalde"/>
        <s v="Cirmas pagasta pārvalde"/>
        <s v="Isnaudas pagasta pārvalde"/>
        <s v="Istras pagasta pārvalde"/>
        <s v="Nirzas pagasta pārvalde"/>
        <s v="Ņukšu pagasta pārvalde"/>
        <s v="Pildas pagasta pārvalde"/>
        <s v="Pureņu pagasta pārvalde"/>
        <s v="Rundēnu pagasta pārvalde"/>
        <s v="Blontu pagasta pārvalde"/>
        <s v="Ciblas pagasta pārvalde"/>
        <s v="Līdumnieku pagasta pārvalde"/>
        <s v="Pušmucovas pagasta pārvalde"/>
        <s v="Zvirgzdenes pagasta pārvalde"/>
        <s v="Goliševas pagasta pārvalde"/>
        <s v="Malnavas pagasta pārvalde"/>
        <s v="Mežvidu pagasta pārvalde"/>
        <s v="Mērdzenes pagasta pārvalde"/>
        <s v="Salnavas pagasta pārvalde"/>
        <s v="Lauderu pagasta pārvalde"/>
        <s v="Pasienes pagasta pārvalde"/>
        <s v="Maksājumi par aizdevumiem"/>
        <s v="Pašvaldības policija"/>
        <s v="Sabiedriskā kārtība (atskurbtuve)"/>
        <s v="Jauniešu nodarbinātība"/>
        <s v="Atlīdzība sabiedrisko darbu kordinatoram"/>
        <s v="Atbalsts uzņēmējdarbībai"/>
        <s v="Mežsaimniecība"/>
        <s v="Zivsaimniecība"/>
        <s v=" autoceļu fondsLudza"/>
        <s v="Rezerves fonds"/>
        <s v="autoceļu fonds"/>
        <s v="autoceļu fonds Kārsava"/>
        <s v="autoceļu fonds Zilupe"/>
        <s v="autoceļu fonds Lauku teritorijas"/>
        <s v="autoceļu fonds Projekts uzņēmējd.veicin. Ludza/Kārs/Cibla nov."/>
        <s v="TIC"/>
        <s v="Vides piesārņojuma samaz.un  novērš. Novads.DRN"/>
        <s v="Notekūdeņu apsaimniekošana. Novads"/>
        <s v="Mājokļu attīstība. Novads"/>
        <s v="Teritoriālā plānošana"/>
        <s v="Ūdensapgāde. Ludza"/>
        <s v="Ielu apgaismošana Ludza"/>
        <s v="Ielu apgaismošana Kārsava"/>
        <s v="Ielu apgaismošana Zilupe"/>
        <s v="Teritoriju apsaimniekošana. Ludza"/>
        <s v="Teritoriju apsaimniekošana. Kārsava"/>
        <s v="Teritoriju apsaimniekošana. Zilupe"/>
        <s v="Projekts  Veselības veicināšana (Ludza, Kārsava, Cibla)"/>
        <s v="Sporta pasākumi"/>
        <s v="Galvenā bibliotēka"/>
        <s v="Kārsavas bibliotēka"/>
        <s v="Zilupes bibliotēka"/>
        <s v="Zaļesjes bibliotēka"/>
        <s v="Novadpētniecības muzejs"/>
        <s v="Ludzas Lielā sinagoga"/>
        <s v="Kultūrvēsturiskais centrs &quot;Līču māja&quot;"/>
        <s v="Ludzas tautas nams"/>
        <s v="Kārsavas TN"/>
        <s v="Zilupes TN"/>
        <s v="Skolēnu dziesmu un deju svētki. Ludza"/>
        <s v="Apraides (televīzijas) un pakalpojumi"/>
        <s v="Izdevniecības pakalpojumi"/>
        <s v="Atbalsts reliģiskām organizācijām un biedrībām"/>
        <s v="Pārējie kultūras pasākumi. Ludza"/>
        <s v="Pārējie kultūras pasākumi. Cibla"/>
        <s v="Pārējie kultūras pasākumi. Kārsava"/>
        <s v="Pilsētas svētki. Ludza"/>
        <s v="Pilsētas svētki. Kārsava"/>
        <s v="Pilsētas svētki. Zilupe"/>
        <s v="Balvas par sasniegumiem kultūrā"/>
        <s v="Piemaksas amatierkolektīviem par kvalitāti,1.pusg."/>
        <s v="Pārējie kultūras pasākumi"/>
        <s v="Amatierteātru festivāls &quot;Vezums&quot;"/>
        <s v="Imata Ziedoņa fonds &quot;Viegli&quot;"/>
        <s v="Latgaliešu kultūras balva&quot;Boņuks2020&quot;,Boņuks2021&quot;"/>
        <s v="Atbalsts biedrībai Latvijas aeroklubs"/>
        <s v="Fonds Sibīrijas bērni"/>
        <s v="Grāmata - Jeļena Arbuzova"/>
        <s v="Orientēšanās sacensības&quot; Kāpa 2021&quot;"/>
        <s v="Rīgas brāļu kapi, piecām jaunām kapu plāksnēm "/>
        <s v="Grāmatas&quot;No sirds -  Ludzai&quot; izdošanai (Nasledije)"/>
        <s v="PII &quot;Rūķītis&quot;"/>
        <s v="3.PII &quot;Namiņš&quot;"/>
        <s v="4.PII &quot;Pasaciņa&quot;"/>
        <s v="Briģu PII"/>
        <s v="Istras PII"/>
        <s v="Pildas PII"/>
        <s v="Blontu PII"/>
        <s v="Ciblas PII"/>
        <s v="Kārsavas PII"/>
        <s v="Mežvidu PII &quot;Saulīte&quot;"/>
        <s v="Malnavas PII &quot;Sienāzītis&quot;"/>
        <s v="Zilupes PII"/>
        <s v="Ludzas pilsētas vidusskola"/>
        <s v="Ludzas pilsētas vidusskola - baseins"/>
        <s v="Ludzas 2.vidusskola"/>
        <s v="Ludzas 2.vidusskola - dienesta viesnīca"/>
        <s v="Pildas pamatskola"/>
        <s v="Ciblas vidusskola"/>
        <s v="Pušmucovas pamatskola"/>
        <s v="Kārsavas vidusskola"/>
        <s v="Mežvidu pamatskola"/>
        <s v="Mērdzenes pamatskola"/>
        <s v="Salnavas pamatskola"/>
        <s v="Zilupes vidusskola"/>
        <s v="Ludzas mūzikas pamatskola"/>
        <s v="J.Soikāna Mākslas skola"/>
        <s v="Kārsavas Mūzikas un mākslas skola"/>
        <s v="Zilupes Mūzikas un mākslas skola"/>
        <s v="Ludzas novada Sporta skola"/>
        <s v="Bērnu un jauniešu centrs"/>
        <s v="Transporta daļa (ieķlauta iestāžu degviela) Ludza"/>
        <s v="Transporta daļa (ieķlauta iestāžu degviela) Kārsava"/>
        <s v="Transporta daļa (iekļauta iestāžu degviela) Zilupe"/>
        <s v="Transporta daļa (iekļauta iestāžu degviela) Blonti"/>
        <s v="Transporta daļa (iekļauta iestāžu degviela) Līdumnieki"/>
        <s v="Izglītības  pārvalde"/>
        <s v="Savstarpējie nor. par izglītības pak.izp.uz 23.11.21."/>
        <s v="Sociālā aizs. Invalid. gadījumā - asistenti m/d"/>
        <s v="Mājas aprūpe"/>
        <s v="Daudzfunkcionālais sociālo pak.centrs "/>
        <s v="SAC &quot;Ludza&quot; - Garbari"/>
        <s v="SAC &quot;Ludza&quot; - Istalsna"/>
        <s v="SAC &quot;Mūsmājas&quot; - Kārsava"/>
        <s v="Atbalsts bezdarba gadījumā"/>
        <s v="Sociālie pabalsti (pašvaldības līdzekļi)"/>
        <s v="Bāriņtiesa"/>
        <s v="Sociālais dienests"/>
        <s v="Līdzekļi neparedzētiem gadījumiem"/>
        <s v="Lauku teritorijas" u="1"/>
        <s v="Zilupe" u="1"/>
        <s v="Ludza" u="1"/>
        <s v="Kārsava" u="1"/>
        <s v="Projekts uzņēmējd.veicin. Ludza/Kārs/Cibla nov." u="1"/>
        <s v="Daudzfunkcionālais sociālo pak.centrs Ludza m/d" u="1"/>
        <s v="Daudzfunkcionālais sociālo pak.centrs Kārsava m/d" u="1"/>
        <s v="SAC" u="1"/>
        <s v="Mežvidu mājas aprūpes mobilā grupa" u="1"/>
      </sharedItems>
    </cacheField>
    <cacheField name="Izdevumi" numFmtId="0">
      <sharedItems containsBlank="1" count="606">
        <s v="Administratīvā nodaļa"/>
        <s v="Kārtējie remonti"/>
        <s v="Apliecinājuma karte dzimtsar.zāles atj.Raiņa 16a"/>
        <s v="Dzimtsarakstu zāles remonts Raiņa 16a Ludza"/>
        <s v="Deputāti"/>
        <s v="Deputātu (vadība) atlīdzība"/>
        <s v="Pārējo deputātu  atlīdzība"/>
        <s v="Kompensāc.bijušajiem alg.deput.(pensionāriem)"/>
        <s v="Pārējie izdevumi"/>
        <s v="Darbinieku atlīdzībai"/>
        <s v="Uzturēšanas izdevumiem"/>
        <s v="Juridiskā nodaļa"/>
        <s v="Dzimtsarakstu nodaļa"/>
        <s v="Finanšu un grāmatvedības"/>
        <s v="Būvvalde"/>
        <s v="Informācijas tehnoloģiju nodaļa"/>
        <s v="Attīstības un nekustamā īpašuma nodaļa"/>
        <s v="Dalība izstādē &quot;Latgales uzņēmēju gada diena&quot;"/>
        <s v="Nekustamā īpašuma pārvaldības nodaļa"/>
        <s v="Nekustamo īpašumu vērtēšana"/>
        <s v="Nekustamo īpašumu kad.uzmērīšana, reģistrācija"/>
        <s v="Kopā"/>
        <s v="Kārsavas pilsētas pārvalde"/>
        <s v="Zilupes pilsētas pārvalde"/>
        <m/>
        <s v="Briģu pagasta pārvalde"/>
        <s v="Briģu pagasta bibliotēka"/>
        <s v="Pārējā teritoriju apsaimniekošanas darbība-Briģi"/>
        <s v="Mājokļu apsaimniekošana"/>
        <s v="Ielu apgaismošana"/>
        <s v="Dzīvojamo māju uzkrājuma fonds"/>
        <s v="Dzīv.mājas &quot;Rītavēji&quot; rem.saist noteikumi"/>
        <s v="Notekūdeņuapsaimniekošanai"/>
        <s v="Virsbāzes izdevumi"/>
        <s v="Tautas namu pasākumi :Līgo svētki,LR svētki,Ziemassvētki,dāvanas"/>
        <s v="Ielu apgaismojuma uzstādīšana"/>
        <s v="Zāles traktora remonts_x000a_"/>
        <s v="Atpūtas vieta Brigos"/>
        <s v="Gajēju celiņš pie fvp"/>
        <s v="Norādījuma zīmes uz Ebreju kapiem un J.Slobodkas baznīcu"/>
        <s v="Tualete Brigu kapos"/>
        <s v="Cirmas pagasta pārvalde"/>
        <s v="Dzīv.mājas &quot;Korallīši&quot; uzkrājuma fonds"/>
        <s v="Pārējā teritoriju apsaimniekošanas darbība"/>
        <s v="Cirmas pagasta bibliotēka"/>
        <s v="Feldšeru punkta uzturēšanai"/>
        <s v="Inventārs Feldšeru vecmāšu punktam"/>
        <s v="Notekūdeņu dīķu tīrīšana"/>
        <s v="Futbola laukuma norobežojošais tīkls"/>
        <s v="Labiekārtošanai sīkais inventārs"/>
        <s v="Pārvaldes ēkai jaunas ieejas durvis"/>
        <s v="Pārvaldes ēkas remontam"/>
        <s v="Inventārs bibliotēkai"/>
        <s v="diskotēka"/>
        <s v="jaunu metāla durvju ielikšanai, apdarei un loga metāla režģa izgatavošanai Kabinets tiks pielāgots un izmantots Ludzas novada Bāriņtiesas arhīvam"/>
        <s v="Isnaudas pagasta pārvalde"/>
        <s v="Pasākumi lauksaimniecības uzlabošanai"/>
        <s v="Isnaudas pagasta bibliotēka"/>
        <s v="Istalsnas bibliotēka"/>
        <s v="Isnaudas tautas nams"/>
        <s v="Istalsnas tautas nams"/>
        <s v="Dzīv.mājas &quot;Lordi&quot; uzkrājuma fonds"/>
        <s v="Istalsnas FAP Feldšeru punkta uzturēšanai "/>
        <s v="Anšupānu kapu žogs"/>
        <s v="Gaisa kondicionieri pārvaldes ēkā"/>
        <s v="Pagasta ēkas 1.stāva un pagraba elektroinst.rem."/>
        <s v="Augstspiediena kanalizācijas trašu skalotājs"/>
        <s v="Istras pagasta pārvalde"/>
        <s v="Logu un durvju nomaiņa dzīvojamai ēkai"/>
        <s v="Dūmvada ierīkošana pašvaldības dzīvoklī"/>
        <s v="Pludmales elementu uzstādīšana"/>
        <s v="Ieejas celiņa remonts pie pagasta ēkas"/>
        <s v="Dators Pagasta pārvale"/>
        <s v="Ūdensvada posma remontmateriāli"/>
        <s v="Ugunsdzēsības dīķa tīrīšana"/>
        <s v="Ugunsdzēsības dīķa žoga ierīkošana"/>
        <s v="Trimeris"/>
        <s v="Bibliotēka toneri"/>
        <s v="TN durvis rezerves izejai"/>
        <s v="TN žalūzijas"/>
        <s v="Nirzas pagasta pārvalde"/>
        <s v="Lauksaimniecība"/>
        <s v="Nirzas pagasta bibliotēka"/>
        <s v="Nirzas tautas nams"/>
        <s v="Ūdens kvalitātes uzlabošana, filtru nomaiņa Nirzas c."/>
        <s v="Zāles plāvējs"/>
        <s v="Norādes uz kapiem"/>
        <s v="Horošovas kapu žogs"/>
        <s v="Bibliotēkas remonts"/>
        <s v="Invalīdu uzbrauktuve pie feldšeru punkta"/>
        <s v="Pludmales aprīkojums"/>
        <s v="Ielu apgaismojums"/>
        <s v="Attīrīš.iek.c.Raipole dīķu tīrīšana, aku remonts"/>
        <s v="Ņukšu pagasta pārvalde"/>
        <s v="Rotaļu laukuma projektēšana , līguma izpilde"/>
        <s v="Pildas pagasta pārvalde"/>
        <s v="Ambulance"/>
        <s v="Ūdensvada ierīkošana Mednieku ielā un akas remonts"/>
        <s v="Apkures katls"/>
        <s v="Šķirpānu kapu žoga ierīkošana"/>
        <s v="Rogaižas kapu žoga izbūve (žoga tīkls 280m, 140 stabiņi, 2 vārtiņi)"/>
        <s v="Ūdens sagatavošanas stacijas tehnoloģ.aprīkojums"/>
        <s v="Malkas šķūnis (apliecinājuma kartes izstrāde)"/>
        <s v="Kanal.tīkla pārbūve un māju &quot;Dūjas&quot;piesl.kanaliz."/>
        <s v="Pureņu pagasta pārvalde"/>
        <s v="Žoga ierīkošana ap Arkanu kapiem"/>
        <s v="Zapānu kapu sakopšana (atkritumu izv., norādes)"/>
        <s v="Rundēnu pagasta pārvalde"/>
        <s v="Lauksaimniecības speciālists"/>
        <s v="Atkritumu apsaimniekošana"/>
        <s v="Katlu māja"/>
        <s v="Notekūdeņu apsaimniekošana"/>
        <s v="Ūdensapgāde"/>
        <s v="Teritoriju apsaimniekošana"/>
        <s v="Dzīv.mājas &quot;Lapegles&quot; uzkrājuma fonds"/>
        <s v="Saistošie noteik.-jumta sakārtoš.&quot;Lapegles&quot;projekts"/>
        <s v="Saistošie noteik.-jumta sakārtošanai &quot;Lapegles&quot;"/>
        <s v="Jumta sakārtošanai &quot;Lapegles&quot;"/>
        <s v="Rundēnu pagasta bibliotēka"/>
        <s v="Rundenu pagasta tautas nams"/>
        <s v="Kanalizācijas aku remonts"/>
        <s v="OBS plāksnes TN logu aizsegšanai"/>
        <s v="Zāles pļaujmašīna traktoram"/>
        <s v="Žoga ierīkošana Rundēnu kapos"/>
        <s v="tehniskās dokumentācijas izstrāde"/>
        <s v="Pludmales ierīkošana dīķa krastā"/>
        <s v="Gājēju celiņa remonts pie pagasta pārvaldes ēkas"/>
        <s v="Blontu pagasta pārvalde"/>
        <s v="Mājokļu  apsaimniekošana"/>
        <s v="Bibliotēka"/>
        <s v="Tautas nams"/>
        <s v="FVP"/>
        <s v="Ciema ainavas projekta izstrāde sadarbībā ar LLU studentiem"/>
        <s v="Sintezators"/>
        <s v="kanalizācijas sistēmas ierīkošana (zemes atsavināšana zem pašvaldībai piederošas sūknētavas pēc īpašnieka iniciatīvas un ar to saistītie izdevumi) (elektrības pieslēguma ierīkošana attīrīšanas ietaisēm)"/>
        <s v="Zāles pļavēja iegāde(dome)"/>
        <s v="datortehnika (bibliotēka)"/>
        <s v="datortehnika (grāmatvedība)"/>
        <s v="Attīstības nodaļa projekti"/>
        <s v="Ceļu remontu projektu realizācija"/>
        <s v="Jumta remonts daudzdzīvokļu mājai Dīķīši"/>
        <s v="Ciblas pagasta pārvalde"/>
        <s v="Mājokļu  apsimniekošana"/>
        <s v="Ciblas bibliotēka"/>
        <s v="Felicianovas bibliotēka"/>
        <s v="Granulu apkures katls,Ciblas pagasta pārvaldes ēkai."/>
        <s v="Gaisa pūtēja iegāde attīrīšanas iekārtām"/>
        <s v="individuālo māju pievienošana kanalizācijas tīklam"/>
        <s v="zāles pļāvēja iegāde(dome)"/>
        <s v="Lapenes uzstādīšana Ciblas estrādē"/>
        <s v="Jumta seguma nomaiņa , C.Felicianova,Rūpniecības iela 2"/>
        <s v="Dzīvokļa remonts,c.Felicianova, Liepu iela2"/>
        <s v="Jumta seguma nomaiņa , C.Felicianova,Vecā iela iela 2"/>
        <s v="Līdumnieku pagasta pārvalde"/>
        <s v="zāles pļāvēja iegāde (dome)"/>
        <s v="apkures katla iegāde"/>
        <s v="Pušmucovas pagasta pārvalde"/>
        <s v="motorzāģa un trimera iegāde(ūdensapgāde)"/>
        <s v="Zvirgzdenes pagasta pārvalde"/>
        <s v="LucmuižasFVP"/>
        <s v="Skaitītāji 10gab."/>
        <s v="datortehnika *bibliotēka"/>
        <s v="Goliševas pagasta pārvalde"/>
        <s v="Goliševas FVP"/>
        <s v="Goliševas pagasta bibliotēka"/>
        <s v="Goliševas kultūras nams"/>
        <s v="Dziļurbuma sūknis"/>
        <s v="Biodīķa tīrīšana"/>
        <s v="Motorzāģa iegāde"/>
        <s v="Malnavas pagasta pārvalde"/>
        <s v="Dzīvojamo māju apkure"/>
        <s v="Malnavas FVP"/>
        <s v="Malnavas pagasta Nesteru bibliotēka"/>
        <s v="Malnavas kultūras pasākumi"/>
        <s v="telefons"/>
        <s v="Augstspiediena mazgātāja iegāde"/>
        <s v="Ūdenstorņa aizsargsieta remonts jumta daļā"/>
        <s v="Traktorlāpstas remonta rezerves daļas"/>
        <s v="Inventārs"/>
        <s v="Pārsūknētavas kapitālais remonts"/>
        <s v="Siltummezglu izbūve"/>
        <s v="Mežvidu pagasta pārvalde"/>
        <s v="Mežvidu FVP"/>
        <s v="Mežvidu pagasta bibliotēka"/>
        <s v="Mežvidu pagasta Ranču bibliotēka"/>
        <s v="Mežvidu kultūras nams"/>
        <s v="Transporta pašvaldības īpašuma ‘’Skolotāju māja’’kad.Nr.68700060363 kanalizācijasun ūdensvada pieslēguma izveidošanai pie kopējās ūdens un kanalizācijas sistēmas."/>
        <s v="Datortehnikas iegāde bibliotēkai"/>
        <s v="Granulu katla iegāde "/>
        <s v="Monitors pagasta pārvaldes vadītājai"/>
        <s v="skaļruņi, klaviatūra, Id karšu lasītājs, pele pagasta pārvaldes vadītājai"/>
        <s v="Novērošanas kameras (2 gab) ar uzstādīšanu un citiem nepieciešamajiem materiāliem "/>
        <s v="Mērdzenes pagasta pārvalde"/>
        <s v="Mērdzenes FVP"/>
        <s v="Mērdzenes pagasta bibliotēka"/>
        <s v="Mērdzenes kultūras nams"/>
        <s v="Ģenerātora remonts"/>
        <s v="Inventārs KN"/>
        <s v="Biroja krēsla iegāde"/>
        <s v="Videokameras iegāde"/>
        <s v="Materiāli malkas šķūnim"/>
        <s v="Traktora piekabe"/>
        <s v="Salnavas pagasta pārvalde"/>
        <s v="Salnavas FVP"/>
        <s v="Salnavas pagasta bibliotēka"/>
        <s v="Salnavas kultūras nams"/>
        <s v="Lāzer printeris A4 "/>
        <s v="Krūmgriezis STIHL FS 131"/>
        <s v="Portatīvais dators"/>
        <s v="Lauderu pagasta pārvalde"/>
        <s v="Majokļu apsaimniekošana"/>
        <s v="Lauderu FAP"/>
        <s v="Lauderu pagasta bibliotēka"/>
        <s v="Lauderu pagasta kultūras centrs"/>
        <s v="Iesniegums  60 ūdens skaitītāju iegādei (pašvaldības iestādes un dzīvokļi)"/>
        <s v="Logu apmaiņu pārējās KN telpās"/>
        <s v="materiāli remontdarbiem"/>
        <s v=" mucas vākuma sūknis"/>
        <s v="kravas mikroavtobuss ar kasti un dubulto kabīni"/>
        <s v="pļaujmašīnas traktoram"/>
        <s v="Pasienes pagasta pārvalde"/>
        <s v="Pasienes ambulance"/>
        <s v="Pasienes pagasta bibliotēka"/>
        <s v="Pasienes tautas nams"/>
        <s v="kanalizācijas lūku vāki45"/>
        <s v="Pagasta ēkas ārsienu kosmētiskais rem., krāsošana"/>
        <s v="Žogs apkārt ūdens sūkņu stacijai Pasienē"/>
        <s v="visi pagasti kopā"/>
        <s v="Maksājumi par aizdevumiem"/>
        <s v="Pašvaldības policija"/>
        <s v="Automašīnas iegāde"/>
        <s v="Sabiedriskā kārtība (atskurbtuve)"/>
        <s v="Jauniešu nodarbinātība"/>
        <s v="Atlīdzība sabiedrisko darbu kordinatoram"/>
        <s v="Konkursa&quot;Esi uzņēmējs 2021&quot;un &quot;Step up&quot;"/>
        <s v="Konkursam&quot;Esi uzņēmējs 2022&quot;"/>
        <s v="Linu fabrika (elektroenerģijas izdevumi)"/>
        <s v="Krāslavas 1 būvpr.izmaiņas katlu mājas pielāgošanai"/>
        <s v="Krāslavas 1 būvpr.izmaiņas 'transf.apakšs. pārviet."/>
        <s v="Degrad. terit. revital. un raž.z. izveide Ludzas pilsētā"/>
        <s v="Algoto sab.darbu koordinēšana"/>
        <s v="Mežsaimniecība"/>
        <s v="Zivsaimniecība (Zivju fonda līdzekļi)"/>
        <s v="Projekts"/>
        <s v="Tehnikas uzturēšana"/>
        <s v="Mazā Ludzas ezera ekspluatācijas noteik.izstrāde"/>
        <s v="Zivju resursu atjaunošana"/>
        <s v="Uzturēšanas izdevumi, t.sk.tranzītiela EUR 9372"/>
        <s v="Rezerves fonds"/>
        <s v="Autoceļu fonda līdz.atl. uz 31.12.2021.-356980.71"/>
        <s v="Tilta pārb.pāri Garbarupi, Klusā ielā,Ludzā(pabeigš.)"/>
        <s v="Rītupes iela Pudinavā, Mērdzenes pag.(pabeigšana)"/>
        <s v="Teātra ielas posma asfaltēšana plānotie darbi"/>
        <s v="Mazā Telegrāfa ielas asfaltēšana plānotie darbi"/>
        <s v="Uzturēšanas izdevumi"/>
        <s v="Kapitālie izdevumi"/>
        <s v="Projekts uzņēmējd.veicin. Ludza/Kārs/Cibla nov."/>
        <s v="Autotransports - pamatbudžets"/>
        <s v="Ludza"/>
        <s v="Vasarnīcu ceļu-ielu uzturēšana"/>
        <s v="Daudzdzīvokļu māju pagalmu attīrīšana no sniega"/>
        <s v="Pārējie"/>
        <s v="Ludza lauku teritorijas"/>
        <s v="TIC"/>
        <s v="Finansējums pasākumiem LRTR Ezerzeme"/>
        <s v="Projekts BELLA CULTURA"/>
        <s v="Projekts From Hobby to business"/>
        <s v="Informatīvie stendi"/>
        <s v="Klientu plūsmas skaitītāji (2 gab.)"/>
        <s v="Tualete- konteiners vecpilsētā"/>
        <s v="Tīrības dienas pavasara, vasaras akcijas"/>
        <s v="Lielā talka Kārsava"/>
        <s v="Artēziskā urbuma tamponēšana Istras pag."/>
        <s v="Saistošie noteikumi-kanalizācijas pieslēgumi DRN"/>
        <s v="Saistošie noteikumi-kanalizācijas pieslēgumi p/b"/>
        <s v="Pārējie pakalpojumi"/>
        <s v="Ūdensvada un kanalizācijas tīklu renovācija Kārsavā"/>
        <s v="Teritoriju attīstība"/>
        <s v="Mājokļu attīstība. Novads"/>
        <s v="Komunālie pakalpojumi par brīvajiem dzīvokļiem"/>
        <s v="Pašvaldības dzīvokļu remonts"/>
        <s v="Ārkārtas situācijas -pašv.dzīvokļu remonts"/>
        <s v="Dūmvadu remonti pašv.daudzdzīvokļu mājās"/>
        <s v="Vienības ielā 34 Kārsavā soc.dzīvokļu ierīkošana"/>
        <s v="Savst.ieskaits, izp.remontd.no īres maksas peļņas daļas"/>
        <s v="Nekustamo īpašumu reģistrācija, vērtēšana"/>
        <s v="Saistošie noteik.-vēsturiskā centra sakārtošanai"/>
        <s v="Covid-19 aizsardzības pasākumi"/>
        <s v="Saistošie noteik.-mājokļu energoef.ES proj.ietvaros"/>
        <s v="Saistošie noteik.-mājokļu sakārtošanai"/>
        <s v="Māju jumtu nomaiņa pagastos"/>
        <s v="Dūmvadu nomaiņa mājokļos pagastos un pilsētās"/>
        <s v="Lietus ūdens kanalizācijas ierīk.māju pagalmos"/>
        <s v="Ūdensv. un kanaliz.pieslēgumi pašv.īpašumiem"/>
        <s v="Palīgēku būvniecība Stacijas 73,Tālavijas 6"/>
        <s v="Teritoriālā plānošana"/>
        <s v="Attīstības plāna grozījumi, 2017.gada līguma izpilde"/>
        <s v="Ūdensapgāde. Ludza"/>
        <s v="Saistošie noteikumi-ūdensvada pieslēgumi.Novads"/>
        <s v="Ielu apgaismošana. Ludza"/>
        <s v="Izdevumi par elektroenerģiju"/>
        <s v="Apkalpošana un avārijas situāciju likvidēšana"/>
        <s v="Līniju un balstu nomaiņa"/>
        <s v="Ielu apgaismošana. Kārsava"/>
        <s v="stabu nomaiņa un remonts"/>
        <s v="Ielu apgaismošana. Zilupe"/>
        <s v="Apkalpošana un tekošais remonts"/>
        <s v="Kapitālais remonts"/>
        <s v="Teritoriju apsaimniekošana. Ludza"/>
        <s v="Pilsētas ielu, parku, skvēru aps.deleģējuma līgums"/>
        <s v="Pludmales &quot;Radziņš&quot; sakārtošana"/>
        <s v="Bīstamo koku izzāģēšana"/>
        <s v="Klaiņojošo dzīvnieku izķeršana"/>
        <s v="Grāvju tīrīšana"/>
        <s v="No valsts pārņemto nek.īpašumu remonts"/>
        <s v="Nekustamo īpašumu iegāde"/>
        <s v="Kapličas remonta projektēšana, topogrāfija"/>
        <s v="Laukuma Raiņa 17 projektēšana, topogrāfija"/>
        <s v="Laukuma Raiņa 26 projektēšana, topogrāfija"/>
        <s v="Pontonu tilta projektēšana, būvdarbi"/>
        <s v="Projekts&quot;Ģimenei draudzīgā pašv. pontonu tiltam"/>
        <s v="Pontonu ierīkošana Dunakļu ez., Pildas, Istras pag."/>
        <s v="Ziemassvētku egle(dizains, dekorējums, uzstādīšana)"/>
        <s v="Projekts Latgales 242B nojaušana"/>
        <s v="Projekts SAM 5.6.2. - Linex  "/>
        <s v="Projekts NATTOUR"/>
        <s v="Teritoriju apsaimniekošana. Kārsava"/>
        <s v="Pilsētas ielu, parku, skvēru apsaimniekošana, deleģējuma līgums ar SIA &quot;Kārsavas namsaimnieks&quot;"/>
        <s v="Būvprojekts&quot;Gājēju takas izveide gar Šņitkas krastiem'"/>
        <s v="Skeitparka ierīkošana"/>
        <s v="Atkritumu laukuma Skolas ielā labiekārtošana"/>
        <s v="Kondicionieru ierīkošana pārvaldes ēkā 1 stāvā"/>
        <s v="Ēkas Vienības ielā 90 nojaukšana (atzinuma sagatavošana)"/>
        <s v="Teritoriju apsaimniekošana. Zilupe"/>
        <s v="Pacēlājs (ieguldījums pamatkapitālā Zilupe LTD)"/>
        <s v="Būvprojekta izstrāde būvobjektam - zemes gabala teritorijas labiekārtošanas darbi."/>
        <s v="Gājēju ietves izbūve Meža ielas posmā sākot no Brīvības ielas līdz Meža ielas (projekta izstr.)"/>
        <s v="Projekts  Veselības veicināšana (Ludza, Kārsava, Cibla)"/>
        <s v="Novada sporta pasākumiem"/>
        <s v="Pašvaldības budžeta dotācija sporta klubiem"/>
        <s v="Balvas par sasniegumiem sportā"/>
        <s v="Ciblas sporta kompleks"/>
        <s v="Galvenā bibliotēka"/>
        <s v="Plāksne ar bibliotēkas nosaukumu"/>
        <s v="Novada pasākumu organizēšana"/>
        <s v="Tehniskās dokumentācijas izstrāde pieejamības nodr."/>
        <s v="Datortehnika"/>
        <s v="Pakomāta skapis grāmatu izdošanai un saņemšanai"/>
        <s v="Projekts HOME"/>
        <s v="Kārsavas bibliotēka"/>
        <s v="Zilupes bibliotēka"/>
        <s v="Izdevumi par komunālajiem pakalpojumiem"/>
        <s v="Zaļesjes bibliotēka"/>
        <s v="Novadpētniecības muzejs"/>
        <s v="Ekspozīciju izveidošanai"/>
        <s v="Keramikas darbnīcas renovāc.tehn.dokum.izstrāde"/>
        <s v="Ekspozīciju zāles remonts"/>
        <s v="Zemnieku mājas jumta remonts"/>
        <s v="Mākslas plenēra organizēšana"/>
        <s v="Ludzas Lielā sinagoga"/>
        <s v="Rezerves fonds sinagogas atjaunoš. projekta ietvaros"/>
        <s v="Projekts Rīteiropas vērtības (pilskalns) elektroenerģija"/>
        <s v="Projekts Rīteiropas vērtības (pilskalns)"/>
        <s v="Kultūrvēsturiskais centrs &quot;Līču māja&quot;"/>
        <s v="Transformējami, saliekami izstāžu stendi 5 gab"/>
        <s v="Podesti, vitrīnas izstādēm"/>
        <s v="Plaukti mājražotāju produkcijas un suvenīru izvietošanai"/>
        <s v="Virtuves iekārta ar el. plīti, tvaika nosūcēju, trauku mazgājamo mašīnu un izlietni"/>
        <s v="Izlietnes ierīkošana"/>
        <s v="Virtuves un galda piederumi, tējkanna, termosi, trauki"/>
        <s v="Galds ar krēsliem"/>
        <s v="Saliekams galds un krēsli"/>
        <s v="Albums par Kārsavu un apkārtni No 1991 gada līdz mūsdienām"/>
        <s v="Spēles, puzles ar Kārsavas attēliem"/>
        <s v="Rotaļlietu izgatavošana ar tirgus tematiku"/>
        <s v="Materiāli radošajām darbnīcām"/>
        <s v="Fotokamera, printeris krāsainu attēlu drukai"/>
        <s v="Izstāžu aprīkojums - rāmīši, turētāji"/>
        <s v="Ludzas tautas nams"/>
        <s v="Kinoteātris"/>
        <s v="Siltumsistēmas remonts"/>
        <s v="Kāpņu telpas tekošais remonts"/>
        <s v="Pilsētas prezentācijas raidījums"/>
        <s v="Kārsavas TN"/>
        <s v="Ziemassvētku egles rotājumi"/>
        <s v="Līdzekļi telpu remontam"/>
        <s v="ELFLA projekts &quot;Aprīkojuma iegāde Kārsavas KN&quot;"/>
        <s v="Zilupes TN"/>
        <s v="Ieejas  durvju remonts"/>
        <s v="Skolēnu dziesmu un deju svētki. Ludza"/>
        <s v="Apraides (televīzijas) un pakalpojumi"/>
        <s v="Izdevniecības pakalpojumi"/>
        <s v="Atbalsts reliģiskām organizācijām un biedrībām"/>
        <s v="Pārējie kultūras pasākumi. Ludza"/>
        <s v="Pārējie kultūras pasākumi. Cibla"/>
        <s v="Pārējie kultūras pasākumi. Kārsava"/>
        <s v="Pilsētas svētki. Ludza"/>
        <s v="Pilsētas svētki. Kārsava"/>
        <s v="Pilsētas svētki. Zilupe"/>
        <s v="Balvas par sasniegumiem kultūrā"/>
        <s v="Piemaksas amatierkolektīviem par kvalitāti,1.pusg."/>
        <s v="Pārējie kultūras pasākumi"/>
        <s v="Amatierteātru festivāls &quot;Vezums&quot;"/>
        <s v="Imata Ziedoņa fonds &quot;Viegli&quot;"/>
        <s v="Latgaliešu kultūras balva&quot;Boņuks2020&quot;,Boņuks2021&quot;"/>
        <s v="Atbalsts biedrībai Latvijas aeroklubs"/>
        <s v="Fonds Sibīrijas bērni"/>
        <s v="Grāmata - Jeļena Arbuzova"/>
        <s v="Orientēšanās sacensības&quot; Kāpa 2021&quot;"/>
        <s v="Rīgas brāļu kapi, piecām jaunām kapu plāksnēm "/>
        <s v="Grāmatas&quot;No sirds -  Ludzai&quot; izdošanai (Nasledije)"/>
        <s v="Izglītība"/>
        <s v="PII &quot;Rūķītis&quot;"/>
        <s v="Ēdināšanas izdevumi"/>
        <s v="Pedagogu darba samaksa no pašvaldības pamatbudž."/>
        <s v="Pedagogu darba samaksa no mērķdotācijas"/>
        <s v="Mācību līdzekļu iegāde"/>
        <s v="Asistenta paklapojumi izglītības iestādē"/>
        <s v="Piemaksa ped.,skolot,pal.,auklēm Covid-19 p.laikā"/>
        <s v="Mācību līdzekļi &quot;Lielvārds&quot;"/>
        <s v="Skeneris virtuves blokam"/>
        <s v="Pārējie pamatlīdzekļi 2 diģitālie ekrāni"/>
        <s v="Spēļu laukumu aprīkojums"/>
        <s v="3.PII &quot;Namiņš&quot;"/>
        <s v="Dabīgās ventilācijas kanālu remonts"/>
        <s v="Ugunsaizsardzības sistēmas ierīkošana"/>
        <s v="Ēdināšanas bloka labiekārtošana"/>
        <s v="Zemes pagraba demontāžas projekts"/>
        <s v="Sporta laukuma seguma projektēšana"/>
        <s v="Grupu laukumu nojumes 6x 4000"/>
        <s v="Logu nomaiņa 2.daļa"/>
        <s v="Virtuves fasādes siltināšana"/>
        <s v="Fasādes remonts, atlikušā daļa"/>
        <s v="Drošas starpsienas ierīkošana iestādes zālē"/>
        <s v="Zibensaizsardzības sistēmas remontdarbi"/>
        <s v="Teritorijas žoga pārcelšana"/>
        <s v=" 2 kāpņu telpu kosmētiskais remonts"/>
        <s v="Telpas(zāles) kosmētiskais remonts"/>
        <s v="4.PII &quot;Pasaciņa&quot;"/>
        <s v="Nojume"/>
        <s v="Energoefektivitātes projekta izstrāde, ekspertīze"/>
        <s v="2 nojumes"/>
        <s v="Briģu PII"/>
        <s v="Diennakts grupas atpūtas telpas tek.remonts"/>
        <s v="Diennakts grupas guļamistabas telpas tek.remonts"/>
        <s v="Diennakts grupas tualešu telpu tek.remonts"/>
        <s v="Bērnu rotaļu laukuma elementu izgatavošana"/>
        <s v="Istras PII"/>
        <s v="Datori (stacionārais un portatīvais)"/>
        <s v="Plīts iegāde virtuvei"/>
        <s v="Pildas PII"/>
        <s v="Blontu PII"/>
        <s v="Bērnudārza žoga rekonstrukcija"/>
        <s v="Ciblas PII"/>
        <s v="Ēkas skursteņa nomaiņa (2021.g.nepabeigtie darbi)"/>
        <s v="Kārsavas PII"/>
        <s v="Par izglītības pakalpojumiem &quot;Zaļā skola&quot;"/>
        <s v="Digitālais māc.līdz. &quot;Sākam mācīties&quot;"/>
        <s v="Stāvlaukuma ierīkošana (projektēšana)"/>
        <s v="Ēdināšanas bloka-virtuves remonts (materiāli)"/>
        <s v="Telpas- zāles izbūve (izd. nav noteikti)"/>
        <s v="Iekšējo telpu, grupiņu remonti (izd. nav noteikti)"/>
        <s v="Mežvidu PII &quot;Saulīte&quot;"/>
        <s v="Žalūzijas guļamtelpā"/>
        <s v="Malnavas PII &quot;Sienāzītis&quot;"/>
        <s v="Siltummezgla ierīkošana"/>
        <s v="Digit.māc.līdz.skolotājam &quot;Sākam mācīties&quot;"/>
        <s v="Bērnu rotaļu laukuma atribūti"/>
        <s v="Zilupes PII"/>
        <s v="Komunālie pakalpojumi"/>
        <s v="Telpu remonts"/>
        <s v="3in1(skeneris, print., kopētājs) virtuves blokam"/>
        <s v="Pavisam PII"/>
        <s v="Ludzas pilsētas vidusskola"/>
        <s v="Latvijas skolas soma"/>
        <s v="Stipendijas izglītojamiem"/>
        <s v="Erasmus projekts 059783 _2 Variety in Eur...regions"/>
        <s v="Erasmus projekts 059783 _3 learn.from the h..."/>
        <s v="Projekts &quot;Vesels-Aktīvs-Zinošs&quot;"/>
        <s v="RoboNet projekta priekšfinansējums"/>
        <s v="Grīdas seguma nomaiņa 2.korpusa zālē"/>
        <s v="Srejriteņi, aizsargķiveres, ceļu aizsargi"/>
        <s v="Ventilācijas ierīkošana 2.korpusa virtuvē"/>
        <s v="Stacionārie datorkomplekti 2.korpusam, 15 gab."/>
        <s v="Interaktīvie ekrāni"/>
        <s v="Ludzas pilsētas vidusskola - baseins"/>
        <s v="Ludzas 2.vidusskola"/>
        <s v="Interaktīvie ekrāni sākumskolas posmam (21.g.plānotie izdevumi)"/>
        <s v="Interaktīvā tāfele "/>
        <s v="5 stacionārie datori"/>
        <s v="Fasādes remonts un krāsošana(no Skolas ielas puses)"/>
        <s v="Fasādes remonts un krāsošana"/>
        <s v="Hiberklases iegāde (izdevumi nav noteikti)"/>
        <s v="Ludzas 2.vidusskola - dienesta viesnīca"/>
        <s v="Pildas pamatskola"/>
        <s v="Inventarizācijas lieta"/>
        <s v="10 planšetdatori un uzlādēšanas galds"/>
        <s v="Ciblas vidusskola"/>
        <s v="Robotu komplekts robotikas pulciņa nodarbībām"/>
        <s v="Projekts &quot;'Ment. veselības stabilizēšana Covid-19..&quot;"/>
        <s v="Atbalsts.priekšl.māc.samazin pUMPURS"/>
        <s v="Pušmucovas pamatskola"/>
        <s v="Datortehnika un WIFI tīkla izbūve"/>
        <s v="Kārsavas vidusskola"/>
        <s v="Skolas pagalma, piebr. ceļu, trotuāru asfaltēšana"/>
        <s v="Ugunsdz. un apziņ. sist. proj. un izbūve. sk. galv.korp. "/>
        <s v="Mežvidu pamatskola"/>
        <s v="4 stacionārie datori"/>
        <s v="1 interaktīvā tāfele"/>
        <s v="2 logi 1.stāvā"/>
        <s v="Mērdzenes pamatskola"/>
        <s v="Pedagogu darba samaksa no mērķdotācijas PII grupa"/>
        <s v="Mācību līdzekļu iegāde PII"/>
        <s v="Salnavas pamatskola"/>
        <s v="Asistenta pakalpojumi izglītības iestādē"/>
        <s v="Zilupes vidusskola"/>
        <s v="Signalizācija fiz.kab. un sākumskolas bēniņos"/>
        <s v="Kārtējais remonts"/>
        <s v="Pavisam skolas"/>
        <s v="Ludzas mūzikas pamatskola"/>
        <s v="Pedagogu darba samaksa no mērķdotācijas visp.izgl."/>
        <s v="Pedagogu darba samaksa no kultūras ministrijas"/>
        <s v="Akreditācijas izdevumi"/>
        <s v="Naudas balvas par sasniegumiem konkursos"/>
        <s v="Papildus pārtikas pakām"/>
        <s v="Sporta zāles pārbūve par kamerzāli"/>
        <s v="1.kabineta kosmētiskais remonts"/>
        <s v="Skolas  teritorijas labiekārtošana"/>
        <s v="2 interaktīvie ekrāni"/>
        <s v="Portatīvais dators, datortehnika"/>
        <s v="Koridoru, vestibila kosm.rem.,logu nomaiņa aktu zālē"/>
        <s v="Segums āra spēļu laukumam"/>
        <s v="J.Soikāna Mākslas skola"/>
        <s v="Projekts CraftWays"/>
        <s v="Būvniecības ieceres projekta aktualizācija"/>
        <s v="Kārsavas Mūzikas un mākslas skola"/>
        <s v="Zilupes Mūzikas un mākslas skola"/>
        <s v="Samaksa par komunālajiem pakalpojumiem"/>
        <s v="Ludzas novada Sporta skola"/>
        <s v="Pedagogu darba samaksa no mērķd.interešu izgl."/>
        <s v="Datortehnika un mēbeles sporta organizatoram"/>
        <s v="Stadiona būvprojekta izstrāde"/>
        <s v="Stadiona būvprojekta izstrāde (ekspertīze)"/>
        <s v="1.stāva svarcelšanas zāles grīdas remonts"/>
        <s v="Svarcelšanas zāles atjaunošana"/>
        <s v="Bērnu un jauniešu centrs"/>
        <s v="Erasmus HAND MADE"/>
        <s v="Projekts Proti un dari"/>
        <s v="Transporta daļa (ieķlauta iestāžu degviela) Ludza"/>
        <s v="Transporta daļa (ieķlauta iestāžu degviela) Kārsava"/>
        <s v="Transporta daļa (iekļauta iestāžu degviela) Zilupe"/>
        <s v="Transporta daļa (iekļauta iestāžu degviela) Blonti"/>
        <s v="Transporta daļa (iekļauta iestāžu degviela) Līdumnieki"/>
        <s v="Izglītības  pārvalde"/>
        <s v="Pedagogu darba samaksa"/>
        <s v="Nod.pers.prof.kompetences pilnveide"/>
        <s v="Projekts Karjeras atbalsts..."/>
        <s v="Projekts Kompetenču attīstība..."/>
        <s v="Proj. Labbūtības ceļakartes aktivitāšu īstenošana"/>
        <s v="Savstarpējie nor. par izglītības pak.izp.uz 23.11.21."/>
        <s v="Sociālā nodrošināšana"/>
        <s v="Sociālā aizs. Invalid. gadījumā - asistenti m/d"/>
        <s v="Mājas aprūpe"/>
        <s v="2 telpu renovācija sociālās aprūpes nodaļā Kārsavā (Neizmantotie līdzekļi 2021.g.Pamatkapitāla palielin.Kārsavas slimnīca)_x000a_"/>
        <s v="Mežvidu mājas aprūpes mobilā grupa"/>
        <s v="Daudzfunkcionālais sociālo pak.centrs Ludza m/d"/>
        <s v="Daudzfunkcionālais sociālo pak.centrs Kārsava m/d"/>
        <s v="SAC &quot;Ludza&quot; - Garbari"/>
        <s v="Administrācijas ēkas telpu remonts"/>
        <s v="Administrācijas ēkas telpu remonta pabeigšana"/>
        <s v="SAC &quot;Ludza&quot; - Istalsna"/>
        <s v="Veļas žāvēšanas nojume"/>
        <s v="Panduss ar margām"/>
        <s v="Lifta remonts"/>
        <s v="Ēkas 2.stāva telpu remonts 2.daļa"/>
        <s v="Ēkas 2.stāva telpu aprīkojums"/>
        <s v="Līdzfinansējums LEADER projektam"/>
        <s v="Malkas šķūņa remonts (granulu glābašanas vietne)"/>
        <s v="SAC &quot;Mūsmājas&quot; - Kārsava"/>
        <s v="Atbalsts bezdarba gadījumā"/>
        <s v="Atbalsts gados veciem cilvēkiem"/>
        <s v="Atbalsts ģimenēm ar bērniem"/>
        <s v="BJĀAC &quot;Ozoli&quot; Madonas nov.pašvaldība"/>
        <s v="Mājokļa atbalsts"/>
        <s v="Pabalsti maznodroš. un neaizsarg.personām"/>
        <s v="GMI"/>
        <s v="Bāriņtiesa"/>
        <s v="Sociālais dienests"/>
        <s v="Darbs ar asistentu darbības nodrošināšanu"/>
        <s v="DI pasākumu īstenošana m/d"/>
        <s v="Projekts Sociālā darba attīstība m/d"/>
        <s v="Līdzekļi neparedzētiem gadījumiem"/>
        <s v="Vides piesārņojuma samaz.un  novērš. Novads.DRN" u="1"/>
        <s v="KAC" u="1"/>
        <s v="Kārsava" u="1"/>
        <s v="Ekonomiskā darbība" u="1"/>
        <s v=" " u="1"/>
        <s v="Atbalsts uzņēmējdarbībai" u="1"/>
        <s v="Sporta pasākumi" u="1"/>
        <s v="Pavisam " u="1"/>
        <s v="Atpūta, kultūra, reliģija" u="1"/>
        <s v="Zilupe" u="1"/>
        <s v="Lauku teritorijas" u="1"/>
        <s v="Notekūdeņu apsaimniekošana. Novads" u="1"/>
        <s v="Autotransports - autoceļu fonds" u="1"/>
        <s v="Sociālie pabalsti (pašvaldības līdzekļi)" u="1"/>
      </sharedItems>
    </cacheField>
    <cacheField name="Atlīdzība" numFmtId="3">
      <sharedItems containsString="0" containsBlank="1" containsNumber="1" containsInteger="1"/>
    </cacheField>
    <cacheField name="Pārējie" numFmtId="3">
      <sharedItems containsString="0" containsBlank="1" containsNumber="1" containsInteger="1"/>
    </cacheField>
    <cacheField name="P/līdzekļi" numFmtId="0">
      <sharedItems containsString="0" containsBlank="1" containsNumber="1" containsInteger="1"/>
    </cacheField>
    <cacheField name="Kopā" numFmtId="3">
      <sharedItems containsBlank="1" containsMixedTypes="1" containsNumber="1" containsInteger="1"/>
    </cacheField>
    <cacheField name="Atlīdzība bāze" numFmtId="3">
      <sharedItems containsString="0" containsBlank="1" containsNumber="1" containsInteger="1"/>
    </cacheField>
    <cacheField name="Pārējie bāze" numFmtId="3">
      <sharedItems containsString="0" containsBlank="1" containsNumber="1" containsInteger="1"/>
    </cacheField>
    <cacheField name="P/līdz. Bāze" numFmtId="3">
      <sharedItems containsString="0" containsBlank="1" containsNumber="1" containsInteger="1"/>
    </cacheField>
    <cacheField name="Kopā bāze" numFmtId="3">
      <sharedItems containsString="0" containsBlank="1" containsNumber="1" containsInteger="1"/>
    </cacheField>
    <cacheField name="(+;-)" numFmtId="3">
      <sharedItems containsString="0" containsBlank="1" containsNumber="1" containsInteger="1"/>
    </cacheField>
    <cacheField name="Mērķdot." numFmtId="3">
      <sharedItems containsString="0" containsBlank="1" containsNumber="1" containsInteger="1"/>
    </cacheField>
    <cacheField name="Virsbāzes atbalstītie izdevumi" numFmtId="0">
      <sharedItems containsString="0" containsBlank="1" containsNumber="1" containsInteger="1"/>
    </cacheField>
    <cacheField name="Investīcijas" numFmtId="0">
      <sharedItems containsString="0" containsBlank="1" containsNumber="1" containsInteger="1"/>
    </cacheField>
    <cacheField name="neatb.2021.g." numFmtId="3">
      <sharedItems containsString="0" containsBlank="1" containsNumber="1" containsInteger="1"/>
    </cacheField>
    <cacheField name="neatb.2022.g." numFmtId="3">
      <sharedItems containsString="0" containsBlank="1" containsNumber="1" containsInteger="1"/>
    </cacheField>
    <cacheField name="Kopsumma projekti" numFmtId="3">
      <sharedItems containsString="0" containsBlank="1" containsNumber="1" containsInteger="1"/>
    </cacheField>
    <cacheField name="pašv.līdz." numFmtId="3">
      <sharedItems containsString="0" containsBlank="1" containsNumber="1" containsInteger="1"/>
    </cacheField>
    <cacheField name="proj.līdz." numFmtId="3">
      <sharedItems containsString="0" containsBlank="1" containsNumber="1" containsInteger="1"/>
    </cacheField>
    <cacheField name="aizņēmums" numFmtId="3">
      <sharedItems containsString="0" containsBlank="1" containsNumber="1" containsInteger="1"/>
    </cacheField>
    <cacheField name="viss kopā" numFmtId="0" formula="'Atlīdzība bāze'+'Pārējie bāze'+'P/līdz. Bāze'+Mērķdot.+'Virsbāzes atbalstītie izdevumi'+Investīcijas+'Kopsumma projekti'" databaseField="0"/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15">
  <r>
    <x v="0"/>
    <x v="0"/>
    <x v="0"/>
    <n v="181654"/>
    <n v="167234"/>
    <n v="7127"/>
    <n v="356015"/>
    <n v="260290"/>
    <n v="242567"/>
    <n v="5000"/>
    <n v="507857"/>
    <n v="151842"/>
    <m/>
    <m/>
    <m/>
    <m/>
    <m/>
    <m/>
    <m/>
    <m/>
    <m/>
  </r>
  <r>
    <x v="0"/>
    <x v="0"/>
    <x v="1"/>
    <m/>
    <n v="3745"/>
    <m/>
    <n v="3745"/>
    <m/>
    <n v="47135"/>
    <m/>
    <n v="47135"/>
    <n v="43390"/>
    <m/>
    <m/>
    <m/>
    <n v="25000"/>
    <m/>
    <m/>
    <m/>
    <m/>
    <m/>
  </r>
  <r>
    <x v="0"/>
    <x v="0"/>
    <x v="2"/>
    <m/>
    <m/>
    <m/>
    <n v="0"/>
    <m/>
    <m/>
    <m/>
    <n v="0"/>
    <n v="0"/>
    <m/>
    <m/>
    <n v="5000"/>
    <m/>
    <m/>
    <m/>
    <m/>
    <m/>
    <m/>
  </r>
  <r>
    <x v="0"/>
    <x v="0"/>
    <x v="3"/>
    <m/>
    <m/>
    <m/>
    <n v="0"/>
    <m/>
    <m/>
    <m/>
    <n v="0"/>
    <n v="0"/>
    <m/>
    <m/>
    <n v="20000"/>
    <m/>
    <m/>
    <m/>
    <m/>
    <m/>
    <m/>
  </r>
  <r>
    <x v="0"/>
    <x v="1"/>
    <x v="4"/>
    <m/>
    <m/>
    <m/>
    <n v="0"/>
    <m/>
    <m/>
    <m/>
    <n v="0"/>
    <n v="0"/>
    <m/>
    <m/>
    <m/>
    <m/>
    <m/>
    <m/>
    <m/>
    <m/>
    <m/>
  </r>
  <r>
    <x v="0"/>
    <x v="1"/>
    <x v="5"/>
    <m/>
    <m/>
    <m/>
    <n v="0"/>
    <n v="153097"/>
    <m/>
    <m/>
    <n v="153097"/>
    <n v="153097"/>
    <m/>
    <m/>
    <m/>
    <m/>
    <m/>
    <m/>
    <m/>
    <m/>
    <m/>
  </r>
  <r>
    <x v="0"/>
    <x v="1"/>
    <x v="6"/>
    <n v="307226"/>
    <m/>
    <m/>
    <n v="307226"/>
    <n v="82806"/>
    <m/>
    <m/>
    <n v="82806"/>
    <n v="-224420"/>
    <m/>
    <m/>
    <m/>
    <m/>
    <m/>
    <m/>
    <m/>
    <m/>
    <m/>
  </r>
  <r>
    <x v="0"/>
    <x v="1"/>
    <x v="7"/>
    <m/>
    <n v="77068"/>
    <m/>
    <n v="77068"/>
    <m/>
    <n v="91381"/>
    <m/>
    <n v="91381"/>
    <n v="14313"/>
    <m/>
    <m/>
    <m/>
    <m/>
    <m/>
    <m/>
    <m/>
    <m/>
    <m/>
  </r>
  <r>
    <x v="0"/>
    <x v="1"/>
    <x v="8"/>
    <m/>
    <n v="2386"/>
    <m/>
    <n v="2386"/>
    <m/>
    <n v="3299"/>
    <m/>
    <n v="3299"/>
    <n v="913"/>
    <m/>
    <m/>
    <m/>
    <m/>
    <m/>
    <m/>
    <m/>
    <m/>
    <m/>
  </r>
  <r>
    <x v="0"/>
    <x v="2"/>
    <x v="9"/>
    <n v="67374"/>
    <m/>
    <m/>
    <n v="67374"/>
    <n v="36111"/>
    <m/>
    <m/>
    <n v="36111"/>
    <n v="-31263"/>
    <n v="26400"/>
    <m/>
    <m/>
    <m/>
    <m/>
    <m/>
    <m/>
    <m/>
    <m/>
  </r>
  <r>
    <x v="0"/>
    <x v="2"/>
    <x v="10"/>
    <m/>
    <n v="8629"/>
    <m/>
    <n v="8629"/>
    <m/>
    <n v="3960"/>
    <m/>
    <n v="3960"/>
    <n v="-4669"/>
    <n v="3960"/>
    <m/>
    <m/>
    <m/>
    <m/>
    <m/>
    <m/>
    <m/>
    <m/>
  </r>
  <r>
    <x v="0"/>
    <x v="3"/>
    <x v="11"/>
    <n v="74198"/>
    <n v="1467"/>
    <n v="964"/>
    <n v="76629"/>
    <n v="105354"/>
    <n v="19647"/>
    <n v="2200"/>
    <n v="127201"/>
    <n v="50572"/>
    <m/>
    <m/>
    <m/>
    <m/>
    <m/>
    <m/>
    <m/>
    <m/>
    <m/>
  </r>
  <r>
    <x v="0"/>
    <x v="4"/>
    <x v="12"/>
    <n v="51925"/>
    <n v="5130"/>
    <m/>
    <n v="57055"/>
    <n v="58085"/>
    <n v="5222"/>
    <n v="2000"/>
    <n v="65307"/>
    <n v="8252"/>
    <m/>
    <m/>
    <m/>
    <m/>
    <m/>
    <m/>
    <m/>
    <m/>
    <m/>
  </r>
  <r>
    <x v="0"/>
    <x v="5"/>
    <x v="13"/>
    <n v="638597"/>
    <n v="59871"/>
    <n v="26681"/>
    <n v="725149"/>
    <n v="595596"/>
    <n v="17561"/>
    <n v="4600"/>
    <n v="617757"/>
    <n v="-107392"/>
    <m/>
    <m/>
    <m/>
    <m/>
    <m/>
    <m/>
    <m/>
    <m/>
    <m/>
  </r>
  <r>
    <x v="0"/>
    <x v="6"/>
    <x v="14"/>
    <n v="84693"/>
    <n v="5723"/>
    <n v="950"/>
    <n v="91366"/>
    <n v="106111"/>
    <n v="4310"/>
    <n v="1000"/>
    <n v="111421"/>
    <n v="20055"/>
    <m/>
    <m/>
    <m/>
    <m/>
    <m/>
    <m/>
    <m/>
    <m/>
    <m/>
  </r>
  <r>
    <x v="0"/>
    <x v="7"/>
    <x v="15"/>
    <m/>
    <m/>
    <m/>
    <n v="0"/>
    <n v="116030"/>
    <n v="67274"/>
    <n v="4750"/>
    <n v="188054"/>
    <n v="188054"/>
    <m/>
    <m/>
    <m/>
    <m/>
    <m/>
    <m/>
    <m/>
    <m/>
    <m/>
  </r>
  <r>
    <x v="0"/>
    <x v="8"/>
    <x v="16"/>
    <n v="282159"/>
    <n v="72604"/>
    <n v="5000"/>
    <n v="359763"/>
    <n v="178816"/>
    <n v="4348"/>
    <n v="1000"/>
    <n v="184164"/>
    <n v="-175599"/>
    <m/>
    <m/>
    <m/>
    <m/>
    <m/>
    <m/>
    <m/>
    <m/>
    <m/>
  </r>
  <r>
    <x v="0"/>
    <x v="8"/>
    <x v="17"/>
    <m/>
    <n v="2178"/>
    <m/>
    <n v="2178"/>
    <m/>
    <n v="2178"/>
    <m/>
    <n v="2178"/>
    <n v="0"/>
    <m/>
    <m/>
    <m/>
    <m/>
    <m/>
    <m/>
    <m/>
    <m/>
    <m/>
  </r>
  <r>
    <x v="0"/>
    <x v="9"/>
    <x v="18"/>
    <m/>
    <m/>
    <m/>
    <m/>
    <n v="181887"/>
    <n v="9443"/>
    <m/>
    <n v="191330"/>
    <n v="191330"/>
    <m/>
    <m/>
    <m/>
    <m/>
    <m/>
    <m/>
    <m/>
    <m/>
    <m/>
  </r>
  <r>
    <x v="0"/>
    <x v="9"/>
    <x v="19"/>
    <m/>
    <m/>
    <m/>
    <n v="0"/>
    <m/>
    <n v="40000"/>
    <m/>
    <n v="40000"/>
    <n v="40000"/>
    <m/>
    <m/>
    <m/>
    <m/>
    <m/>
    <m/>
    <m/>
    <m/>
    <m/>
  </r>
  <r>
    <x v="0"/>
    <x v="9"/>
    <x v="20"/>
    <m/>
    <m/>
    <m/>
    <m/>
    <m/>
    <n v="40000"/>
    <m/>
    <n v="40000"/>
    <n v="40000"/>
    <m/>
    <m/>
    <m/>
    <m/>
    <m/>
    <m/>
    <m/>
    <m/>
    <m/>
  </r>
  <r>
    <x v="1"/>
    <x v="10"/>
    <x v="21"/>
    <n v="1687826"/>
    <n v="406035"/>
    <n v="40722"/>
    <n v="2134583"/>
    <n v="1874183"/>
    <n v="598325"/>
    <n v="20550"/>
    <n v="2493058"/>
    <n v="358475"/>
    <n v="30360"/>
    <n v="0"/>
    <n v="25000"/>
    <n v="25000"/>
    <n v="0"/>
    <n v="0"/>
    <n v="0"/>
    <n v="0"/>
    <n v="0"/>
  </r>
  <r>
    <x v="2"/>
    <x v="11"/>
    <x v="22"/>
    <m/>
    <m/>
    <m/>
    <m/>
    <n v="38052"/>
    <n v="12625"/>
    <m/>
    <n v="50677"/>
    <n v="50677"/>
    <m/>
    <m/>
    <m/>
    <m/>
    <m/>
    <m/>
    <m/>
    <m/>
    <m/>
  </r>
  <r>
    <x v="1"/>
    <x v="10"/>
    <x v="21"/>
    <n v="0"/>
    <n v="0"/>
    <n v="0"/>
    <n v="0"/>
    <n v="38052"/>
    <n v="12625"/>
    <n v="0"/>
    <n v="50677"/>
    <n v="50677"/>
    <n v="0"/>
    <n v="0"/>
    <n v="0"/>
    <n v="0"/>
    <n v="0"/>
    <n v="0"/>
    <n v="0"/>
    <n v="0"/>
    <n v="0"/>
  </r>
  <r>
    <x v="2"/>
    <x v="12"/>
    <x v="23"/>
    <m/>
    <m/>
    <m/>
    <m/>
    <n v="58943"/>
    <n v="10031"/>
    <m/>
    <n v="68974"/>
    <n v="68974"/>
    <m/>
    <m/>
    <m/>
    <m/>
    <m/>
    <m/>
    <m/>
    <m/>
    <m/>
  </r>
  <r>
    <x v="1"/>
    <x v="10"/>
    <x v="21"/>
    <n v="0"/>
    <n v="0"/>
    <n v="0"/>
    <n v="0"/>
    <n v="58943"/>
    <n v="10031"/>
    <n v="0"/>
    <n v="68974"/>
    <n v="68974"/>
    <n v="0"/>
    <n v="0"/>
    <n v="0"/>
    <n v="0"/>
    <n v="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13"/>
    <x v="25"/>
    <n v="29545"/>
    <n v="6616"/>
    <m/>
    <n v="36161"/>
    <n v="21477"/>
    <n v="4182"/>
    <m/>
    <n v="25659"/>
    <n v="-10502"/>
    <m/>
    <m/>
    <m/>
    <m/>
    <m/>
    <m/>
    <m/>
    <m/>
    <m/>
  </r>
  <r>
    <x v="3"/>
    <x v="13"/>
    <x v="26"/>
    <n v="10063"/>
    <n v="4995"/>
    <n v="870"/>
    <n v="15928"/>
    <n v="12686"/>
    <n v="4659"/>
    <n v="850"/>
    <n v="18195"/>
    <n v="2267"/>
    <m/>
    <m/>
    <m/>
    <m/>
    <m/>
    <m/>
    <m/>
    <m/>
    <m/>
  </r>
  <r>
    <x v="3"/>
    <x v="13"/>
    <x v="27"/>
    <m/>
    <n v="3640"/>
    <n v="549"/>
    <n v="4189"/>
    <n v="12656"/>
    <n v="9195"/>
    <n v="500"/>
    <n v="22351"/>
    <n v="18162"/>
    <m/>
    <m/>
    <m/>
    <m/>
    <m/>
    <m/>
    <m/>
    <m/>
    <m/>
  </r>
  <r>
    <x v="3"/>
    <x v="13"/>
    <x v="28"/>
    <m/>
    <n v="2670"/>
    <m/>
    <n v="2670"/>
    <n v="1797"/>
    <n v="13610"/>
    <m/>
    <n v="15407"/>
    <n v="12737"/>
    <m/>
    <m/>
    <m/>
    <m/>
    <m/>
    <m/>
    <m/>
    <m/>
    <m/>
  </r>
  <r>
    <x v="3"/>
    <x v="13"/>
    <x v="29"/>
    <m/>
    <n v="2256"/>
    <m/>
    <n v="2256"/>
    <m/>
    <n v="2683"/>
    <m/>
    <n v="2683"/>
    <n v="427"/>
    <m/>
    <m/>
    <m/>
    <m/>
    <m/>
    <m/>
    <m/>
    <m/>
    <m/>
  </r>
  <r>
    <x v="3"/>
    <x v="13"/>
    <x v="30"/>
    <m/>
    <n v="2773"/>
    <n v="5530"/>
    <n v="8303"/>
    <m/>
    <n v="1582"/>
    <n v="6763"/>
    <n v="8345"/>
    <n v="42"/>
    <m/>
    <m/>
    <m/>
    <m/>
    <m/>
    <m/>
    <m/>
    <m/>
    <m/>
  </r>
  <r>
    <x v="3"/>
    <x v="13"/>
    <x v="31"/>
    <m/>
    <n v="1233"/>
    <m/>
    <n v="1233"/>
    <m/>
    <m/>
    <m/>
    <n v="0"/>
    <n v="-1233"/>
    <m/>
    <m/>
    <m/>
    <m/>
    <m/>
    <m/>
    <m/>
    <m/>
    <m/>
  </r>
  <r>
    <x v="3"/>
    <x v="13"/>
    <x v="32"/>
    <m/>
    <n v="1000"/>
    <m/>
    <n v="1000"/>
    <m/>
    <m/>
    <m/>
    <n v="0"/>
    <n v="-1000"/>
    <m/>
    <m/>
    <m/>
    <m/>
    <m/>
    <m/>
    <m/>
    <m/>
    <m/>
  </r>
  <r>
    <x v="3"/>
    <x v="13"/>
    <x v="33"/>
    <m/>
    <m/>
    <m/>
    <n v="0"/>
    <m/>
    <m/>
    <m/>
    <n v="0"/>
    <n v="0"/>
    <m/>
    <m/>
    <m/>
    <m/>
    <m/>
    <m/>
    <m/>
    <m/>
    <m/>
  </r>
  <r>
    <x v="3"/>
    <x v="13"/>
    <x v="24"/>
    <m/>
    <m/>
    <m/>
    <n v="0"/>
    <m/>
    <m/>
    <m/>
    <n v="0"/>
    <n v="0"/>
    <m/>
    <m/>
    <m/>
    <m/>
    <m/>
    <m/>
    <m/>
    <m/>
    <m/>
  </r>
  <r>
    <x v="3"/>
    <x v="13"/>
    <x v="34"/>
    <m/>
    <m/>
    <m/>
    <n v="0"/>
    <m/>
    <m/>
    <m/>
    <n v="0"/>
    <n v="0"/>
    <m/>
    <m/>
    <m/>
    <m/>
    <n v="1000"/>
    <m/>
    <m/>
    <m/>
    <m/>
  </r>
  <r>
    <x v="3"/>
    <x v="13"/>
    <x v="35"/>
    <m/>
    <m/>
    <m/>
    <n v="0"/>
    <m/>
    <m/>
    <m/>
    <n v="0"/>
    <n v="0"/>
    <m/>
    <m/>
    <m/>
    <m/>
    <n v="4000"/>
    <m/>
    <m/>
    <m/>
    <m/>
  </r>
  <r>
    <x v="3"/>
    <x v="13"/>
    <x v="36"/>
    <m/>
    <m/>
    <m/>
    <n v="0"/>
    <m/>
    <m/>
    <m/>
    <n v="0"/>
    <n v="0"/>
    <m/>
    <m/>
    <m/>
    <m/>
    <n v="350"/>
    <m/>
    <m/>
    <m/>
    <m/>
  </r>
  <r>
    <x v="3"/>
    <x v="13"/>
    <x v="37"/>
    <m/>
    <m/>
    <m/>
    <n v="0"/>
    <m/>
    <m/>
    <m/>
    <n v="0"/>
    <n v="0"/>
    <m/>
    <m/>
    <m/>
    <m/>
    <n v="3000"/>
    <m/>
    <m/>
    <m/>
    <m/>
  </r>
  <r>
    <x v="3"/>
    <x v="13"/>
    <x v="38"/>
    <m/>
    <m/>
    <m/>
    <n v="0"/>
    <m/>
    <m/>
    <m/>
    <n v="0"/>
    <n v="0"/>
    <m/>
    <m/>
    <n v="1000"/>
    <m/>
    <m/>
    <m/>
    <m/>
    <m/>
    <m/>
  </r>
  <r>
    <x v="3"/>
    <x v="13"/>
    <x v="39"/>
    <m/>
    <m/>
    <m/>
    <n v="0"/>
    <m/>
    <m/>
    <m/>
    <n v="0"/>
    <n v="0"/>
    <m/>
    <m/>
    <m/>
    <m/>
    <n v="300"/>
    <m/>
    <m/>
    <m/>
    <m/>
  </r>
  <r>
    <x v="3"/>
    <x v="13"/>
    <x v="40"/>
    <m/>
    <m/>
    <m/>
    <n v="0"/>
    <m/>
    <m/>
    <m/>
    <n v="0"/>
    <n v="0"/>
    <m/>
    <m/>
    <m/>
    <m/>
    <n v="1000"/>
    <m/>
    <m/>
    <m/>
    <m/>
  </r>
  <r>
    <x v="1"/>
    <x v="10"/>
    <x v="21"/>
    <n v="39608"/>
    <n v="25183"/>
    <n v="6949"/>
    <n v="71740"/>
    <n v="48616"/>
    <n v="35911"/>
    <n v="8113"/>
    <n v="92640"/>
    <n v="20900"/>
    <n v="0"/>
    <n v="0"/>
    <n v="1000"/>
    <n v="0"/>
    <n v="9650"/>
    <n v="0"/>
    <n v="0"/>
    <n v="0"/>
    <n v="0"/>
  </r>
  <r>
    <x v="3"/>
    <x v="14"/>
    <x v="41"/>
    <n v="41150"/>
    <n v="47351"/>
    <n v="820"/>
    <n v="89321"/>
    <n v="24601"/>
    <n v="1836"/>
    <n v="2000"/>
    <n v="28437"/>
    <n v="-60884"/>
    <m/>
    <m/>
    <m/>
    <m/>
    <m/>
    <m/>
    <m/>
    <m/>
    <m/>
  </r>
  <r>
    <x v="3"/>
    <x v="14"/>
    <x v="42"/>
    <m/>
    <n v="1565"/>
    <m/>
    <n v="1565"/>
    <m/>
    <n v="586"/>
    <n v="1565"/>
    <n v="2151"/>
    <n v="586"/>
    <m/>
    <m/>
    <m/>
    <m/>
    <m/>
    <m/>
    <m/>
    <m/>
    <m/>
  </r>
  <r>
    <x v="3"/>
    <x v="14"/>
    <x v="28"/>
    <m/>
    <m/>
    <m/>
    <m/>
    <n v="10283"/>
    <n v="18218"/>
    <m/>
    <n v="28501"/>
    <n v="28501"/>
    <m/>
    <m/>
    <m/>
    <m/>
    <m/>
    <m/>
    <m/>
    <m/>
    <m/>
  </r>
  <r>
    <x v="3"/>
    <x v="14"/>
    <x v="29"/>
    <m/>
    <m/>
    <m/>
    <m/>
    <m/>
    <n v="1175"/>
    <m/>
    <n v="1175"/>
    <n v="1175"/>
    <m/>
    <m/>
    <m/>
    <m/>
    <m/>
    <m/>
    <m/>
    <m/>
    <m/>
  </r>
  <r>
    <x v="3"/>
    <x v="14"/>
    <x v="43"/>
    <m/>
    <m/>
    <m/>
    <m/>
    <n v="19659"/>
    <n v="22187"/>
    <m/>
    <n v="41846"/>
    <n v="41846"/>
    <m/>
    <m/>
    <m/>
    <m/>
    <m/>
    <m/>
    <m/>
    <m/>
    <m/>
  </r>
  <r>
    <x v="3"/>
    <x v="14"/>
    <x v="44"/>
    <m/>
    <m/>
    <m/>
    <m/>
    <n v="12359"/>
    <n v="4349"/>
    <n v="820"/>
    <n v="17528"/>
    <n v="17528"/>
    <m/>
    <m/>
    <m/>
    <m/>
    <m/>
    <m/>
    <m/>
    <m/>
    <m/>
  </r>
  <r>
    <x v="3"/>
    <x v="14"/>
    <x v="45"/>
    <n v="8630"/>
    <n v="2902"/>
    <m/>
    <n v="11532"/>
    <n v="347"/>
    <m/>
    <m/>
    <n v="347"/>
    <n v="-11185"/>
    <n v="9998"/>
    <m/>
    <m/>
    <m/>
    <m/>
    <m/>
    <m/>
    <m/>
    <m/>
  </r>
  <r>
    <x v="3"/>
    <x v="14"/>
    <x v="46"/>
    <m/>
    <m/>
    <m/>
    <n v="0"/>
    <m/>
    <m/>
    <m/>
    <n v="0"/>
    <n v="0"/>
    <m/>
    <m/>
    <m/>
    <m/>
    <n v="570"/>
    <m/>
    <m/>
    <m/>
    <m/>
  </r>
  <r>
    <x v="3"/>
    <x v="14"/>
    <x v="47"/>
    <m/>
    <n v="4840"/>
    <m/>
    <n v="4840"/>
    <m/>
    <m/>
    <m/>
    <n v="0"/>
    <n v="-4840"/>
    <m/>
    <m/>
    <m/>
    <m/>
    <m/>
    <m/>
    <m/>
    <m/>
    <m/>
  </r>
  <r>
    <x v="3"/>
    <x v="14"/>
    <x v="33"/>
    <m/>
    <m/>
    <m/>
    <n v="0"/>
    <m/>
    <m/>
    <m/>
    <n v="0"/>
    <n v="0"/>
    <m/>
    <m/>
    <m/>
    <m/>
    <m/>
    <m/>
    <m/>
    <m/>
    <m/>
  </r>
  <r>
    <x v="3"/>
    <x v="14"/>
    <x v="48"/>
    <m/>
    <m/>
    <m/>
    <n v="0"/>
    <m/>
    <m/>
    <m/>
    <n v="0"/>
    <n v="0"/>
    <m/>
    <m/>
    <m/>
    <m/>
    <n v="300"/>
    <m/>
    <m/>
    <m/>
    <m/>
  </r>
  <r>
    <x v="3"/>
    <x v="14"/>
    <x v="49"/>
    <m/>
    <m/>
    <m/>
    <n v="0"/>
    <m/>
    <m/>
    <m/>
    <n v="0"/>
    <n v="0"/>
    <m/>
    <m/>
    <m/>
    <m/>
    <n v="260"/>
    <m/>
    <m/>
    <m/>
    <m/>
  </r>
  <r>
    <x v="3"/>
    <x v="14"/>
    <x v="50"/>
    <m/>
    <m/>
    <m/>
    <n v="0"/>
    <m/>
    <m/>
    <m/>
    <n v="0"/>
    <n v="0"/>
    <m/>
    <m/>
    <n v="880"/>
    <m/>
    <m/>
    <m/>
    <m/>
    <m/>
    <m/>
  </r>
  <r>
    <x v="3"/>
    <x v="14"/>
    <x v="51"/>
    <m/>
    <m/>
    <m/>
    <n v="0"/>
    <m/>
    <m/>
    <m/>
    <n v="0"/>
    <n v="0"/>
    <m/>
    <m/>
    <m/>
    <m/>
    <n v="400"/>
    <m/>
    <m/>
    <m/>
    <m/>
  </r>
  <r>
    <x v="3"/>
    <x v="14"/>
    <x v="52"/>
    <m/>
    <m/>
    <m/>
    <m/>
    <m/>
    <m/>
    <m/>
    <n v="0"/>
    <n v="0"/>
    <m/>
    <m/>
    <m/>
    <m/>
    <n v="348"/>
    <m/>
    <m/>
    <m/>
    <m/>
  </r>
  <r>
    <x v="3"/>
    <x v="14"/>
    <x v="53"/>
    <m/>
    <m/>
    <m/>
    <n v="0"/>
    <m/>
    <m/>
    <m/>
    <n v="0"/>
    <n v="0"/>
    <m/>
    <m/>
    <m/>
    <m/>
    <n v="60"/>
    <m/>
    <m/>
    <m/>
    <m/>
  </r>
  <r>
    <x v="3"/>
    <x v="14"/>
    <x v="54"/>
    <m/>
    <m/>
    <m/>
    <m/>
    <m/>
    <m/>
    <m/>
    <m/>
    <m/>
    <m/>
    <m/>
    <n v="1500"/>
    <m/>
    <m/>
    <m/>
    <m/>
    <m/>
    <m/>
  </r>
  <r>
    <x v="1"/>
    <x v="10"/>
    <x v="21"/>
    <n v="49780"/>
    <n v="56658"/>
    <n v="820"/>
    <n v="107258"/>
    <n v="67249"/>
    <n v="48351"/>
    <n v="4385"/>
    <n v="119985"/>
    <n v="12727"/>
    <n v="9998"/>
    <n v="0"/>
    <n v="2380"/>
    <n v="0"/>
    <n v="1938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15"/>
    <x v="55"/>
    <n v="52253"/>
    <n v="10518"/>
    <n v="965"/>
    <n v="63736"/>
    <n v="34371"/>
    <n v="3531"/>
    <m/>
    <n v="37902"/>
    <n v="-25834"/>
    <m/>
    <m/>
    <m/>
    <m/>
    <m/>
    <m/>
    <m/>
    <m/>
    <m/>
  </r>
  <r>
    <x v="3"/>
    <x v="15"/>
    <x v="29"/>
    <m/>
    <n v="5155"/>
    <m/>
    <n v="5155"/>
    <m/>
    <n v="5578"/>
    <m/>
    <n v="5578"/>
    <n v="423"/>
    <m/>
    <m/>
    <m/>
    <m/>
    <m/>
    <m/>
    <m/>
    <m/>
    <m/>
  </r>
  <r>
    <x v="3"/>
    <x v="15"/>
    <x v="28"/>
    <n v="7235"/>
    <n v="8829"/>
    <m/>
    <n v="16064"/>
    <n v="20641"/>
    <n v="27374"/>
    <m/>
    <n v="48015"/>
    <n v="31951"/>
    <m/>
    <m/>
    <m/>
    <m/>
    <m/>
    <m/>
    <m/>
    <m/>
    <m/>
  </r>
  <r>
    <x v="3"/>
    <x v="15"/>
    <x v="43"/>
    <m/>
    <n v="3665"/>
    <n v="640"/>
    <n v="4305"/>
    <n v="37716"/>
    <n v="15368"/>
    <n v="1700"/>
    <n v="54784"/>
    <n v="50479"/>
    <m/>
    <m/>
    <m/>
    <m/>
    <m/>
    <m/>
    <m/>
    <m/>
    <m/>
  </r>
  <r>
    <x v="3"/>
    <x v="15"/>
    <x v="56"/>
    <n v="3554"/>
    <n v="282"/>
    <m/>
    <n v="3836"/>
    <n v="3863"/>
    <n v="206"/>
    <m/>
    <n v="4069"/>
    <n v="233"/>
    <m/>
    <m/>
    <m/>
    <m/>
    <m/>
    <m/>
    <m/>
    <m/>
    <m/>
  </r>
  <r>
    <x v="3"/>
    <x v="15"/>
    <x v="57"/>
    <n v="6897"/>
    <n v="2480"/>
    <n v="870"/>
    <n v="10247"/>
    <n v="8811"/>
    <n v="1727"/>
    <n v="850"/>
    <n v="11388"/>
    <n v="1141"/>
    <m/>
    <m/>
    <m/>
    <m/>
    <m/>
    <m/>
    <m/>
    <m/>
    <m/>
  </r>
  <r>
    <x v="3"/>
    <x v="15"/>
    <x v="58"/>
    <n v="6897"/>
    <n v="2807"/>
    <n v="870"/>
    <n v="10574"/>
    <n v="8690"/>
    <n v="2294"/>
    <n v="850"/>
    <n v="11834"/>
    <n v="1260"/>
    <m/>
    <m/>
    <m/>
    <m/>
    <m/>
    <m/>
    <m/>
    <m/>
    <m/>
  </r>
  <r>
    <x v="3"/>
    <x v="15"/>
    <x v="59"/>
    <n v="16047"/>
    <n v="3860"/>
    <m/>
    <n v="19907"/>
    <n v="17595"/>
    <n v="1374"/>
    <m/>
    <n v="18969"/>
    <n v="-938"/>
    <m/>
    <m/>
    <m/>
    <m/>
    <m/>
    <m/>
    <m/>
    <m/>
    <m/>
  </r>
  <r>
    <x v="3"/>
    <x v="15"/>
    <x v="60"/>
    <n v="10577"/>
    <n v="2402"/>
    <m/>
    <n v="12979"/>
    <n v="11670"/>
    <n v="1944"/>
    <m/>
    <n v="13614"/>
    <n v="635"/>
    <m/>
    <m/>
    <m/>
    <m/>
    <m/>
    <m/>
    <m/>
    <m/>
    <m/>
  </r>
  <r>
    <x v="3"/>
    <x v="15"/>
    <x v="61"/>
    <m/>
    <n v="1226"/>
    <n v="4626"/>
    <n v="5852"/>
    <m/>
    <n v="1226"/>
    <n v="4626"/>
    <n v="5852"/>
    <n v="0"/>
    <m/>
    <m/>
    <m/>
    <m/>
    <m/>
    <m/>
    <m/>
    <m/>
    <m/>
  </r>
  <r>
    <x v="3"/>
    <x v="15"/>
    <x v="62"/>
    <n v="8630"/>
    <n v="2742"/>
    <m/>
    <n v="11372"/>
    <n v="347"/>
    <m/>
    <m/>
    <n v="347"/>
    <n v="-11025"/>
    <n v="9998"/>
    <m/>
    <m/>
    <m/>
    <m/>
    <m/>
    <m/>
    <m/>
    <m/>
  </r>
  <r>
    <x v="3"/>
    <x v="15"/>
    <x v="63"/>
    <m/>
    <m/>
    <m/>
    <n v="0"/>
    <m/>
    <m/>
    <m/>
    <n v="0"/>
    <n v="0"/>
    <m/>
    <m/>
    <m/>
    <m/>
    <m/>
    <m/>
    <m/>
    <m/>
    <m/>
  </r>
  <r>
    <x v="3"/>
    <x v="15"/>
    <x v="33"/>
    <m/>
    <m/>
    <n v="910"/>
    <n v="910"/>
    <m/>
    <m/>
    <m/>
    <n v="0"/>
    <n v="-910"/>
    <m/>
    <m/>
    <m/>
    <m/>
    <m/>
    <m/>
    <m/>
    <m/>
    <m/>
  </r>
  <r>
    <x v="3"/>
    <x v="15"/>
    <x v="64"/>
    <m/>
    <m/>
    <m/>
    <n v="0"/>
    <m/>
    <m/>
    <m/>
    <n v="0"/>
    <n v="0"/>
    <m/>
    <m/>
    <m/>
    <m/>
    <n v="1000"/>
    <m/>
    <m/>
    <m/>
    <m/>
  </r>
  <r>
    <x v="3"/>
    <x v="15"/>
    <x v="24"/>
    <m/>
    <m/>
    <m/>
    <n v="0"/>
    <m/>
    <m/>
    <m/>
    <n v="0"/>
    <n v="0"/>
    <m/>
    <m/>
    <m/>
    <m/>
    <m/>
    <m/>
    <m/>
    <m/>
    <m/>
  </r>
  <r>
    <x v="3"/>
    <x v="15"/>
    <x v="65"/>
    <m/>
    <m/>
    <m/>
    <n v="0"/>
    <m/>
    <m/>
    <m/>
    <n v="0"/>
    <n v="0"/>
    <m/>
    <m/>
    <m/>
    <n v="9336"/>
    <m/>
    <m/>
    <m/>
    <m/>
    <m/>
  </r>
  <r>
    <x v="3"/>
    <x v="15"/>
    <x v="66"/>
    <m/>
    <m/>
    <m/>
    <n v="0"/>
    <m/>
    <m/>
    <m/>
    <n v="0"/>
    <n v="0"/>
    <m/>
    <m/>
    <n v="4000"/>
    <m/>
    <m/>
    <m/>
    <m/>
    <m/>
    <m/>
  </r>
  <r>
    <x v="3"/>
    <x v="15"/>
    <x v="24"/>
    <m/>
    <m/>
    <m/>
    <n v="0"/>
    <m/>
    <m/>
    <m/>
    <n v="0"/>
    <n v="0"/>
    <m/>
    <m/>
    <m/>
    <m/>
    <m/>
    <m/>
    <m/>
    <m/>
    <m/>
  </r>
  <r>
    <x v="1"/>
    <x v="10"/>
    <x v="21"/>
    <n v="112090"/>
    <n v="43966"/>
    <n v="8881"/>
    <n v="164937"/>
    <n v="143704"/>
    <n v="60622"/>
    <n v="8026"/>
    <n v="212352"/>
    <n v="47415"/>
    <n v="9998"/>
    <n v="0"/>
    <n v="4000"/>
    <n v="9336"/>
    <n v="100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16"/>
    <x v="67"/>
    <n v="83346"/>
    <n v="37957"/>
    <n v="920"/>
    <n v="122223"/>
    <n v="109638"/>
    <n v="40962"/>
    <n v="850"/>
    <n v="151450"/>
    <n v="29227"/>
    <m/>
    <m/>
    <m/>
    <m/>
    <m/>
    <m/>
    <m/>
    <m/>
    <m/>
  </r>
  <r>
    <x v="3"/>
    <x v="16"/>
    <x v="68"/>
    <m/>
    <m/>
    <n v="1100"/>
    <n v="1100"/>
    <m/>
    <m/>
    <n v="2000"/>
    <n v="2000"/>
    <n v="900"/>
    <m/>
    <m/>
    <m/>
    <m/>
    <m/>
    <m/>
    <m/>
    <m/>
    <m/>
  </r>
  <r>
    <x v="3"/>
    <x v="16"/>
    <x v="33"/>
    <m/>
    <n v="3289"/>
    <n v="950"/>
    <n v="4239"/>
    <m/>
    <m/>
    <m/>
    <n v="0"/>
    <n v="-4239"/>
    <m/>
    <m/>
    <m/>
    <m/>
    <m/>
    <m/>
    <m/>
    <m/>
    <m/>
  </r>
  <r>
    <x v="3"/>
    <x v="16"/>
    <x v="69"/>
    <m/>
    <m/>
    <n v="1368"/>
    <n v="1368"/>
    <m/>
    <m/>
    <m/>
    <n v="0"/>
    <n v="-1368"/>
    <m/>
    <m/>
    <n v="1368"/>
    <m/>
    <m/>
    <m/>
    <m/>
    <m/>
    <m/>
  </r>
  <r>
    <x v="3"/>
    <x v="16"/>
    <x v="70"/>
    <m/>
    <n v="936"/>
    <n v="1866"/>
    <n v="2802"/>
    <m/>
    <m/>
    <m/>
    <n v="0"/>
    <n v="-2802"/>
    <m/>
    <m/>
    <m/>
    <m/>
    <m/>
    <m/>
    <m/>
    <m/>
    <m/>
  </r>
  <r>
    <x v="3"/>
    <x v="16"/>
    <x v="71"/>
    <m/>
    <m/>
    <n v="5796"/>
    <n v="5796"/>
    <m/>
    <m/>
    <m/>
    <n v="0"/>
    <n v="-5796"/>
    <m/>
    <m/>
    <n v="4058"/>
    <m/>
    <m/>
    <m/>
    <m/>
    <m/>
    <m/>
  </r>
  <r>
    <x v="3"/>
    <x v="16"/>
    <x v="72"/>
    <m/>
    <m/>
    <m/>
    <n v="0"/>
    <m/>
    <m/>
    <m/>
    <n v="0"/>
    <n v="0"/>
    <m/>
    <m/>
    <m/>
    <m/>
    <n v="1400"/>
    <m/>
    <m/>
    <m/>
    <m/>
  </r>
  <r>
    <x v="3"/>
    <x v="16"/>
    <x v="73"/>
    <m/>
    <m/>
    <m/>
    <n v="0"/>
    <m/>
    <m/>
    <m/>
    <n v="0"/>
    <n v="0"/>
    <m/>
    <m/>
    <m/>
    <m/>
    <n v="1000"/>
    <m/>
    <m/>
    <m/>
    <m/>
  </r>
  <r>
    <x v="3"/>
    <x v="16"/>
    <x v="74"/>
    <m/>
    <m/>
    <m/>
    <n v="0"/>
    <m/>
    <m/>
    <m/>
    <n v="0"/>
    <n v="0"/>
    <m/>
    <m/>
    <n v="2000"/>
    <m/>
    <m/>
    <m/>
    <m/>
    <m/>
    <m/>
  </r>
  <r>
    <x v="3"/>
    <x v="16"/>
    <x v="75"/>
    <m/>
    <m/>
    <m/>
    <n v="0"/>
    <m/>
    <m/>
    <m/>
    <n v="0"/>
    <n v="0"/>
    <m/>
    <m/>
    <m/>
    <m/>
    <n v="1700"/>
    <m/>
    <m/>
    <m/>
    <m/>
  </r>
  <r>
    <x v="3"/>
    <x v="16"/>
    <x v="76"/>
    <m/>
    <m/>
    <m/>
    <n v="0"/>
    <m/>
    <m/>
    <m/>
    <n v="0"/>
    <n v="0"/>
    <m/>
    <m/>
    <m/>
    <m/>
    <n v="750"/>
    <m/>
    <m/>
    <m/>
    <m/>
  </r>
  <r>
    <x v="3"/>
    <x v="16"/>
    <x v="77"/>
    <m/>
    <m/>
    <m/>
    <n v="0"/>
    <m/>
    <m/>
    <m/>
    <n v="0"/>
    <n v="0"/>
    <m/>
    <m/>
    <m/>
    <m/>
    <m/>
    <m/>
    <m/>
    <m/>
    <m/>
  </r>
  <r>
    <x v="3"/>
    <x v="16"/>
    <x v="78"/>
    <m/>
    <m/>
    <m/>
    <n v="0"/>
    <m/>
    <m/>
    <m/>
    <n v="0"/>
    <n v="0"/>
    <m/>
    <m/>
    <m/>
    <m/>
    <n v="500"/>
    <m/>
    <m/>
    <m/>
    <m/>
  </r>
  <r>
    <x v="3"/>
    <x v="16"/>
    <x v="79"/>
    <m/>
    <m/>
    <m/>
    <n v="0"/>
    <m/>
    <m/>
    <m/>
    <n v="0"/>
    <n v="0"/>
    <m/>
    <m/>
    <m/>
    <m/>
    <n v="300"/>
    <m/>
    <m/>
    <m/>
    <m/>
  </r>
  <r>
    <x v="1"/>
    <x v="10"/>
    <x v="21"/>
    <n v="83346"/>
    <n v="42182"/>
    <n v="12000"/>
    <n v="137528"/>
    <n v="109638"/>
    <n v="40962"/>
    <n v="2850"/>
    <n v="153450"/>
    <n v="15922"/>
    <n v="0"/>
    <n v="0"/>
    <n v="7426"/>
    <n v="0"/>
    <n v="5650"/>
    <n v="0"/>
    <n v="0"/>
    <n v="0"/>
    <n v="0"/>
  </r>
  <r>
    <x v="3"/>
    <x v="17"/>
    <x v="80"/>
    <n v="40753"/>
    <n v="6986"/>
    <m/>
    <n v="47739"/>
    <n v="29507"/>
    <n v="3745"/>
    <m/>
    <n v="33252"/>
    <n v="-14487"/>
    <m/>
    <m/>
    <m/>
    <m/>
    <m/>
    <m/>
    <m/>
    <m/>
    <m/>
  </r>
  <r>
    <x v="3"/>
    <x v="17"/>
    <x v="81"/>
    <n v="1777"/>
    <m/>
    <m/>
    <n v="1777"/>
    <n v="1932"/>
    <m/>
    <m/>
    <n v="1932"/>
    <n v="155"/>
    <m/>
    <m/>
    <m/>
    <m/>
    <m/>
    <m/>
    <m/>
    <m/>
    <m/>
  </r>
  <r>
    <x v="3"/>
    <x v="17"/>
    <x v="28"/>
    <n v="2450"/>
    <n v="9434"/>
    <m/>
    <n v="11884"/>
    <n v="22815"/>
    <n v="17439"/>
    <m/>
    <n v="40254"/>
    <n v="28370"/>
    <m/>
    <m/>
    <m/>
    <m/>
    <m/>
    <m/>
    <m/>
    <m/>
    <m/>
  </r>
  <r>
    <x v="3"/>
    <x v="17"/>
    <x v="29"/>
    <m/>
    <n v="1751"/>
    <m/>
    <n v="1751"/>
    <m/>
    <n v="3064"/>
    <m/>
    <n v="3064"/>
    <n v="1313"/>
    <m/>
    <m/>
    <m/>
    <m/>
    <m/>
    <m/>
    <m/>
    <m/>
    <m/>
  </r>
  <r>
    <x v="3"/>
    <x v="17"/>
    <x v="43"/>
    <m/>
    <n v="2681"/>
    <m/>
    <n v="2681"/>
    <n v="26597"/>
    <n v="7856"/>
    <m/>
    <n v="34453"/>
    <n v="31772"/>
    <m/>
    <m/>
    <m/>
    <m/>
    <m/>
    <m/>
    <m/>
    <m/>
    <m/>
  </r>
  <r>
    <x v="3"/>
    <x v="17"/>
    <x v="30"/>
    <n v="10784"/>
    <n v="5795"/>
    <m/>
    <n v="16579"/>
    <m/>
    <n v="6254"/>
    <m/>
    <n v="6254"/>
    <n v="-10325"/>
    <m/>
    <m/>
    <m/>
    <m/>
    <m/>
    <m/>
    <m/>
    <m/>
    <m/>
  </r>
  <r>
    <x v="3"/>
    <x v="17"/>
    <x v="45"/>
    <n v="17414"/>
    <n v="2792"/>
    <m/>
    <n v="20206"/>
    <n v="5840"/>
    <m/>
    <m/>
    <n v="5840"/>
    <n v="-14366"/>
    <n v="9998"/>
    <m/>
    <m/>
    <m/>
    <m/>
    <m/>
    <m/>
    <m/>
    <m/>
  </r>
  <r>
    <x v="3"/>
    <x v="17"/>
    <x v="82"/>
    <n v="21424"/>
    <n v="4310"/>
    <n v="870"/>
    <n v="26604"/>
    <n v="28364"/>
    <n v="7244"/>
    <n v="850"/>
    <n v="36458"/>
    <n v="9854"/>
    <m/>
    <m/>
    <m/>
    <m/>
    <m/>
    <m/>
    <m/>
    <m/>
    <m/>
  </r>
  <r>
    <x v="3"/>
    <x v="17"/>
    <x v="83"/>
    <n v="8381"/>
    <n v="3627"/>
    <m/>
    <n v="12008"/>
    <n v="11799"/>
    <n v="4255"/>
    <m/>
    <n v="16054"/>
    <n v="4046"/>
    <m/>
    <m/>
    <m/>
    <m/>
    <m/>
    <m/>
    <m/>
    <m/>
    <m/>
  </r>
  <r>
    <x v="3"/>
    <x v="17"/>
    <x v="84"/>
    <m/>
    <m/>
    <m/>
    <n v="0"/>
    <m/>
    <m/>
    <m/>
    <n v="0"/>
    <n v="0"/>
    <m/>
    <m/>
    <n v="3000"/>
    <m/>
    <m/>
    <m/>
    <m/>
    <m/>
    <m/>
  </r>
  <r>
    <x v="3"/>
    <x v="17"/>
    <x v="85"/>
    <m/>
    <m/>
    <m/>
    <n v="0"/>
    <m/>
    <n v="450"/>
    <m/>
    <n v="450"/>
    <n v="450"/>
    <m/>
    <m/>
    <m/>
    <m/>
    <m/>
    <m/>
    <m/>
    <m/>
    <m/>
  </r>
  <r>
    <x v="3"/>
    <x v="17"/>
    <x v="86"/>
    <m/>
    <m/>
    <m/>
    <n v="0"/>
    <m/>
    <n v="300"/>
    <m/>
    <n v="300"/>
    <n v="300"/>
    <m/>
    <m/>
    <m/>
    <m/>
    <m/>
    <m/>
    <m/>
    <m/>
    <m/>
  </r>
  <r>
    <x v="3"/>
    <x v="17"/>
    <x v="87"/>
    <m/>
    <m/>
    <m/>
    <n v="0"/>
    <m/>
    <m/>
    <m/>
    <n v="0"/>
    <n v="0"/>
    <m/>
    <m/>
    <n v="3000"/>
    <m/>
    <m/>
    <m/>
    <m/>
    <m/>
    <m/>
  </r>
  <r>
    <x v="3"/>
    <x v="17"/>
    <x v="88"/>
    <m/>
    <m/>
    <m/>
    <n v="0"/>
    <m/>
    <m/>
    <m/>
    <n v="0"/>
    <n v="0"/>
    <m/>
    <m/>
    <m/>
    <n v="7566"/>
    <m/>
    <m/>
    <m/>
    <m/>
    <m/>
  </r>
  <r>
    <x v="3"/>
    <x v="17"/>
    <x v="89"/>
    <m/>
    <m/>
    <m/>
    <n v="0"/>
    <m/>
    <m/>
    <m/>
    <n v="0"/>
    <n v="0"/>
    <m/>
    <m/>
    <m/>
    <n v="1500"/>
    <m/>
    <m/>
    <m/>
    <m/>
    <m/>
  </r>
  <r>
    <x v="3"/>
    <x v="17"/>
    <x v="90"/>
    <m/>
    <m/>
    <n v="3000"/>
    <n v="3000"/>
    <m/>
    <m/>
    <m/>
    <n v="0"/>
    <n v="-3000"/>
    <m/>
    <m/>
    <m/>
    <m/>
    <m/>
    <m/>
    <m/>
    <m/>
    <m/>
  </r>
  <r>
    <x v="3"/>
    <x v="17"/>
    <x v="91"/>
    <m/>
    <m/>
    <m/>
    <n v="0"/>
    <m/>
    <m/>
    <m/>
    <n v="0"/>
    <n v="0"/>
    <m/>
    <m/>
    <m/>
    <n v="2000"/>
    <m/>
    <m/>
    <m/>
    <m/>
    <m/>
  </r>
  <r>
    <x v="3"/>
    <x v="17"/>
    <x v="92"/>
    <m/>
    <m/>
    <n v="4514"/>
    <n v="4514"/>
    <m/>
    <m/>
    <m/>
    <n v="0"/>
    <n v="-4514"/>
    <m/>
    <m/>
    <m/>
    <m/>
    <n v="2000"/>
    <m/>
    <m/>
    <m/>
    <m/>
  </r>
  <r>
    <x v="1"/>
    <x v="10"/>
    <x v="21"/>
    <n v="102983"/>
    <n v="37376"/>
    <n v="8384"/>
    <n v="148743"/>
    <n v="126854"/>
    <n v="50607"/>
    <n v="850"/>
    <n v="178311"/>
    <n v="29568"/>
    <n v="9998"/>
    <n v="0"/>
    <n v="6000"/>
    <n v="11066"/>
    <n v="200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18"/>
    <x v="93"/>
    <n v="70463"/>
    <n v="45776"/>
    <n v="1670"/>
    <n v="117909"/>
    <n v="81597"/>
    <n v="43555"/>
    <n v="870"/>
    <n v="126022"/>
    <n v="8113"/>
    <m/>
    <m/>
    <m/>
    <m/>
    <m/>
    <m/>
    <m/>
    <m/>
    <m/>
  </r>
  <r>
    <x v="3"/>
    <x v="18"/>
    <x v="45"/>
    <n v="18683"/>
    <n v="1715"/>
    <m/>
    <n v="20398"/>
    <n v="7149"/>
    <m/>
    <m/>
    <n v="7149"/>
    <n v="-13249"/>
    <n v="9998"/>
    <m/>
    <m/>
    <m/>
    <m/>
    <m/>
    <m/>
    <m/>
    <m/>
  </r>
  <r>
    <x v="3"/>
    <x v="18"/>
    <x v="94"/>
    <m/>
    <m/>
    <m/>
    <m/>
    <m/>
    <m/>
    <m/>
    <m/>
    <m/>
    <m/>
    <m/>
    <n v="1755"/>
    <m/>
    <m/>
    <m/>
    <m/>
    <m/>
    <m/>
  </r>
  <r>
    <x v="3"/>
    <x v="18"/>
    <x v="24"/>
    <m/>
    <m/>
    <m/>
    <n v="0"/>
    <m/>
    <m/>
    <m/>
    <n v="0"/>
    <n v="0"/>
    <m/>
    <m/>
    <m/>
    <m/>
    <m/>
    <m/>
    <m/>
    <m/>
    <m/>
  </r>
  <r>
    <x v="3"/>
    <x v="18"/>
    <x v="24"/>
    <m/>
    <m/>
    <m/>
    <n v="0"/>
    <m/>
    <m/>
    <m/>
    <n v="0"/>
    <n v="0"/>
    <m/>
    <m/>
    <m/>
    <m/>
    <m/>
    <m/>
    <m/>
    <m/>
    <m/>
  </r>
  <r>
    <x v="1"/>
    <x v="10"/>
    <x v="21"/>
    <n v="89146"/>
    <n v="47491"/>
    <n v="1670"/>
    <n v="138307"/>
    <n v="88746"/>
    <n v="43555"/>
    <n v="870"/>
    <n v="133171"/>
    <n v="-5136"/>
    <n v="9998"/>
    <n v="0"/>
    <n v="1755"/>
    <n v="0"/>
    <n v="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19"/>
    <x v="95"/>
    <n v="93461"/>
    <n v="55517"/>
    <n v="3044"/>
    <n v="152022"/>
    <n v="126596"/>
    <n v="56533"/>
    <n v="870"/>
    <n v="183999"/>
    <n v="31977"/>
    <m/>
    <m/>
    <m/>
    <m/>
    <m/>
    <m/>
    <m/>
    <m/>
    <m/>
  </r>
  <r>
    <x v="3"/>
    <x v="19"/>
    <x v="96"/>
    <n v="60995"/>
    <n v="1639"/>
    <m/>
    <n v="62634"/>
    <n v="46129"/>
    <n v="1392"/>
    <m/>
    <n v="47521"/>
    <n v="-15113"/>
    <m/>
    <m/>
    <m/>
    <m/>
    <m/>
    <m/>
    <m/>
    <m/>
    <m/>
  </r>
  <r>
    <x v="3"/>
    <x v="19"/>
    <x v="97"/>
    <m/>
    <m/>
    <m/>
    <n v="0"/>
    <m/>
    <m/>
    <m/>
    <n v="0"/>
    <n v="0"/>
    <m/>
    <m/>
    <n v="6093"/>
    <m/>
    <m/>
    <m/>
    <m/>
    <m/>
    <m/>
  </r>
  <r>
    <x v="3"/>
    <x v="19"/>
    <x v="90"/>
    <m/>
    <n v="913"/>
    <n v="1822"/>
    <n v="2735"/>
    <m/>
    <m/>
    <m/>
    <n v="0"/>
    <n v="-2735"/>
    <m/>
    <m/>
    <m/>
    <m/>
    <m/>
    <m/>
    <m/>
    <m/>
    <m/>
  </r>
  <r>
    <x v="3"/>
    <x v="19"/>
    <x v="98"/>
    <m/>
    <m/>
    <n v="18000"/>
    <n v="18000"/>
    <m/>
    <m/>
    <m/>
    <m/>
    <n v="-18000"/>
    <m/>
    <m/>
    <m/>
    <m/>
    <m/>
    <m/>
    <m/>
    <m/>
    <m/>
  </r>
  <r>
    <x v="3"/>
    <x v="19"/>
    <x v="99"/>
    <m/>
    <m/>
    <n v="2500"/>
    <n v="2500"/>
    <m/>
    <m/>
    <m/>
    <m/>
    <n v="-2500"/>
    <m/>
    <m/>
    <m/>
    <m/>
    <m/>
    <m/>
    <m/>
    <m/>
    <m/>
  </r>
  <r>
    <x v="3"/>
    <x v="19"/>
    <x v="100"/>
    <m/>
    <m/>
    <m/>
    <m/>
    <m/>
    <m/>
    <m/>
    <m/>
    <m/>
    <m/>
    <m/>
    <n v="3600"/>
    <m/>
    <n v="3600"/>
    <m/>
    <m/>
    <m/>
    <m/>
  </r>
  <r>
    <x v="3"/>
    <x v="19"/>
    <x v="101"/>
    <m/>
    <m/>
    <m/>
    <n v="0"/>
    <m/>
    <m/>
    <m/>
    <n v="0"/>
    <n v="0"/>
    <m/>
    <m/>
    <m/>
    <m/>
    <m/>
    <m/>
    <m/>
    <m/>
    <m/>
  </r>
  <r>
    <x v="3"/>
    <x v="19"/>
    <x v="102"/>
    <m/>
    <m/>
    <m/>
    <n v="0"/>
    <m/>
    <m/>
    <m/>
    <n v="0"/>
    <n v="0"/>
    <m/>
    <n v="1000"/>
    <m/>
    <m/>
    <m/>
    <m/>
    <m/>
    <m/>
    <m/>
  </r>
  <r>
    <x v="3"/>
    <x v="19"/>
    <x v="103"/>
    <m/>
    <m/>
    <n v="8048"/>
    <n v="8048"/>
    <m/>
    <m/>
    <m/>
    <n v="0"/>
    <n v="-8048"/>
    <m/>
    <m/>
    <m/>
    <m/>
    <m/>
    <m/>
    <m/>
    <m/>
    <m/>
  </r>
  <r>
    <x v="1"/>
    <x v="10"/>
    <x v="21"/>
    <n v="154456"/>
    <n v="58069"/>
    <n v="33414"/>
    <n v="245939"/>
    <n v="172725"/>
    <n v="57925"/>
    <n v="870"/>
    <n v="231520"/>
    <n v="-14419"/>
    <n v="0"/>
    <n v="1000"/>
    <n v="9693"/>
    <n v="0"/>
    <n v="360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20"/>
    <x v="104"/>
    <n v="49582"/>
    <n v="23260"/>
    <n v="1070"/>
    <n v="73912"/>
    <n v="66008"/>
    <n v="23829"/>
    <n v="870"/>
    <n v="90707"/>
    <n v="16795"/>
    <m/>
    <m/>
    <m/>
    <m/>
    <m/>
    <m/>
    <m/>
    <m/>
    <m/>
  </r>
  <r>
    <x v="3"/>
    <x v="20"/>
    <x v="105"/>
    <m/>
    <m/>
    <n v="1000"/>
    <n v="1000"/>
    <m/>
    <m/>
    <m/>
    <n v="0"/>
    <n v="-1000"/>
    <m/>
    <m/>
    <m/>
    <m/>
    <m/>
    <m/>
    <m/>
    <m/>
    <m/>
  </r>
  <r>
    <x v="3"/>
    <x v="20"/>
    <x v="45"/>
    <n v="8630"/>
    <n v="3701"/>
    <m/>
    <n v="12331"/>
    <n v="347"/>
    <m/>
    <m/>
    <n v="347"/>
    <n v="-11984"/>
    <n v="9997"/>
    <m/>
    <m/>
    <m/>
    <m/>
    <n v="0"/>
    <m/>
    <m/>
    <m/>
  </r>
  <r>
    <x v="3"/>
    <x v="20"/>
    <x v="106"/>
    <m/>
    <m/>
    <m/>
    <n v="0"/>
    <m/>
    <m/>
    <m/>
    <n v="0"/>
    <n v="0"/>
    <m/>
    <n v="624"/>
    <m/>
    <m/>
    <m/>
    <m/>
    <m/>
    <m/>
    <m/>
  </r>
  <r>
    <x v="3"/>
    <x v="20"/>
    <x v="24"/>
    <m/>
    <m/>
    <m/>
    <n v="0"/>
    <m/>
    <m/>
    <m/>
    <n v="0"/>
    <n v="0"/>
    <m/>
    <m/>
    <m/>
    <m/>
    <m/>
    <m/>
    <m/>
    <m/>
    <m/>
  </r>
  <r>
    <x v="1"/>
    <x v="10"/>
    <x v="21"/>
    <n v="58212"/>
    <n v="26961"/>
    <n v="2070"/>
    <n v="87243"/>
    <n v="66355"/>
    <n v="23829"/>
    <n v="870"/>
    <n v="91054"/>
    <n v="3811"/>
    <n v="9997"/>
    <n v="624"/>
    <n v="0"/>
    <n v="0"/>
    <n v="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21"/>
    <x v="107"/>
    <n v="33937"/>
    <n v="6440"/>
    <m/>
    <n v="40377"/>
    <n v="24246"/>
    <n v="2398"/>
    <m/>
    <n v="26644"/>
    <n v="-13733"/>
    <m/>
    <m/>
    <m/>
    <m/>
    <m/>
    <m/>
    <m/>
    <m/>
    <m/>
  </r>
  <r>
    <x v="3"/>
    <x v="21"/>
    <x v="108"/>
    <n v="1777"/>
    <m/>
    <m/>
    <n v="1777"/>
    <n v="1932"/>
    <m/>
    <m/>
    <n v="1932"/>
    <n v="155"/>
    <m/>
    <m/>
    <m/>
    <m/>
    <m/>
    <m/>
    <m/>
    <m/>
    <m/>
  </r>
  <r>
    <x v="3"/>
    <x v="21"/>
    <x v="109"/>
    <m/>
    <n v="4188"/>
    <m/>
    <n v="4188"/>
    <m/>
    <n v="4803"/>
    <m/>
    <n v="4803"/>
    <n v="615"/>
    <m/>
    <m/>
    <m/>
    <m/>
    <m/>
    <m/>
    <m/>
    <m/>
    <m/>
  </r>
  <r>
    <x v="3"/>
    <x v="21"/>
    <x v="110"/>
    <n v="20574"/>
    <n v="28436"/>
    <m/>
    <n v="49010"/>
    <n v="23261"/>
    <n v="28674"/>
    <m/>
    <n v="51935"/>
    <n v="2925"/>
    <m/>
    <m/>
    <m/>
    <m/>
    <m/>
    <m/>
    <m/>
    <m/>
    <m/>
  </r>
  <r>
    <x v="3"/>
    <x v="21"/>
    <x v="111"/>
    <m/>
    <n v="4291"/>
    <m/>
    <n v="4291"/>
    <m/>
    <n v="5389"/>
    <m/>
    <n v="5389"/>
    <n v="1098"/>
    <m/>
    <m/>
    <m/>
    <m/>
    <m/>
    <m/>
    <m/>
    <m/>
    <m/>
  </r>
  <r>
    <x v="3"/>
    <x v="21"/>
    <x v="112"/>
    <n v="7532"/>
    <n v="7946"/>
    <m/>
    <n v="15478"/>
    <m/>
    <n v="4518"/>
    <m/>
    <n v="4518"/>
    <n v="-10960"/>
    <m/>
    <m/>
    <m/>
    <m/>
    <m/>
    <m/>
    <m/>
    <m/>
    <m/>
  </r>
  <r>
    <x v="3"/>
    <x v="21"/>
    <x v="29"/>
    <m/>
    <n v="1912"/>
    <m/>
    <n v="1912"/>
    <m/>
    <n v="2033"/>
    <m/>
    <n v="2033"/>
    <n v="121"/>
    <m/>
    <m/>
    <m/>
    <m/>
    <m/>
    <m/>
    <m/>
    <m/>
    <m/>
  </r>
  <r>
    <x v="3"/>
    <x v="21"/>
    <x v="113"/>
    <m/>
    <n v="5511"/>
    <m/>
    <n v="5511"/>
    <n v="16867"/>
    <n v="10351"/>
    <n v="600"/>
    <n v="27818"/>
    <n v="22307"/>
    <m/>
    <m/>
    <m/>
    <m/>
    <m/>
    <m/>
    <m/>
    <m/>
    <m/>
  </r>
  <r>
    <x v="3"/>
    <x v="21"/>
    <x v="24"/>
    <m/>
    <m/>
    <m/>
    <n v="0"/>
    <m/>
    <m/>
    <m/>
    <n v="0"/>
    <n v="0"/>
    <m/>
    <m/>
    <m/>
    <m/>
    <m/>
    <m/>
    <m/>
    <m/>
    <m/>
  </r>
  <r>
    <x v="3"/>
    <x v="21"/>
    <x v="28"/>
    <n v="662"/>
    <m/>
    <m/>
    <n v="662"/>
    <n v="11074"/>
    <n v="706"/>
    <m/>
    <n v="11780"/>
    <n v="11118"/>
    <m/>
    <m/>
    <m/>
    <m/>
    <m/>
    <m/>
    <m/>
    <m/>
    <m/>
  </r>
  <r>
    <x v="3"/>
    <x v="21"/>
    <x v="114"/>
    <m/>
    <n v="5266"/>
    <m/>
    <n v="5266"/>
    <m/>
    <m/>
    <n v="4371"/>
    <n v="4371"/>
    <n v="-895"/>
    <m/>
    <m/>
    <m/>
    <m/>
    <m/>
    <m/>
    <m/>
    <m/>
    <m/>
  </r>
  <r>
    <x v="3"/>
    <x v="21"/>
    <x v="115"/>
    <m/>
    <m/>
    <m/>
    <n v="0"/>
    <m/>
    <m/>
    <m/>
    <n v="0"/>
    <n v="0"/>
    <m/>
    <m/>
    <m/>
    <m/>
    <m/>
    <m/>
    <m/>
    <m/>
    <m/>
  </r>
  <r>
    <x v="3"/>
    <x v="21"/>
    <x v="116"/>
    <m/>
    <m/>
    <m/>
    <n v="0"/>
    <m/>
    <m/>
    <m/>
    <n v="0"/>
    <n v="0"/>
    <m/>
    <m/>
    <m/>
    <m/>
    <m/>
    <m/>
    <m/>
    <m/>
    <m/>
  </r>
  <r>
    <x v="3"/>
    <x v="21"/>
    <x v="117"/>
    <m/>
    <m/>
    <m/>
    <n v="0"/>
    <m/>
    <m/>
    <m/>
    <n v="0"/>
    <n v="0"/>
    <m/>
    <m/>
    <m/>
    <m/>
    <m/>
    <m/>
    <m/>
    <m/>
    <m/>
  </r>
  <r>
    <x v="3"/>
    <x v="21"/>
    <x v="118"/>
    <n v="8385"/>
    <n v="3022"/>
    <n v="920"/>
    <n v="12327"/>
    <n v="9270"/>
    <n v="2881"/>
    <n v="850"/>
    <n v="13001"/>
    <n v="674"/>
    <m/>
    <m/>
    <m/>
    <m/>
    <m/>
    <m/>
    <m/>
    <m/>
    <m/>
  </r>
  <r>
    <x v="3"/>
    <x v="21"/>
    <x v="119"/>
    <n v="8809"/>
    <n v="2014"/>
    <m/>
    <n v="10823"/>
    <n v="9433"/>
    <n v="2367"/>
    <m/>
    <n v="11800"/>
    <n v="977"/>
    <m/>
    <m/>
    <m/>
    <m/>
    <m/>
    <m/>
    <m/>
    <m/>
    <m/>
  </r>
  <r>
    <x v="3"/>
    <x v="21"/>
    <x v="120"/>
    <m/>
    <m/>
    <m/>
    <n v="0"/>
    <m/>
    <m/>
    <m/>
    <n v="0"/>
    <n v="0"/>
    <m/>
    <n v="500"/>
    <m/>
    <m/>
    <m/>
    <m/>
    <m/>
    <m/>
    <m/>
  </r>
  <r>
    <x v="3"/>
    <x v="21"/>
    <x v="76"/>
    <m/>
    <m/>
    <m/>
    <n v="0"/>
    <m/>
    <m/>
    <m/>
    <n v="0"/>
    <n v="0"/>
    <m/>
    <m/>
    <n v="800"/>
    <m/>
    <m/>
    <m/>
    <m/>
    <m/>
    <m/>
  </r>
  <r>
    <x v="3"/>
    <x v="21"/>
    <x v="121"/>
    <m/>
    <m/>
    <m/>
    <n v="0"/>
    <m/>
    <m/>
    <m/>
    <n v="0"/>
    <n v="0"/>
    <m/>
    <n v="800"/>
    <m/>
    <m/>
    <m/>
    <m/>
    <m/>
    <m/>
    <m/>
  </r>
  <r>
    <x v="3"/>
    <x v="21"/>
    <x v="122"/>
    <m/>
    <m/>
    <m/>
    <n v="0"/>
    <m/>
    <m/>
    <m/>
    <n v="0"/>
    <n v="0"/>
    <m/>
    <m/>
    <n v="1900"/>
    <m/>
    <m/>
    <m/>
    <m/>
    <m/>
    <m/>
  </r>
  <r>
    <x v="3"/>
    <x v="21"/>
    <x v="123"/>
    <m/>
    <n v="972"/>
    <n v="1694"/>
    <n v="2666"/>
    <m/>
    <m/>
    <m/>
    <m/>
    <n v="-2666"/>
    <m/>
    <m/>
    <m/>
    <m/>
    <m/>
    <m/>
    <m/>
    <m/>
    <m/>
  </r>
  <r>
    <x v="3"/>
    <x v="21"/>
    <x v="90"/>
    <m/>
    <n v="1356"/>
    <n v="1374"/>
    <n v="2730"/>
    <m/>
    <m/>
    <m/>
    <n v="0"/>
    <n v="-2730"/>
    <m/>
    <m/>
    <m/>
    <m/>
    <m/>
    <m/>
    <m/>
    <m/>
    <m/>
  </r>
  <r>
    <x v="3"/>
    <x v="21"/>
    <x v="124"/>
    <m/>
    <m/>
    <m/>
    <m/>
    <m/>
    <m/>
    <m/>
    <m/>
    <m/>
    <m/>
    <m/>
    <n v="3000"/>
    <m/>
    <m/>
    <m/>
    <m/>
    <m/>
    <m/>
  </r>
  <r>
    <x v="3"/>
    <x v="21"/>
    <x v="125"/>
    <m/>
    <m/>
    <m/>
    <n v="0"/>
    <m/>
    <m/>
    <m/>
    <n v="0"/>
    <n v="0"/>
    <m/>
    <m/>
    <m/>
    <n v="10000"/>
    <m/>
    <m/>
    <m/>
    <m/>
    <m/>
  </r>
  <r>
    <x v="3"/>
    <x v="21"/>
    <x v="126"/>
    <m/>
    <m/>
    <m/>
    <n v="0"/>
    <m/>
    <m/>
    <m/>
    <n v="0"/>
    <n v="0"/>
    <m/>
    <m/>
    <m/>
    <n v="2000"/>
    <m/>
    <m/>
    <m/>
    <m/>
    <m/>
  </r>
  <r>
    <x v="1"/>
    <x v="10"/>
    <x v="21"/>
    <n v="81676"/>
    <n v="71354"/>
    <n v="3988"/>
    <n v="157018"/>
    <n v="96083"/>
    <n v="64120"/>
    <n v="5821"/>
    <n v="166024"/>
    <n v="9006"/>
    <n v="0"/>
    <n v="1300"/>
    <n v="5700"/>
    <n v="12000"/>
    <n v="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22"/>
    <x v="127"/>
    <n v="146401"/>
    <n v="52450"/>
    <m/>
    <n v="198851"/>
    <n v="23717"/>
    <n v="15014"/>
    <n v="1200"/>
    <n v="39931"/>
    <n v="-158920"/>
    <m/>
    <m/>
    <m/>
    <m/>
    <m/>
    <m/>
    <m/>
    <m/>
    <m/>
  </r>
  <r>
    <x v="3"/>
    <x v="22"/>
    <x v="30"/>
    <m/>
    <m/>
    <m/>
    <n v="0"/>
    <m/>
    <m/>
    <m/>
    <n v="0"/>
    <n v="0"/>
    <m/>
    <m/>
    <m/>
    <m/>
    <m/>
    <m/>
    <m/>
    <m/>
    <m/>
  </r>
  <r>
    <x v="3"/>
    <x v="22"/>
    <x v="109"/>
    <m/>
    <m/>
    <m/>
    <m/>
    <m/>
    <n v="2202"/>
    <m/>
    <n v="2202"/>
    <n v="2202"/>
    <m/>
    <m/>
    <m/>
    <m/>
    <m/>
    <m/>
    <m/>
    <m/>
    <m/>
  </r>
  <r>
    <x v="3"/>
    <x v="22"/>
    <x v="111"/>
    <m/>
    <n v="5000"/>
    <m/>
    <n v="5000"/>
    <m/>
    <n v="6027"/>
    <m/>
    <n v="6027"/>
    <n v="1027"/>
    <m/>
    <m/>
    <m/>
    <m/>
    <m/>
    <m/>
    <m/>
    <m/>
    <m/>
  </r>
  <r>
    <x v="3"/>
    <x v="22"/>
    <x v="112"/>
    <n v="7665"/>
    <n v="7500"/>
    <m/>
    <n v="15165"/>
    <m/>
    <n v="7254"/>
    <m/>
    <n v="7254"/>
    <n v="-7911"/>
    <m/>
    <m/>
    <m/>
    <m/>
    <m/>
    <m/>
    <m/>
    <m/>
    <m/>
  </r>
  <r>
    <x v="3"/>
    <x v="22"/>
    <x v="128"/>
    <m/>
    <n v="2000"/>
    <m/>
    <n v="2000"/>
    <n v="22697"/>
    <n v="6510"/>
    <m/>
    <n v="29207"/>
    <n v="27207"/>
    <m/>
    <m/>
    <m/>
    <m/>
    <m/>
    <m/>
    <m/>
    <m/>
    <m/>
  </r>
  <r>
    <x v="3"/>
    <x v="22"/>
    <x v="113"/>
    <n v="2420"/>
    <n v="3000"/>
    <m/>
    <n v="5420"/>
    <n v="52682"/>
    <n v="25105"/>
    <m/>
    <n v="77787"/>
    <n v="72367"/>
    <m/>
    <m/>
    <m/>
    <m/>
    <m/>
    <m/>
    <m/>
    <m/>
    <m/>
  </r>
  <r>
    <x v="3"/>
    <x v="22"/>
    <x v="129"/>
    <n v="6710"/>
    <n v="2230"/>
    <n v="750"/>
    <n v="9690"/>
    <n v="5407"/>
    <n v="1541"/>
    <n v="850"/>
    <n v="7798"/>
    <n v="-1892"/>
    <m/>
    <m/>
    <m/>
    <m/>
    <m/>
    <m/>
    <m/>
    <m/>
    <m/>
  </r>
  <r>
    <x v="3"/>
    <x v="22"/>
    <x v="130"/>
    <n v="30005"/>
    <n v="17000"/>
    <n v="200"/>
    <n v="47205"/>
    <n v="29496"/>
    <n v="16466"/>
    <m/>
    <n v="45962"/>
    <n v="-1243"/>
    <m/>
    <m/>
    <m/>
    <m/>
    <m/>
    <m/>
    <m/>
    <m/>
    <m/>
  </r>
  <r>
    <x v="3"/>
    <x v="22"/>
    <x v="131"/>
    <n v="9830"/>
    <n v="1765"/>
    <m/>
    <n v="11595"/>
    <n v="4140"/>
    <n v="1915"/>
    <m/>
    <n v="6055"/>
    <n v="-5540"/>
    <m/>
    <m/>
    <m/>
    <m/>
    <m/>
    <m/>
    <m/>
    <m/>
    <m/>
  </r>
  <r>
    <x v="3"/>
    <x v="22"/>
    <x v="81"/>
    <n v="4600"/>
    <n v="700"/>
    <m/>
    <n v="5300"/>
    <m/>
    <m/>
    <m/>
    <n v="0"/>
    <n v="-5300"/>
    <m/>
    <m/>
    <m/>
    <m/>
    <m/>
    <m/>
    <m/>
    <m/>
    <m/>
  </r>
  <r>
    <x v="3"/>
    <x v="22"/>
    <x v="24"/>
    <m/>
    <m/>
    <m/>
    <n v="0"/>
    <m/>
    <m/>
    <m/>
    <n v="0"/>
    <n v="0"/>
    <m/>
    <m/>
    <m/>
    <m/>
    <m/>
    <m/>
    <m/>
    <m/>
    <m/>
  </r>
  <r>
    <x v="3"/>
    <x v="22"/>
    <x v="24"/>
    <m/>
    <m/>
    <m/>
    <n v="0"/>
    <m/>
    <m/>
    <m/>
    <n v="0"/>
    <n v="0"/>
    <m/>
    <m/>
    <m/>
    <m/>
    <m/>
    <m/>
    <m/>
    <m/>
    <m/>
  </r>
  <r>
    <x v="3"/>
    <x v="22"/>
    <x v="33"/>
    <m/>
    <m/>
    <m/>
    <n v="0"/>
    <m/>
    <m/>
    <m/>
    <n v="0"/>
    <n v="0"/>
    <m/>
    <m/>
    <m/>
    <m/>
    <m/>
    <m/>
    <m/>
    <m/>
    <m/>
  </r>
  <r>
    <x v="3"/>
    <x v="22"/>
    <x v="132"/>
    <m/>
    <m/>
    <m/>
    <m/>
    <m/>
    <m/>
    <m/>
    <n v="0"/>
    <n v="0"/>
    <m/>
    <m/>
    <m/>
    <m/>
    <n v="2000"/>
    <m/>
    <m/>
    <m/>
    <m/>
  </r>
  <r>
    <x v="3"/>
    <x v="22"/>
    <x v="133"/>
    <m/>
    <m/>
    <m/>
    <m/>
    <m/>
    <m/>
    <m/>
    <n v="0"/>
    <n v="0"/>
    <m/>
    <m/>
    <m/>
    <m/>
    <n v="1739"/>
    <m/>
    <m/>
    <m/>
    <m/>
  </r>
  <r>
    <x v="3"/>
    <x v="22"/>
    <x v="134"/>
    <m/>
    <m/>
    <n v="18000"/>
    <n v="18000"/>
    <m/>
    <m/>
    <m/>
    <n v="0"/>
    <n v="-18000"/>
    <m/>
    <m/>
    <n v="500"/>
    <m/>
    <m/>
    <m/>
    <m/>
    <m/>
    <m/>
  </r>
  <r>
    <x v="3"/>
    <x v="22"/>
    <x v="135"/>
    <m/>
    <m/>
    <n v="3000"/>
    <n v="3000"/>
    <m/>
    <m/>
    <m/>
    <n v="0"/>
    <n v="-3000"/>
    <m/>
    <m/>
    <m/>
    <m/>
    <m/>
    <m/>
    <m/>
    <m/>
    <m/>
  </r>
  <r>
    <x v="3"/>
    <x v="22"/>
    <x v="136"/>
    <m/>
    <m/>
    <n v="700"/>
    <n v="700"/>
    <m/>
    <m/>
    <m/>
    <n v="0"/>
    <n v="-700"/>
    <m/>
    <m/>
    <m/>
    <m/>
    <m/>
    <m/>
    <m/>
    <m/>
    <m/>
  </r>
  <r>
    <x v="3"/>
    <x v="22"/>
    <x v="137"/>
    <m/>
    <m/>
    <n v="1500"/>
    <n v="1500"/>
    <m/>
    <m/>
    <m/>
    <n v="0"/>
    <n v="-1500"/>
    <m/>
    <m/>
    <m/>
    <m/>
    <m/>
    <m/>
    <m/>
    <m/>
    <m/>
  </r>
  <r>
    <x v="3"/>
    <x v="22"/>
    <x v="138"/>
    <m/>
    <n v="60000"/>
    <m/>
    <n v="60000"/>
    <m/>
    <m/>
    <m/>
    <n v="0"/>
    <n v="-60000"/>
    <m/>
    <m/>
    <m/>
    <m/>
    <m/>
    <m/>
    <m/>
    <m/>
    <m/>
  </r>
  <r>
    <x v="3"/>
    <x v="22"/>
    <x v="139"/>
    <m/>
    <m/>
    <n v="117500"/>
    <n v="117500"/>
    <m/>
    <m/>
    <m/>
    <n v="0"/>
    <n v="-117500"/>
    <m/>
    <m/>
    <m/>
    <m/>
    <m/>
    <m/>
    <m/>
    <m/>
    <m/>
  </r>
  <r>
    <x v="3"/>
    <x v="22"/>
    <x v="140"/>
    <m/>
    <m/>
    <n v="20000"/>
    <n v="20000"/>
    <m/>
    <m/>
    <m/>
    <n v="0"/>
    <n v="-20000"/>
    <m/>
    <m/>
    <m/>
    <m/>
    <n v="7500"/>
    <m/>
    <m/>
    <m/>
    <m/>
  </r>
  <r>
    <x v="1"/>
    <x v="10"/>
    <x v="21"/>
    <n v="207631"/>
    <n v="151645"/>
    <n v="161650"/>
    <n v="520926"/>
    <n v="138139"/>
    <n v="82034"/>
    <n v="2050"/>
    <n v="222223"/>
    <n v="-298703"/>
    <n v="0"/>
    <n v="0"/>
    <n v="500"/>
    <n v="0"/>
    <n v="11239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23"/>
    <x v="141"/>
    <n v="11438"/>
    <n v="12000"/>
    <m/>
    <n v="23438"/>
    <n v="30057"/>
    <n v="5172"/>
    <m/>
    <n v="35229"/>
    <n v="11791"/>
    <m/>
    <m/>
    <m/>
    <m/>
    <m/>
    <m/>
    <m/>
    <m/>
    <m/>
  </r>
  <r>
    <x v="3"/>
    <x v="23"/>
    <x v="30"/>
    <m/>
    <m/>
    <m/>
    <n v="0"/>
    <m/>
    <m/>
    <m/>
    <n v="0"/>
    <n v="0"/>
    <m/>
    <m/>
    <m/>
    <m/>
    <m/>
    <m/>
    <m/>
    <m/>
    <m/>
  </r>
  <r>
    <x v="3"/>
    <x v="23"/>
    <x v="111"/>
    <n v="21810"/>
    <n v="19790"/>
    <m/>
    <n v="41600"/>
    <m/>
    <n v="14220"/>
    <m/>
    <n v="14220"/>
    <n v="-27380"/>
    <m/>
    <m/>
    <m/>
    <m/>
    <m/>
    <m/>
    <m/>
    <m/>
    <m/>
  </r>
  <r>
    <x v="3"/>
    <x v="23"/>
    <x v="112"/>
    <n v="7665"/>
    <n v="14000"/>
    <m/>
    <n v="21665"/>
    <m/>
    <n v="12421"/>
    <m/>
    <n v="12421"/>
    <n v="-9244"/>
    <m/>
    <m/>
    <m/>
    <m/>
    <m/>
    <m/>
    <m/>
    <m/>
    <m/>
  </r>
  <r>
    <x v="3"/>
    <x v="23"/>
    <x v="142"/>
    <m/>
    <n v="13640"/>
    <m/>
    <n v="13640"/>
    <n v="18307"/>
    <n v="5842"/>
    <m/>
    <n v="24149"/>
    <n v="10509"/>
    <m/>
    <m/>
    <m/>
    <m/>
    <m/>
    <m/>
    <m/>
    <m/>
    <m/>
  </r>
  <r>
    <x v="3"/>
    <x v="23"/>
    <x v="113"/>
    <n v="2420"/>
    <n v="5250"/>
    <m/>
    <n v="7670"/>
    <n v="29870"/>
    <n v="22608"/>
    <m/>
    <n v="52478"/>
    <n v="44808"/>
    <m/>
    <m/>
    <m/>
    <m/>
    <m/>
    <m/>
    <m/>
    <m/>
    <m/>
  </r>
  <r>
    <x v="3"/>
    <x v="23"/>
    <x v="143"/>
    <n v="15860"/>
    <n v="3630"/>
    <n v="750"/>
    <n v="20240"/>
    <n v="14985"/>
    <n v="1975"/>
    <n v="850"/>
    <n v="17810"/>
    <n v="-2430"/>
    <m/>
    <m/>
    <m/>
    <m/>
    <m/>
    <m/>
    <m/>
    <m/>
    <m/>
  </r>
  <r>
    <x v="3"/>
    <x v="23"/>
    <x v="144"/>
    <n v="9085"/>
    <n v="2380"/>
    <n v="750"/>
    <n v="12215"/>
    <n v="14367"/>
    <n v="2132"/>
    <n v="850"/>
    <n v="17349"/>
    <n v="5134"/>
    <m/>
    <m/>
    <m/>
    <m/>
    <m/>
    <m/>
    <m/>
    <m/>
    <m/>
  </r>
  <r>
    <x v="3"/>
    <x v="23"/>
    <x v="130"/>
    <n v="47860"/>
    <n v="20110"/>
    <m/>
    <n v="67970"/>
    <n v="42888"/>
    <n v="13394"/>
    <m/>
    <n v="56282"/>
    <n v="-11688"/>
    <m/>
    <m/>
    <m/>
    <m/>
    <m/>
    <m/>
    <m/>
    <m/>
    <m/>
  </r>
  <r>
    <x v="3"/>
    <x v="23"/>
    <x v="131"/>
    <n v="20620"/>
    <n v="3430"/>
    <m/>
    <n v="24050"/>
    <n v="13105"/>
    <n v="1558"/>
    <m/>
    <n v="14663"/>
    <n v="-9387"/>
    <m/>
    <m/>
    <m/>
    <m/>
    <m/>
    <m/>
    <m/>
    <m/>
    <m/>
  </r>
  <r>
    <x v="3"/>
    <x v="23"/>
    <x v="81"/>
    <n v="4050"/>
    <n v="1000"/>
    <m/>
    <n v="5050"/>
    <n v="4218"/>
    <n v="660"/>
    <m/>
    <n v="4878"/>
    <n v="-172"/>
    <m/>
    <m/>
    <m/>
    <m/>
    <m/>
    <m/>
    <m/>
    <m/>
    <m/>
  </r>
  <r>
    <x v="3"/>
    <x v="23"/>
    <x v="29"/>
    <m/>
    <m/>
    <m/>
    <m/>
    <m/>
    <n v="4697"/>
    <m/>
    <n v="4697"/>
    <n v="4697"/>
    <m/>
    <m/>
    <m/>
    <m/>
    <m/>
    <m/>
    <m/>
    <m/>
    <m/>
  </r>
  <r>
    <x v="3"/>
    <x v="23"/>
    <x v="109"/>
    <m/>
    <m/>
    <m/>
    <n v="0"/>
    <m/>
    <n v="8895"/>
    <m/>
    <n v="8895"/>
    <n v="8895"/>
    <m/>
    <m/>
    <m/>
    <m/>
    <m/>
    <m/>
    <m/>
    <m/>
    <m/>
  </r>
  <r>
    <x v="3"/>
    <x v="23"/>
    <x v="24"/>
    <m/>
    <m/>
    <m/>
    <m/>
    <m/>
    <m/>
    <m/>
    <m/>
    <m/>
    <m/>
    <m/>
    <m/>
    <m/>
    <m/>
    <m/>
    <m/>
    <m/>
    <m/>
  </r>
  <r>
    <x v="3"/>
    <x v="23"/>
    <x v="33"/>
    <m/>
    <m/>
    <m/>
    <n v="0"/>
    <m/>
    <m/>
    <m/>
    <n v="0"/>
    <n v="0"/>
    <m/>
    <m/>
    <m/>
    <m/>
    <n v="1000"/>
    <m/>
    <m/>
    <m/>
    <m/>
  </r>
  <r>
    <x v="3"/>
    <x v="23"/>
    <x v="145"/>
    <m/>
    <m/>
    <m/>
    <m/>
    <m/>
    <m/>
    <m/>
    <m/>
    <m/>
    <m/>
    <m/>
    <n v="4000"/>
    <m/>
    <n v="4000"/>
    <m/>
    <m/>
    <m/>
    <m/>
  </r>
  <r>
    <x v="3"/>
    <x v="23"/>
    <x v="146"/>
    <m/>
    <m/>
    <m/>
    <m/>
    <m/>
    <m/>
    <m/>
    <m/>
    <m/>
    <m/>
    <m/>
    <n v="3000"/>
    <m/>
    <n v="3000"/>
    <m/>
    <m/>
    <m/>
    <m/>
  </r>
  <r>
    <x v="3"/>
    <x v="23"/>
    <x v="147"/>
    <m/>
    <m/>
    <n v="40000"/>
    <n v="40000"/>
    <m/>
    <m/>
    <m/>
    <n v="0"/>
    <n v="-40000"/>
    <m/>
    <m/>
    <m/>
    <m/>
    <m/>
    <m/>
    <m/>
    <m/>
    <m/>
  </r>
  <r>
    <x v="3"/>
    <x v="23"/>
    <x v="148"/>
    <m/>
    <m/>
    <n v="3000"/>
    <n v="3000"/>
    <m/>
    <m/>
    <m/>
    <n v="0"/>
    <n v="-3000"/>
    <m/>
    <m/>
    <m/>
    <m/>
    <m/>
    <m/>
    <m/>
    <m/>
    <m/>
  </r>
  <r>
    <x v="3"/>
    <x v="23"/>
    <x v="149"/>
    <m/>
    <m/>
    <n v="2600"/>
    <n v="2600"/>
    <m/>
    <m/>
    <m/>
    <n v="0"/>
    <n v="-2600"/>
    <m/>
    <m/>
    <m/>
    <m/>
    <m/>
    <m/>
    <m/>
    <m/>
    <m/>
  </r>
  <r>
    <x v="3"/>
    <x v="23"/>
    <x v="150"/>
    <m/>
    <m/>
    <m/>
    <m/>
    <m/>
    <m/>
    <m/>
    <m/>
    <m/>
    <m/>
    <m/>
    <m/>
    <m/>
    <n v="15000"/>
    <m/>
    <m/>
    <m/>
    <m/>
  </r>
  <r>
    <x v="3"/>
    <x v="23"/>
    <x v="151"/>
    <m/>
    <m/>
    <m/>
    <m/>
    <m/>
    <m/>
    <m/>
    <m/>
    <m/>
    <m/>
    <m/>
    <m/>
    <m/>
    <n v="2000"/>
    <m/>
    <m/>
    <m/>
    <m/>
  </r>
  <r>
    <x v="3"/>
    <x v="23"/>
    <x v="152"/>
    <m/>
    <m/>
    <m/>
    <m/>
    <m/>
    <m/>
    <m/>
    <m/>
    <m/>
    <m/>
    <m/>
    <m/>
    <m/>
    <n v="15000"/>
    <m/>
    <m/>
    <m/>
    <m/>
  </r>
  <r>
    <x v="1"/>
    <x v="10"/>
    <x v="21"/>
    <n v="140808"/>
    <n v="95230"/>
    <n v="47100"/>
    <n v="283138"/>
    <n v="167797"/>
    <n v="93574"/>
    <n v="1700"/>
    <n v="263071"/>
    <n v="-20067"/>
    <n v="0"/>
    <n v="0"/>
    <n v="7000"/>
    <n v="0"/>
    <n v="4000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24"/>
    <x v="153"/>
    <n v="15495"/>
    <n v="6000"/>
    <m/>
    <n v="21495"/>
    <n v="17213"/>
    <n v="1500"/>
    <m/>
    <n v="18713"/>
    <n v="-2782"/>
    <m/>
    <m/>
    <m/>
    <m/>
    <m/>
    <m/>
    <m/>
    <m/>
    <m/>
  </r>
  <r>
    <x v="3"/>
    <x v="24"/>
    <x v="30"/>
    <m/>
    <m/>
    <m/>
    <n v="0"/>
    <m/>
    <m/>
    <m/>
    <n v="0"/>
    <n v="0"/>
    <m/>
    <m/>
    <m/>
    <m/>
    <m/>
    <m/>
    <m/>
    <m/>
    <m/>
  </r>
  <r>
    <x v="3"/>
    <x v="24"/>
    <x v="111"/>
    <n v="7415"/>
    <n v="3000"/>
    <m/>
    <n v="10415"/>
    <m/>
    <n v="1355"/>
    <m/>
    <n v="1355"/>
    <n v="-9060"/>
    <m/>
    <m/>
    <m/>
    <m/>
    <m/>
    <m/>
    <m/>
    <m/>
    <m/>
  </r>
  <r>
    <x v="3"/>
    <x v="24"/>
    <x v="112"/>
    <m/>
    <n v="4500"/>
    <m/>
    <n v="4500"/>
    <m/>
    <n v="3908"/>
    <m/>
    <n v="3908"/>
    <n v="-592"/>
    <m/>
    <m/>
    <m/>
    <m/>
    <m/>
    <m/>
    <m/>
    <m/>
    <m/>
  </r>
  <r>
    <x v="3"/>
    <x v="24"/>
    <x v="109"/>
    <m/>
    <m/>
    <m/>
    <m/>
    <m/>
    <n v="498"/>
    <m/>
    <n v="498"/>
    <n v="498"/>
    <m/>
    <m/>
    <m/>
    <m/>
    <m/>
    <m/>
    <m/>
    <m/>
    <m/>
  </r>
  <r>
    <x v="3"/>
    <x v="24"/>
    <x v="28"/>
    <m/>
    <n v="2000"/>
    <m/>
    <n v="2000"/>
    <m/>
    <n v="1210"/>
    <m/>
    <n v="1210"/>
    <n v="-790"/>
    <m/>
    <m/>
    <m/>
    <m/>
    <m/>
    <m/>
    <m/>
    <m/>
    <m/>
  </r>
  <r>
    <x v="3"/>
    <x v="24"/>
    <x v="113"/>
    <n v="2420"/>
    <n v="3850"/>
    <m/>
    <n v="6270"/>
    <n v="9492"/>
    <n v="6664"/>
    <m/>
    <n v="16156"/>
    <n v="9886"/>
    <m/>
    <m/>
    <m/>
    <m/>
    <m/>
    <m/>
    <m/>
    <m/>
    <m/>
  </r>
  <r>
    <x v="3"/>
    <x v="24"/>
    <x v="129"/>
    <n v="9085"/>
    <n v="2570"/>
    <n v="750"/>
    <n v="12405"/>
    <n v="6180"/>
    <n v="2080"/>
    <n v="850"/>
    <n v="9110"/>
    <n v="-3295"/>
    <m/>
    <m/>
    <m/>
    <m/>
    <m/>
    <m/>
    <m/>
    <m/>
    <m/>
  </r>
  <r>
    <x v="3"/>
    <x v="24"/>
    <x v="33"/>
    <m/>
    <m/>
    <m/>
    <n v="0"/>
    <m/>
    <m/>
    <m/>
    <n v="0"/>
    <n v="0"/>
    <m/>
    <m/>
    <m/>
    <m/>
    <m/>
    <m/>
    <m/>
    <m/>
    <m/>
  </r>
  <r>
    <x v="3"/>
    <x v="24"/>
    <x v="154"/>
    <m/>
    <m/>
    <n v="3000"/>
    <n v="3000"/>
    <m/>
    <m/>
    <m/>
    <n v="0"/>
    <n v="-3000"/>
    <m/>
    <m/>
    <m/>
    <m/>
    <m/>
    <m/>
    <m/>
    <m/>
    <m/>
  </r>
  <r>
    <x v="3"/>
    <x v="24"/>
    <x v="155"/>
    <m/>
    <m/>
    <n v="5000"/>
    <n v="5000"/>
    <m/>
    <m/>
    <m/>
    <n v="0"/>
    <n v="-5000"/>
    <m/>
    <m/>
    <m/>
    <m/>
    <m/>
    <m/>
    <m/>
    <m/>
    <m/>
  </r>
  <r>
    <x v="1"/>
    <x v="10"/>
    <x v="21"/>
    <n v="34415"/>
    <n v="21920"/>
    <n v="8750"/>
    <n v="65085"/>
    <n v="32885"/>
    <n v="17215"/>
    <n v="850"/>
    <n v="50950"/>
    <n v="-14135"/>
    <n v="0"/>
    <n v="0"/>
    <n v="0"/>
    <n v="0"/>
    <n v="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25"/>
    <x v="156"/>
    <n v="11438"/>
    <n v="12000"/>
    <m/>
    <n v="23438"/>
    <n v="14874"/>
    <n v="1851"/>
    <m/>
    <n v="16725"/>
    <n v="-6713"/>
    <m/>
    <m/>
    <m/>
    <m/>
    <m/>
    <m/>
    <m/>
    <m/>
    <m/>
  </r>
  <r>
    <x v="3"/>
    <x v="25"/>
    <x v="30"/>
    <m/>
    <m/>
    <m/>
    <n v="0"/>
    <m/>
    <m/>
    <m/>
    <n v="0"/>
    <n v="0"/>
    <m/>
    <m/>
    <m/>
    <m/>
    <m/>
    <m/>
    <m/>
    <m/>
    <m/>
  </r>
  <r>
    <x v="3"/>
    <x v="25"/>
    <x v="111"/>
    <n v="7415"/>
    <n v="8000"/>
    <m/>
    <n v="15415"/>
    <m/>
    <n v="6360"/>
    <m/>
    <n v="6360"/>
    <n v="-9055"/>
    <m/>
    <m/>
    <m/>
    <m/>
    <m/>
    <m/>
    <m/>
    <m/>
    <m/>
  </r>
  <r>
    <x v="3"/>
    <x v="25"/>
    <x v="112"/>
    <n v="36680"/>
    <n v="14150"/>
    <m/>
    <n v="50830"/>
    <m/>
    <n v="11547"/>
    <m/>
    <n v="11547"/>
    <n v="-39283"/>
    <m/>
    <m/>
    <m/>
    <m/>
    <m/>
    <m/>
    <m/>
    <m/>
    <m/>
  </r>
  <r>
    <x v="3"/>
    <x v="25"/>
    <x v="28"/>
    <m/>
    <n v="3000"/>
    <m/>
    <n v="3000"/>
    <n v="9269"/>
    <n v="3769"/>
    <m/>
    <n v="13038"/>
    <n v="10038"/>
    <m/>
    <m/>
    <m/>
    <m/>
    <m/>
    <m/>
    <m/>
    <m/>
    <m/>
  </r>
  <r>
    <x v="3"/>
    <x v="25"/>
    <x v="113"/>
    <n v="2420"/>
    <n v="2700"/>
    <m/>
    <n v="5120"/>
    <n v="30712"/>
    <n v="13592"/>
    <m/>
    <n v="44304"/>
    <n v="39184"/>
    <m/>
    <m/>
    <m/>
    <m/>
    <m/>
    <m/>
    <m/>
    <m/>
    <m/>
  </r>
  <r>
    <x v="3"/>
    <x v="25"/>
    <x v="130"/>
    <n v="25450"/>
    <n v="16600"/>
    <m/>
    <n v="42050"/>
    <n v="13534"/>
    <n v="20678"/>
    <m/>
    <n v="34212"/>
    <n v="-7838"/>
    <m/>
    <m/>
    <m/>
    <m/>
    <m/>
    <m/>
    <m/>
    <m/>
    <m/>
  </r>
  <r>
    <x v="3"/>
    <x v="25"/>
    <x v="129"/>
    <n v="9085"/>
    <n v="3860"/>
    <n v="750"/>
    <n v="13695"/>
    <n v="10162"/>
    <n v="4720"/>
    <n v="850"/>
    <n v="15732"/>
    <n v="2037"/>
    <m/>
    <m/>
    <m/>
    <m/>
    <m/>
    <m/>
    <m/>
    <m/>
    <m/>
  </r>
  <r>
    <x v="3"/>
    <x v="25"/>
    <x v="131"/>
    <n v="12340"/>
    <n v="4960"/>
    <m/>
    <n v="17300"/>
    <n v="12882"/>
    <n v="5335"/>
    <m/>
    <n v="18217"/>
    <n v="917"/>
    <m/>
    <m/>
    <m/>
    <m/>
    <m/>
    <m/>
    <m/>
    <m/>
    <m/>
  </r>
  <r>
    <x v="3"/>
    <x v="25"/>
    <x v="24"/>
    <m/>
    <m/>
    <m/>
    <n v="0"/>
    <m/>
    <m/>
    <m/>
    <n v="0"/>
    <n v="0"/>
    <m/>
    <m/>
    <m/>
    <m/>
    <m/>
    <m/>
    <m/>
    <m/>
    <m/>
  </r>
  <r>
    <x v="3"/>
    <x v="25"/>
    <x v="33"/>
    <m/>
    <m/>
    <m/>
    <n v="0"/>
    <m/>
    <m/>
    <m/>
    <n v="0"/>
    <n v="0"/>
    <m/>
    <m/>
    <m/>
    <m/>
    <m/>
    <m/>
    <m/>
    <m/>
    <m/>
  </r>
  <r>
    <x v="3"/>
    <x v="25"/>
    <x v="157"/>
    <m/>
    <m/>
    <n v="2500"/>
    <n v="2500"/>
    <m/>
    <m/>
    <m/>
    <n v="0"/>
    <n v="-2500"/>
    <m/>
    <m/>
    <m/>
    <m/>
    <m/>
    <m/>
    <m/>
    <m/>
    <m/>
  </r>
  <r>
    <x v="3"/>
    <x v="25"/>
    <x v="154"/>
    <m/>
    <m/>
    <n v="3000"/>
    <n v="3000"/>
    <m/>
    <m/>
    <m/>
    <n v="0"/>
    <n v="-3000"/>
    <m/>
    <m/>
    <m/>
    <m/>
    <m/>
    <m/>
    <m/>
    <m/>
    <m/>
  </r>
  <r>
    <x v="3"/>
    <x v="25"/>
    <x v="136"/>
    <m/>
    <m/>
    <n v="650"/>
    <n v="650"/>
    <m/>
    <m/>
    <m/>
    <n v="0"/>
    <n v="-650"/>
    <m/>
    <m/>
    <m/>
    <m/>
    <m/>
    <m/>
    <m/>
    <m/>
    <m/>
  </r>
  <r>
    <x v="1"/>
    <x v="10"/>
    <x v="21"/>
    <n v="104828"/>
    <n v="65270"/>
    <n v="6900"/>
    <n v="176998"/>
    <n v="91433"/>
    <n v="67852"/>
    <n v="850"/>
    <n v="160135"/>
    <n v="-16863"/>
    <n v="0"/>
    <n v="0"/>
    <n v="0"/>
    <n v="0"/>
    <n v="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26"/>
    <x v="158"/>
    <n v="19153"/>
    <n v="10000"/>
    <m/>
    <n v="29153"/>
    <n v="19894"/>
    <n v="3523"/>
    <m/>
    <n v="23417"/>
    <n v="-5736"/>
    <m/>
    <m/>
    <m/>
    <m/>
    <m/>
    <m/>
    <m/>
    <m/>
    <m/>
  </r>
  <r>
    <x v="3"/>
    <x v="26"/>
    <x v="30"/>
    <m/>
    <m/>
    <m/>
    <n v="0"/>
    <m/>
    <m/>
    <m/>
    <n v="0"/>
    <n v="0"/>
    <m/>
    <m/>
    <m/>
    <m/>
    <m/>
    <m/>
    <m/>
    <m/>
    <m/>
  </r>
  <r>
    <x v="3"/>
    <x v="26"/>
    <x v="111"/>
    <m/>
    <n v="13000"/>
    <m/>
    <n v="13000"/>
    <m/>
    <n v="12431"/>
    <n v="770"/>
    <n v="13201"/>
    <n v="201"/>
    <m/>
    <m/>
    <m/>
    <m/>
    <m/>
    <m/>
    <m/>
    <m/>
    <m/>
  </r>
  <r>
    <x v="3"/>
    <x v="26"/>
    <x v="112"/>
    <m/>
    <n v="9000"/>
    <m/>
    <n v="9000"/>
    <m/>
    <n v="8248"/>
    <m/>
    <n v="8248"/>
    <n v="-752"/>
    <m/>
    <m/>
    <m/>
    <m/>
    <m/>
    <m/>
    <m/>
    <m/>
    <m/>
  </r>
  <r>
    <x v="3"/>
    <x v="26"/>
    <x v="128"/>
    <n v="20360"/>
    <n v="5160"/>
    <m/>
    <n v="25520"/>
    <n v="24561"/>
    <n v="16112"/>
    <m/>
    <n v="40673"/>
    <n v="15153"/>
    <m/>
    <m/>
    <m/>
    <m/>
    <m/>
    <m/>
    <m/>
    <m/>
    <m/>
  </r>
  <r>
    <x v="3"/>
    <x v="26"/>
    <x v="113"/>
    <n v="37290"/>
    <n v="30030"/>
    <m/>
    <n v="67320"/>
    <n v="15152"/>
    <n v="13009"/>
    <m/>
    <n v="28161"/>
    <n v="-39159"/>
    <m/>
    <m/>
    <m/>
    <m/>
    <m/>
    <m/>
    <m/>
    <m/>
    <m/>
  </r>
  <r>
    <x v="3"/>
    <x v="26"/>
    <x v="109"/>
    <m/>
    <m/>
    <m/>
    <m/>
    <m/>
    <n v="3338"/>
    <m/>
    <n v="3338"/>
    <n v="3338"/>
    <m/>
    <m/>
    <m/>
    <m/>
    <m/>
    <m/>
    <m/>
    <m/>
    <m/>
  </r>
  <r>
    <x v="3"/>
    <x v="26"/>
    <x v="29"/>
    <m/>
    <m/>
    <m/>
    <m/>
    <m/>
    <n v="1471"/>
    <m/>
    <n v="1471"/>
    <n v="1471"/>
    <m/>
    <m/>
    <m/>
    <m/>
    <m/>
    <m/>
    <m/>
    <m/>
    <m/>
  </r>
  <r>
    <x v="3"/>
    <x v="26"/>
    <x v="129"/>
    <n v="11530"/>
    <n v="1810"/>
    <n v="750"/>
    <n v="14090"/>
    <n v="10042"/>
    <n v="3252"/>
    <n v="850"/>
    <n v="14144"/>
    <n v="54"/>
    <m/>
    <m/>
    <m/>
    <m/>
    <m/>
    <m/>
    <m/>
    <m/>
    <m/>
  </r>
  <r>
    <x v="3"/>
    <x v="26"/>
    <x v="130"/>
    <n v="7800"/>
    <n v="4100"/>
    <m/>
    <n v="11900"/>
    <m/>
    <n v="2928"/>
    <m/>
    <n v="2928"/>
    <n v="-8972"/>
    <m/>
    <m/>
    <m/>
    <m/>
    <m/>
    <m/>
    <m/>
    <m/>
    <m/>
  </r>
  <r>
    <x v="3"/>
    <x v="26"/>
    <x v="159"/>
    <n v="15880"/>
    <n v="3000"/>
    <m/>
    <n v="18880"/>
    <n v="12417"/>
    <n v="5452"/>
    <m/>
    <n v="17869"/>
    <n v="-1011"/>
    <m/>
    <m/>
    <m/>
    <m/>
    <m/>
    <m/>
    <m/>
    <m/>
    <m/>
  </r>
  <r>
    <x v="3"/>
    <x v="26"/>
    <x v="24"/>
    <m/>
    <m/>
    <m/>
    <n v="0"/>
    <m/>
    <m/>
    <m/>
    <n v="0"/>
    <n v="0"/>
    <m/>
    <m/>
    <m/>
    <m/>
    <m/>
    <m/>
    <m/>
    <m/>
    <m/>
  </r>
  <r>
    <x v="3"/>
    <x v="26"/>
    <x v="33"/>
    <m/>
    <m/>
    <m/>
    <n v="0"/>
    <m/>
    <m/>
    <m/>
    <n v="0"/>
    <n v="0"/>
    <m/>
    <m/>
    <m/>
    <m/>
    <m/>
    <m/>
    <m/>
    <m/>
    <m/>
  </r>
  <r>
    <x v="3"/>
    <x v="26"/>
    <x v="47"/>
    <m/>
    <m/>
    <m/>
    <m/>
    <m/>
    <m/>
    <m/>
    <n v="0"/>
    <n v="0"/>
    <m/>
    <m/>
    <n v="3500"/>
    <m/>
    <m/>
    <m/>
    <m/>
    <m/>
    <m/>
  </r>
  <r>
    <x v="3"/>
    <x v="26"/>
    <x v="160"/>
    <m/>
    <m/>
    <m/>
    <m/>
    <m/>
    <n v="150"/>
    <m/>
    <n v="150"/>
    <n v="150"/>
    <m/>
    <m/>
    <m/>
    <m/>
    <m/>
    <m/>
    <m/>
    <m/>
    <m/>
  </r>
  <r>
    <x v="3"/>
    <x v="26"/>
    <x v="161"/>
    <m/>
    <m/>
    <n v="700"/>
    <n v="700"/>
    <m/>
    <m/>
    <m/>
    <n v="0"/>
    <n v="-700"/>
    <m/>
    <m/>
    <m/>
    <m/>
    <m/>
    <m/>
    <m/>
    <m/>
    <m/>
  </r>
  <r>
    <x v="3"/>
    <x v="26"/>
    <x v="88"/>
    <m/>
    <n v="3000"/>
    <m/>
    <n v="3000"/>
    <m/>
    <m/>
    <m/>
    <n v="0"/>
    <n v="-3000"/>
    <m/>
    <m/>
    <m/>
    <m/>
    <m/>
    <m/>
    <m/>
    <m/>
    <m/>
  </r>
  <r>
    <x v="1"/>
    <x v="10"/>
    <x v="21"/>
    <n v="112013"/>
    <n v="79100"/>
    <n v="1450"/>
    <n v="192563"/>
    <n v="82066"/>
    <n v="69914"/>
    <n v="1620"/>
    <n v="153600"/>
    <n v="-38963"/>
    <n v="0"/>
    <n v="0"/>
    <n v="3500"/>
    <n v="0"/>
    <n v="0"/>
    <n v="0"/>
    <n v="0"/>
    <n v="0"/>
    <n v="0"/>
  </r>
  <r>
    <x v="1"/>
    <x v="10"/>
    <x v="24"/>
    <m/>
    <m/>
    <m/>
    <m/>
    <m/>
    <m/>
    <m/>
    <m/>
    <n v="0"/>
    <m/>
    <m/>
    <m/>
    <m/>
    <m/>
    <m/>
    <m/>
    <m/>
    <m/>
  </r>
  <r>
    <x v="3"/>
    <x v="27"/>
    <x v="162"/>
    <n v="5964"/>
    <n v="695"/>
    <m/>
    <n v="6659"/>
    <n v="21230"/>
    <n v="505"/>
    <m/>
    <n v="21735"/>
    <n v="15076"/>
    <m/>
    <m/>
    <m/>
    <m/>
    <m/>
    <m/>
    <m/>
    <m/>
    <m/>
  </r>
  <r>
    <x v="3"/>
    <x v="27"/>
    <x v="109"/>
    <m/>
    <n v="2000"/>
    <m/>
    <n v="2000"/>
    <m/>
    <n v="2469"/>
    <m/>
    <n v="2469"/>
    <n v="469"/>
    <m/>
    <m/>
    <m/>
    <m/>
    <m/>
    <m/>
    <m/>
    <m/>
    <m/>
  </r>
  <r>
    <x v="3"/>
    <x v="27"/>
    <x v="111"/>
    <n v="4278"/>
    <n v="2383"/>
    <m/>
    <n v="6661"/>
    <m/>
    <n v="2295"/>
    <m/>
    <n v="2295"/>
    <n v="-4366"/>
    <m/>
    <m/>
    <m/>
    <m/>
    <m/>
    <m/>
    <m/>
    <m/>
    <m/>
  </r>
  <r>
    <x v="3"/>
    <x v="27"/>
    <x v="112"/>
    <m/>
    <n v="5953"/>
    <m/>
    <n v="5953"/>
    <m/>
    <n v="5729"/>
    <m/>
    <n v="5729"/>
    <n v="-224"/>
    <m/>
    <m/>
    <m/>
    <m/>
    <m/>
    <m/>
    <m/>
    <m/>
    <m/>
  </r>
  <r>
    <x v="3"/>
    <x v="27"/>
    <x v="29"/>
    <m/>
    <n v="1198"/>
    <m/>
    <n v="1198"/>
    <m/>
    <n v="2576"/>
    <m/>
    <n v="2576"/>
    <n v="1378"/>
    <m/>
    <m/>
    <m/>
    <m/>
    <m/>
    <m/>
    <m/>
    <m/>
    <m/>
  </r>
  <r>
    <x v="3"/>
    <x v="27"/>
    <x v="43"/>
    <n v="22090"/>
    <n v="15871"/>
    <m/>
    <n v="37961"/>
    <n v="30325"/>
    <n v="17177"/>
    <m/>
    <n v="47502"/>
    <n v="9541"/>
    <m/>
    <m/>
    <m/>
    <m/>
    <m/>
    <m/>
    <m/>
    <m/>
    <m/>
  </r>
  <r>
    <x v="3"/>
    <x v="27"/>
    <x v="163"/>
    <n v="11873"/>
    <n v="1689"/>
    <m/>
    <n v="13562"/>
    <n v="12537"/>
    <n v="1390"/>
    <m/>
    <n v="13927"/>
    <n v="365"/>
    <m/>
    <m/>
    <m/>
    <m/>
    <m/>
    <m/>
    <m/>
    <m/>
    <m/>
  </r>
  <r>
    <x v="3"/>
    <x v="27"/>
    <x v="164"/>
    <n v="9493"/>
    <n v="2676"/>
    <n v="600"/>
    <n v="12769"/>
    <n v="7415"/>
    <n v="2049"/>
    <n v="700"/>
    <n v="10164"/>
    <n v="-2605"/>
    <m/>
    <m/>
    <m/>
    <m/>
    <m/>
    <m/>
    <m/>
    <m/>
    <m/>
  </r>
  <r>
    <x v="3"/>
    <x v="27"/>
    <x v="165"/>
    <n v="16011"/>
    <n v="6600"/>
    <m/>
    <n v="22611"/>
    <n v="16651"/>
    <n v="3436"/>
    <m/>
    <n v="20087"/>
    <n v="-2524"/>
    <m/>
    <m/>
    <m/>
    <m/>
    <m/>
    <m/>
    <m/>
    <m/>
    <m/>
  </r>
  <r>
    <x v="3"/>
    <x v="27"/>
    <x v="30"/>
    <m/>
    <n v="9952"/>
    <n v="4393"/>
    <n v="14345"/>
    <n v="7995"/>
    <n v="8587"/>
    <n v="4393"/>
    <n v="20975"/>
    <n v="6630"/>
    <m/>
    <m/>
    <m/>
    <m/>
    <m/>
    <m/>
    <m/>
    <m/>
    <m/>
  </r>
  <r>
    <x v="3"/>
    <x v="27"/>
    <x v="24"/>
    <m/>
    <m/>
    <m/>
    <m/>
    <m/>
    <m/>
    <m/>
    <m/>
    <m/>
    <m/>
    <m/>
    <m/>
    <m/>
    <m/>
    <m/>
    <m/>
    <m/>
    <m/>
  </r>
  <r>
    <x v="3"/>
    <x v="27"/>
    <x v="33"/>
    <m/>
    <m/>
    <m/>
    <m/>
    <m/>
    <m/>
    <m/>
    <m/>
    <m/>
    <m/>
    <m/>
    <m/>
    <m/>
    <m/>
    <m/>
    <m/>
    <m/>
    <m/>
  </r>
  <r>
    <x v="3"/>
    <x v="27"/>
    <x v="166"/>
    <m/>
    <n v="1080"/>
    <m/>
    <n v="1080"/>
    <m/>
    <m/>
    <m/>
    <m/>
    <n v="-1080"/>
    <m/>
    <m/>
    <m/>
    <m/>
    <m/>
    <m/>
    <m/>
    <m/>
    <m/>
  </r>
  <r>
    <x v="3"/>
    <x v="27"/>
    <x v="167"/>
    <m/>
    <m/>
    <m/>
    <m/>
    <m/>
    <m/>
    <m/>
    <m/>
    <m/>
    <m/>
    <n v="3000"/>
    <m/>
    <m/>
    <m/>
    <m/>
    <m/>
    <m/>
    <m/>
  </r>
  <r>
    <x v="3"/>
    <x v="27"/>
    <x v="168"/>
    <m/>
    <m/>
    <m/>
    <m/>
    <m/>
    <m/>
    <n v="650"/>
    <m/>
    <m/>
    <m/>
    <m/>
    <m/>
    <m/>
    <m/>
    <m/>
    <m/>
    <m/>
    <m/>
  </r>
  <r>
    <x v="1"/>
    <x v="10"/>
    <x v="21"/>
    <n v="69709"/>
    <n v="50097"/>
    <n v="4993"/>
    <n v="124799"/>
    <n v="96153"/>
    <n v="46213"/>
    <n v="5743"/>
    <n v="148109"/>
    <n v="23310"/>
    <n v="0"/>
    <n v="3000"/>
    <n v="0"/>
    <n v="0"/>
    <n v="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28"/>
    <x v="169"/>
    <n v="5771"/>
    <n v="1898"/>
    <m/>
    <n v="7669"/>
    <n v="21230"/>
    <n v="5167"/>
    <m/>
    <n v="26397"/>
    <n v="18728"/>
    <m/>
    <m/>
    <m/>
    <m/>
    <m/>
    <m/>
    <m/>
    <m/>
    <m/>
  </r>
  <r>
    <x v="3"/>
    <x v="28"/>
    <x v="109"/>
    <m/>
    <n v="4550"/>
    <m/>
    <n v="4550"/>
    <m/>
    <n v="5781"/>
    <m/>
    <n v="5781"/>
    <n v="1231"/>
    <m/>
    <m/>
    <m/>
    <m/>
    <m/>
    <m/>
    <m/>
    <m/>
    <m/>
  </r>
  <r>
    <x v="3"/>
    <x v="28"/>
    <x v="111"/>
    <n v="10505"/>
    <n v="10764"/>
    <m/>
    <n v="21269"/>
    <m/>
    <n v="11114"/>
    <m/>
    <n v="11114"/>
    <n v="-10155"/>
    <m/>
    <m/>
    <m/>
    <m/>
    <m/>
    <m/>
    <m/>
    <m/>
    <m/>
  </r>
  <r>
    <x v="3"/>
    <x v="28"/>
    <x v="112"/>
    <m/>
    <n v="9770"/>
    <m/>
    <n v="9770"/>
    <m/>
    <n v="7016"/>
    <m/>
    <n v="7016"/>
    <n v="-2754"/>
    <m/>
    <m/>
    <m/>
    <m/>
    <m/>
    <m/>
    <m/>
    <m/>
    <m/>
  </r>
  <r>
    <x v="3"/>
    <x v="28"/>
    <x v="29"/>
    <m/>
    <n v="3675"/>
    <m/>
    <n v="3675"/>
    <m/>
    <n v="3891"/>
    <m/>
    <n v="3891"/>
    <n v="216"/>
    <m/>
    <m/>
    <m/>
    <m/>
    <m/>
    <m/>
    <m/>
    <m/>
    <m/>
  </r>
  <r>
    <x v="3"/>
    <x v="28"/>
    <x v="43"/>
    <n v="84377"/>
    <n v="9467"/>
    <m/>
    <n v="93844"/>
    <n v="80744"/>
    <n v="25034"/>
    <m/>
    <n v="105778"/>
    <n v="11934"/>
    <m/>
    <m/>
    <m/>
    <m/>
    <m/>
    <m/>
    <m/>
    <m/>
    <m/>
  </r>
  <r>
    <x v="3"/>
    <x v="28"/>
    <x v="170"/>
    <m/>
    <n v="44711"/>
    <m/>
    <n v="44711"/>
    <m/>
    <n v="44711"/>
    <m/>
    <n v="44711"/>
    <n v="0"/>
    <m/>
    <m/>
    <m/>
    <m/>
    <m/>
    <m/>
    <m/>
    <m/>
    <m/>
  </r>
  <r>
    <x v="3"/>
    <x v="28"/>
    <x v="171"/>
    <n v="9546"/>
    <n v="890"/>
    <m/>
    <n v="10436"/>
    <n v="10276"/>
    <n v="937"/>
    <m/>
    <n v="11213"/>
    <n v="777"/>
    <m/>
    <m/>
    <m/>
    <m/>
    <m/>
    <m/>
    <m/>
    <m/>
    <m/>
  </r>
  <r>
    <x v="3"/>
    <x v="28"/>
    <x v="172"/>
    <n v="7021"/>
    <n v="1113"/>
    <n v="550"/>
    <n v="8684"/>
    <n v="9823"/>
    <n v="1062"/>
    <n v="550"/>
    <n v="11435"/>
    <n v="2751"/>
    <m/>
    <m/>
    <m/>
    <m/>
    <m/>
    <m/>
    <m/>
    <m/>
    <m/>
  </r>
  <r>
    <x v="3"/>
    <x v="28"/>
    <x v="173"/>
    <n v="17751"/>
    <n v="2975"/>
    <m/>
    <n v="20726"/>
    <n v="16956"/>
    <n v="3019"/>
    <m/>
    <n v="19975"/>
    <n v="-751"/>
    <m/>
    <m/>
    <m/>
    <m/>
    <m/>
    <m/>
    <m/>
    <m/>
    <m/>
  </r>
  <r>
    <x v="3"/>
    <x v="28"/>
    <x v="30"/>
    <m/>
    <n v="11092"/>
    <n v="18209"/>
    <n v="29301"/>
    <n v="11633"/>
    <n v="8428"/>
    <n v="18209"/>
    <n v="38270"/>
    <n v="8969"/>
    <m/>
    <m/>
    <m/>
    <m/>
    <m/>
    <m/>
    <m/>
    <m/>
    <m/>
  </r>
  <r>
    <x v="3"/>
    <x v="28"/>
    <x v="24"/>
    <m/>
    <m/>
    <m/>
    <m/>
    <m/>
    <m/>
    <m/>
    <m/>
    <m/>
    <m/>
    <m/>
    <m/>
    <m/>
    <m/>
    <m/>
    <m/>
    <m/>
    <m/>
  </r>
  <r>
    <x v="3"/>
    <x v="28"/>
    <x v="174"/>
    <m/>
    <m/>
    <m/>
    <m/>
    <m/>
    <n v="150"/>
    <m/>
    <n v="150"/>
    <n v="150"/>
    <m/>
    <m/>
    <m/>
    <m/>
    <m/>
    <m/>
    <m/>
    <m/>
    <m/>
  </r>
  <r>
    <x v="3"/>
    <x v="28"/>
    <x v="175"/>
    <m/>
    <n v="465"/>
    <m/>
    <n v="465"/>
    <m/>
    <m/>
    <m/>
    <n v="0"/>
    <m/>
    <m/>
    <m/>
    <m/>
    <m/>
    <m/>
    <m/>
    <m/>
    <m/>
    <m/>
  </r>
  <r>
    <x v="3"/>
    <x v="28"/>
    <x v="176"/>
    <m/>
    <n v="887"/>
    <m/>
    <n v="887"/>
    <m/>
    <m/>
    <m/>
    <n v="0"/>
    <m/>
    <m/>
    <m/>
    <m/>
    <m/>
    <m/>
    <m/>
    <m/>
    <m/>
    <m/>
  </r>
  <r>
    <x v="3"/>
    <x v="28"/>
    <x v="177"/>
    <m/>
    <n v="1200"/>
    <m/>
    <n v="1200"/>
    <m/>
    <m/>
    <m/>
    <n v="0"/>
    <m/>
    <m/>
    <m/>
    <m/>
    <m/>
    <m/>
    <m/>
    <m/>
    <m/>
    <m/>
  </r>
  <r>
    <x v="3"/>
    <x v="28"/>
    <x v="178"/>
    <m/>
    <m/>
    <m/>
    <m/>
    <m/>
    <n v="600"/>
    <m/>
    <n v="600"/>
    <m/>
    <m/>
    <m/>
    <m/>
    <m/>
    <m/>
    <m/>
    <m/>
    <m/>
    <m/>
  </r>
  <r>
    <x v="3"/>
    <x v="28"/>
    <x v="179"/>
    <m/>
    <m/>
    <m/>
    <m/>
    <m/>
    <m/>
    <m/>
    <m/>
    <m/>
    <m/>
    <m/>
    <n v="3780"/>
    <m/>
    <m/>
    <m/>
    <m/>
    <m/>
    <m/>
  </r>
  <r>
    <x v="3"/>
    <x v="28"/>
    <x v="180"/>
    <m/>
    <m/>
    <m/>
    <m/>
    <m/>
    <m/>
    <m/>
    <m/>
    <m/>
    <m/>
    <m/>
    <m/>
    <m/>
    <m/>
    <m/>
    <m/>
    <m/>
    <m/>
  </r>
  <r>
    <x v="1"/>
    <x v="10"/>
    <x v="21"/>
    <n v="134971"/>
    <n v="103457"/>
    <n v="18759"/>
    <n v="257187"/>
    <n v="150662"/>
    <n v="116910"/>
    <n v="18759"/>
    <n v="286331"/>
    <n v="29144"/>
    <n v="0"/>
    <n v="0"/>
    <n v="3780"/>
    <n v="0"/>
    <n v="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29"/>
    <x v="181"/>
    <n v="5389"/>
    <n v="607"/>
    <m/>
    <n v="5996"/>
    <n v="18097"/>
    <n v="1699"/>
    <m/>
    <n v="19796"/>
    <n v="13800"/>
    <m/>
    <m/>
    <m/>
    <m/>
    <m/>
    <m/>
    <m/>
    <m/>
    <m/>
  </r>
  <r>
    <x v="3"/>
    <x v="29"/>
    <x v="111"/>
    <n v="4156"/>
    <n v="5479"/>
    <m/>
    <n v="9635"/>
    <m/>
    <n v="6186"/>
    <m/>
    <n v="6186"/>
    <n v="-3449"/>
    <m/>
    <m/>
    <m/>
    <m/>
    <m/>
    <m/>
    <m/>
    <m/>
    <m/>
  </r>
  <r>
    <x v="3"/>
    <x v="29"/>
    <x v="112"/>
    <m/>
    <n v="5400"/>
    <m/>
    <n v="5400"/>
    <m/>
    <n v="4616"/>
    <m/>
    <n v="4616"/>
    <n v="-784"/>
    <m/>
    <m/>
    <m/>
    <m/>
    <m/>
    <m/>
    <m/>
    <m/>
    <m/>
  </r>
  <r>
    <x v="3"/>
    <x v="29"/>
    <x v="29"/>
    <m/>
    <n v="1707"/>
    <m/>
    <n v="1707"/>
    <m/>
    <n v="1875"/>
    <m/>
    <n v="1875"/>
    <n v="168"/>
    <m/>
    <m/>
    <m/>
    <m/>
    <m/>
    <m/>
    <m/>
    <m/>
    <m/>
  </r>
  <r>
    <x v="3"/>
    <x v="29"/>
    <x v="43"/>
    <n v="62549"/>
    <n v="9544"/>
    <m/>
    <n v="72093"/>
    <n v="66824"/>
    <n v="12706"/>
    <m/>
    <n v="79530"/>
    <n v="7437"/>
    <m/>
    <m/>
    <m/>
    <m/>
    <m/>
    <m/>
    <m/>
    <m/>
    <m/>
  </r>
  <r>
    <x v="3"/>
    <x v="29"/>
    <x v="182"/>
    <n v="17051"/>
    <n v="2272"/>
    <m/>
    <n v="19323"/>
    <n v="6983"/>
    <m/>
    <m/>
    <n v="6983"/>
    <n v="-12340"/>
    <n v="9998"/>
    <m/>
    <m/>
    <m/>
    <m/>
    <m/>
    <m/>
    <m/>
    <m/>
  </r>
  <r>
    <x v="3"/>
    <x v="29"/>
    <x v="183"/>
    <n v="9585"/>
    <n v="2108"/>
    <n v="650"/>
    <n v="12343"/>
    <n v="8922"/>
    <n v="1716"/>
    <n v="746"/>
    <n v="11384"/>
    <n v="-959"/>
    <m/>
    <m/>
    <m/>
    <m/>
    <m/>
    <m/>
    <m/>
    <m/>
    <m/>
  </r>
  <r>
    <x v="3"/>
    <x v="29"/>
    <x v="184"/>
    <n v="7021"/>
    <n v="1842"/>
    <n v="550"/>
    <n v="9413"/>
    <n v="7995"/>
    <n v="2115"/>
    <n v="700"/>
    <n v="10810"/>
    <n v="1397"/>
    <m/>
    <m/>
    <m/>
    <m/>
    <m/>
    <m/>
    <m/>
    <m/>
    <m/>
  </r>
  <r>
    <x v="3"/>
    <x v="29"/>
    <x v="185"/>
    <n v="28497"/>
    <n v="9527"/>
    <m/>
    <n v="38024"/>
    <n v="29130"/>
    <n v="11743"/>
    <m/>
    <n v="40873"/>
    <n v="2849"/>
    <m/>
    <m/>
    <m/>
    <m/>
    <m/>
    <m/>
    <m/>
    <m/>
    <m/>
  </r>
  <r>
    <x v="3"/>
    <x v="29"/>
    <x v="30"/>
    <m/>
    <n v="3026"/>
    <n v="10118"/>
    <n v="13144"/>
    <n v="17291"/>
    <n v="2450"/>
    <n v="10118"/>
    <n v="29859"/>
    <n v="16715"/>
    <m/>
    <m/>
    <m/>
    <m/>
    <m/>
    <m/>
    <m/>
    <m/>
    <m/>
  </r>
  <r>
    <x v="3"/>
    <x v="29"/>
    <x v="24"/>
    <m/>
    <m/>
    <m/>
    <m/>
    <m/>
    <m/>
    <m/>
    <m/>
    <m/>
    <m/>
    <m/>
    <m/>
    <m/>
    <m/>
    <m/>
    <m/>
    <m/>
    <m/>
  </r>
  <r>
    <x v="3"/>
    <x v="29"/>
    <x v="166"/>
    <m/>
    <n v="1094"/>
    <m/>
    <n v="1094"/>
    <m/>
    <m/>
    <m/>
    <n v="0"/>
    <n v="-1094"/>
    <m/>
    <m/>
    <m/>
    <m/>
    <m/>
    <m/>
    <m/>
    <m/>
    <m/>
  </r>
  <r>
    <x v="3"/>
    <x v="29"/>
    <x v="186"/>
    <m/>
    <m/>
    <n v="4247"/>
    <n v="4247"/>
    <m/>
    <m/>
    <m/>
    <n v="0"/>
    <n v="-4247"/>
    <m/>
    <m/>
    <n v="4247"/>
    <m/>
    <m/>
    <m/>
    <m/>
    <m/>
    <m/>
  </r>
  <r>
    <x v="3"/>
    <x v="29"/>
    <x v="187"/>
    <m/>
    <m/>
    <n v="1100"/>
    <n v="1100"/>
    <m/>
    <m/>
    <m/>
    <n v="0"/>
    <n v="-1100"/>
    <m/>
    <m/>
    <m/>
    <m/>
    <m/>
    <m/>
    <m/>
    <m/>
    <m/>
  </r>
  <r>
    <x v="3"/>
    <x v="29"/>
    <x v="188"/>
    <m/>
    <m/>
    <m/>
    <m/>
    <m/>
    <m/>
    <m/>
    <m/>
    <m/>
    <m/>
    <m/>
    <n v="35000"/>
    <m/>
    <m/>
    <m/>
    <m/>
    <m/>
    <m/>
  </r>
  <r>
    <x v="3"/>
    <x v="29"/>
    <x v="189"/>
    <m/>
    <m/>
    <m/>
    <m/>
    <m/>
    <m/>
    <m/>
    <m/>
    <m/>
    <m/>
    <m/>
    <m/>
    <m/>
    <n v="200"/>
    <m/>
    <m/>
    <m/>
    <m/>
  </r>
  <r>
    <x v="3"/>
    <x v="29"/>
    <x v="190"/>
    <m/>
    <m/>
    <m/>
    <m/>
    <m/>
    <m/>
    <m/>
    <m/>
    <m/>
    <m/>
    <m/>
    <m/>
    <m/>
    <n v="85"/>
    <m/>
    <m/>
    <m/>
    <m/>
  </r>
  <r>
    <x v="3"/>
    <x v="29"/>
    <x v="191"/>
    <m/>
    <n v="4500"/>
    <m/>
    <n v="4500"/>
    <m/>
    <m/>
    <m/>
    <m/>
    <m/>
    <m/>
    <m/>
    <m/>
    <m/>
    <n v="600"/>
    <m/>
    <m/>
    <m/>
    <m/>
  </r>
  <r>
    <x v="1"/>
    <x v="10"/>
    <x v="21"/>
    <n v="134248"/>
    <n v="47106"/>
    <n v="16665"/>
    <n v="198019"/>
    <n v="155242"/>
    <n v="45106"/>
    <n v="11564"/>
    <n v="211912"/>
    <n v="13893"/>
    <n v="9998"/>
    <n v="0"/>
    <n v="39247"/>
    <n v="0"/>
    <n v="885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30"/>
    <x v="192"/>
    <n v="4743"/>
    <n v="1514"/>
    <m/>
    <n v="6257"/>
    <n v="21818"/>
    <n v="6455"/>
    <m/>
    <n v="28273"/>
    <n v="22016"/>
    <m/>
    <m/>
    <m/>
    <m/>
    <m/>
    <m/>
    <m/>
    <m/>
    <m/>
  </r>
  <r>
    <x v="3"/>
    <x v="30"/>
    <x v="109"/>
    <m/>
    <n v="3000"/>
    <m/>
    <n v="3000"/>
    <m/>
    <n v="3333"/>
    <m/>
    <n v="3333"/>
    <n v="333"/>
    <m/>
    <m/>
    <m/>
    <m/>
    <m/>
    <m/>
    <m/>
    <m/>
    <m/>
  </r>
  <r>
    <x v="3"/>
    <x v="30"/>
    <x v="111"/>
    <n v="8514"/>
    <n v="8751"/>
    <m/>
    <n v="17265"/>
    <m/>
    <n v="9767"/>
    <m/>
    <n v="9767"/>
    <n v="-7498"/>
    <m/>
    <m/>
    <m/>
    <m/>
    <m/>
    <m/>
    <m/>
    <m/>
    <m/>
  </r>
  <r>
    <x v="3"/>
    <x v="30"/>
    <x v="112"/>
    <m/>
    <n v="6290"/>
    <m/>
    <n v="6290"/>
    <m/>
    <n v="6012"/>
    <m/>
    <n v="6012"/>
    <n v="-278"/>
    <m/>
    <m/>
    <m/>
    <m/>
    <m/>
    <m/>
    <m/>
    <m/>
    <m/>
  </r>
  <r>
    <x v="3"/>
    <x v="30"/>
    <x v="29"/>
    <m/>
    <n v="1700"/>
    <m/>
    <n v="1700"/>
    <m/>
    <n v="1809"/>
    <m/>
    <n v="1809"/>
    <n v="109"/>
    <m/>
    <m/>
    <m/>
    <m/>
    <m/>
    <m/>
    <m/>
    <m/>
    <m/>
  </r>
  <r>
    <x v="3"/>
    <x v="30"/>
    <x v="43"/>
    <n v="22019"/>
    <n v="11289"/>
    <m/>
    <n v="33308"/>
    <n v="22942"/>
    <n v="9234"/>
    <m/>
    <n v="32176"/>
    <n v="-1132"/>
    <m/>
    <m/>
    <m/>
    <m/>
    <m/>
    <m/>
    <m/>
    <m/>
    <m/>
  </r>
  <r>
    <x v="3"/>
    <x v="30"/>
    <x v="193"/>
    <n v="13579"/>
    <n v="2904"/>
    <m/>
    <n v="16483"/>
    <n v="14155"/>
    <n v="2555"/>
    <m/>
    <n v="16710"/>
    <n v="227"/>
    <m/>
    <m/>
    <m/>
    <m/>
    <m/>
    <m/>
    <m/>
    <m/>
    <m/>
  </r>
  <r>
    <x v="3"/>
    <x v="30"/>
    <x v="194"/>
    <n v="9493"/>
    <n v="2020"/>
    <n v="650"/>
    <n v="12163"/>
    <n v="11896"/>
    <n v="1773"/>
    <n v="650"/>
    <n v="14319"/>
    <n v="2156"/>
    <m/>
    <m/>
    <m/>
    <m/>
    <m/>
    <m/>
    <m/>
    <m/>
    <m/>
  </r>
  <r>
    <x v="3"/>
    <x v="30"/>
    <x v="195"/>
    <n v="37106"/>
    <n v="9184"/>
    <m/>
    <n v="46290"/>
    <n v="34334"/>
    <n v="9879"/>
    <m/>
    <n v="44213"/>
    <n v="-2077"/>
    <m/>
    <m/>
    <m/>
    <m/>
    <m/>
    <m/>
    <m/>
    <m/>
    <m/>
  </r>
  <r>
    <x v="3"/>
    <x v="30"/>
    <x v="30"/>
    <m/>
    <n v="25125"/>
    <n v="9335"/>
    <n v="34460"/>
    <n v="12235"/>
    <n v="17642"/>
    <n v="9335"/>
    <n v="39212"/>
    <n v="4752"/>
    <m/>
    <m/>
    <m/>
    <m/>
    <m/>
    <m/>
    <m/>
    <m/>
    <m/>
  </r>
  <r>
    <x v="3"/>
    <x v="30"/>
    <x v="24"/>
    <m/>
    <m/>
    <m/>
    <m/>
    <m/>
    <m/>
    <m/>
    <m/>
    <m/>
    <m/>
    <m/>
    <m/>
    <m/>
    <m/>
    <m/>
    <m/>
    <m/>
    <m/>
  </r>
  <r>
    <x v="3"/>
    <x v="30"/>
    <x v="196"/>
    <m/>
    <n v="390"/>
    <m/>
    <n v="390"/>
    <m/>
    <m/>
    <m/>
    <n v="0"/>
    <n v="-390"/>
    <m/>
    <m/>
    <m/>
    <m/>
    <m/>
    <m/>
    <m/>
    <m/>
    <m/>
  </r>
  <r>
    <x v="3"/>
    <x v="30"/>
    <x v="197"/>
    <m/>
    <n v="300"/>
    <m/>
    <n v="300"/>
    <m/>
    <m/>
    <m/>
    <n v="0"/>
    <n v="-300"/>
    <m/>
    <m/>
    <m/>
    <m/>
    <m/>
    <m/>
    <m/>
    <m/>
    <m/>
  </r>
  <r>
    <x v="3"/>
    <x v="30"/>
    <x v="24"/>
    <m/>
    <m/>
    <m/>
    <n v="0"/>
    <m/>
    <m/>
    <m/>
    <n v="0"/>
    <n v="0"/>
    <m/>
    <m/>
    <m/>
    <m/>
    <m/>
    <m/>
    <m/>
    <m/>
    <m/>
  </r>
  <r>
    <x v="3"/>
    <x v="30"/>
    <x v="24"/>
    <m/>
    <m/>
    <m/>
    <m/>
    <m/>
    <m/>
    <m/>
    <n v="0"/>
    <n v="0"/>
    <m/>
    <m/>
    <m/>
    <m/>
    <m/>
    <m/>
    <m/>
    <m/>
    <m/>
  </r>
  <r>
    <x v="3"/>
    <x v="30"/>
    <x v="198"/>
    <m/>
    <n v="93"/>
    <m/>
    <n v="93"/>
    <m/>
    <m/>
    <m/>
    <n v="0"/>
    <n v="-93"/>
    <m/>
    <m/>
    <m/>
    <m/>
    <m/>
    <m/>
    <m/>
    <m/>
    <m/>
  </r>
  <r>
    <x v="3"/>
    <x v="30"/>
    <x v="199"/>
    <m/>
    <n v="300"/>
    <m/>
    <n v="300"/>
    <m/>
    <m/>
    <m/>
    <n v="0"/>
    <n v="-300"/>
    <m/>
    <m/>
    <m/>
    <m/>
    <m/>
    <m/>
    <m/>
    <m/>
    <m/>
  </r>
  <r>
    <x v="3"/>
    <x v="30"/>
    <x v="200"/>
    <m/>
    <m/>
    <m/>
    <n v="0"/>
    <m/>
    <m/>
    <m/>
    <n v="0"/>
    <n v="0"/>
    <m/>
    <m/>
    <n v="730"/>
    <m/>
    <m/>
    <m/>
    <m/>
    <m/>
    <m/>
  </r>
  <r>
    <x v="3"/>
    <x v="30"/>
    <x v="201"/>
    <m/>
    <m/>
    <m/>
    <m/>
    <m/>
    <m/>
    <m/>
    <m/>
    <m/>
    <m/>
    <m/>
    <n v="10490"/>
    <m/>
    <m/>
    <m/>
    <m/>
    <m/>
    <m/>
  </r>
  <r>
    <x v="1"/>
    <x v="10"/>
    <x v="21"/>
    <n v="95454"/>
    <n v="72860"/>
    <n v="9985"/>
    <n v="178299"/>
    <n v="117380"/>
    <n v="68459"/>
    <n v="9985"/>
    <n v="195824"/>
    <n v="17525"/>
    <n v="0"/>
    <n v="0"/>
    <n v="11220"/>
    <n v="0"/>
    <n v="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31"/>
    <x v="202"/>
    <n v="6017"/>
    <n v="1311"/>
    <m/>
    <n v="7328"/>
    <n v="19351"/>
    <n v="5644"/>
    <m/>
    <n v="24995"/>
    <n v="17667"/>
    <m/>
    <m/>
    <m/>
    <m/>
    <m/>
    <m/>
    <m/>
    <m/>
    <m/>
  </r>
  <r>
    <x v="3"/>
    <x v="31"/>
    <x v="109"/>
    <m/>
    <n v="60"/>
    <m/>
    <n v="60"/>
    <m/>
    <n v="101"/>
    <m/>
    <n v="101"/>
    <n v="41"/>
    <m/>
    <m/>
    <m/>
    <m/>
    <m/>
    <m/>
    <m/>
    <m/>
    <m/>
  </r>
  <r>
    <x v="3"/>
    <x v="31"/>
    <x v="111"/>
    <n v="6801"/>
    <n v="5733"/>
    <m/>
    <n v="12534"/>
    <m/>
    <n v="6083"/>
    <m/>
    <n v="6083"/>
    <n v="-6451"/>
    <m/>
    <m/>
    <m/>
    <m/>
    <m/>
    <m/>
    <m/>
    <m/>
    <m/>
  </r>
  <r>
    <x v="3"/>
    <x v="31"/>
    <x v="112"/>
    <m/>
    <n v="9709"/>
    <m/>
    <n v="9709"/>
    <m/>
    <n v="11340"/>
    <m/>
    <n v="11340"/>
    <n v="1631"/>
    <m/>
    <m/>
    <m/>
    <m/>
    <m/>
    <m/>
    <m/>
    <m/>
    <m/>
  </r>
  <r>
    <x v="3"/>
    <x v="31"/>
    <x v="29"/>
    <m/>
    <n v="1093"/>
    <m/>
    <n v="1093"/>
    <m/>
    <n v="1059"/>
    <m/>
    <n v="1059"/>
    <n v="-34"/>
    <m/>
    <m/>
    <m/>
    <m/>
    <m/>
    <m/>
    <m/>
    <m/>
    <m/>
  </r>
  <r>
    <x v="3"/>
    <x v="31"/>
    <x v="43"/>
    <n v="39077"/>
    <n v="9181"/>
    <m/>
    <n v="48258"/>
    <n v="47241"/>
    <n v="9446"/>
    <m/>
    <n v="56687"/>
    <n v="8429"/>
    <m/>
    <m/>
    <m/>
    <m/>
    <m/>
    <m/>
    <m/>
    <m/>
    <m/>
  </r>
  <r>
    <x v="3"/>
    <x v="31"/>
    <x v="203"/>
    <n v="11562"/>
    <n v="1541"/>
    <m/>
    <n v="13103"/>
    <n v="12302"/>
    <n v="1203"/>
    <m/>
    <n v="13505"/>
    <n v="402"/>
    <m/>
    <m/>
    <m/>
    <m/>
    <m/>
    <m/>
    <m/>
    <m/>
    <m/>
  </r>
  <r>
    <x v="3"/>
    <x v="31"/>
    <x v="204"/>
    <n v="9493"/>
    <n v="2206"/>
    <n v="650"/>
    <n v="12349"/>
    <n v="8922"/>
    <n v="2042"/>
    <n v="850"/>
    <n v="11814"/>
    <n v="-535"/>
    <m/>
    <m/>
    <m/>
    <m/>
    <m/>
    <m/>
    <m/>
    <m/>
    <m/>
  </r>
  <r>
    <x v="3"/>
    <x v="31"/>
    <x v="205"/>
    <n v="42890"/>
    <n v="13598"/>
    <m/>
    <n v="56488"/>
    <n v="43168"/>
    <n v="15683"/>
    <m/>
    <n v="58851"/>
    <n v="2363"/>
    <m/>
    <m/>
    <m/>
    <m/>
    <m/>
    <m/>
    <m/>
    <m/>
    <m/>
  </r>
  <r>
    <x v="3"/>
    <x v="31"/>
    <x v="30"/>
    <m/>
    <n v="1507"/>
    <n v="2844"/>
    <n v="4351"/>
    <n v="9515"/>
    <n v="1164"/>
    <n v="2844"/>
    <n v="13523"/>
    <n v="9172"/>
    <m/>
    <m/>
    <m/>
    <m/>
    <m/>
    <m/>
    <m/>
    <m/>
    <m/>
  </r>
  <r>
    <x v="3"/>
    <x v="31"/>
    <x v="24"/>
    <m/>
    <m/>
    <m/>
    <m/>
    <m/>
    <m/>
    <m/>
    <m/>
    <m/>
    <m/>
    <m/>
    <m/>
    <m/>
    <m/>
    <m/>
    <m/>
    <m/>
    <m/>
  </r>
  <r>
    <x v="3"/>
    <x v="31"/>
    <x v="178"/>
    <m/>
    <n v="300"/>
    <m/>
    <n v="300"/>
    <m/>
    <m/>
    <m/>
    <n v="0"/>
    <n v="-300"/>
    <m/>
    <m/>
    <m/>
    <m/>
    <m/>
    <m/>
    <m/>
    <m/>
    <m/>
  </r>
  <r>
    <x v="3"/>
    <x v="31"/>
    <x v="24"/>
    <m/>
    <m/>
    <m/>
    <m/>
    <m/>
    <m/>
    <m/>
    <n v="0"/>
    <n v="0"/>
    <m/>
    <m/>
    <m/>
    <m/>
    <m/>
    <m/>
    <m/>
    <m/>
    <m/>
  </r>
  <r>
    <x v="3"/>
    <x v="31"/>
    <x v="206"/>
    <m/>
    <m/>
    <m/>
    <m/>
    <m/>
    <m/>
    <m/>
    <m/>
    <m/>
    <m/>
    <m/>
    <m/>
    <m/>
    <n v="300"/>
    <m/>
    <m/>
    <m/>
    <m/>
  </r>
  <r>
    <x v="3"/>
    <x v="31"/>
    <x v="207"/>
    <m/>
    <m/>
    <m/>
    <m/>
    <m/>
    <m/>
    <m/>
    <m/>
    <m/>
    <m/>
    <m/>
    <n v="750"/>
    <m/>
    <m/>
    <m/>
    <m/>
    <m/>
    <m/>
  </r>
  <r>
    <x v="3"/>
    <x v="31"/>
    <x v="208"/>
    <m/>
    <m/>
    <m/>
    <m/>
    <m/>
    <m/>
    <m/>
    <m/>
    <m/>
    <m/>
    <m/>
    <m/>
    <m/>
    <n v="1200"/>
    <m/>
    <m/>
    <m/>
    <m/>
  </r>
  <r>
    <x v="3"/>
    <x v="31"/>
    <x v="24"/>
    <m/>
    <m/>
    <m/>
    <m/>
    <m/>
    <m/>
    <m/>
    <m/>
    <m/>
    <m/>
    <m/>
    <m/>
    <m/>
    <m/>
    <m/>
    <m/>
    <m/>
    <m/>
  </r>
  <r>
    <x v="3"/>
    <x v="31"/>
    <x v="24"/>
    <m/>
    <m/>
    <m/>
    <m/>
    <m/>
    <m/>
    <m/>
    <m/>
    <m/>
    <m/>
    <m/>
    <m/>
    <m/>
    <m/>
    <m/>
    <m/>
    <m/>
    <m/>
  </r>
  <r>
    <x v="1"/>
    <x v="10"/>
    <x v="21"/>
    <n v="115840"/>
    <n v="46239"/>
    <n v="3494"/>
    <n v="165573"/>
    <n v="140499"/>
    <n v="53765"/>
    <n v="3694"/>
    <n v="197958"/>
    <n v="32385"/>
    <n v="0"/>
    <n v="0"/>
    <n v="750"/>
    <n v="0"/>
    <n v="150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32"/>
    <x v="209"/>
    <m/>
    <m/>
    <m/>
    <m/>
    <n v="23096"/>
    <n v="946"/>
    <m/>
    <n v="24042"/>
    <n v="24042"/>
    <m/>
    <m/>
    <m/>
    <m/>
    <m/>
    <m/>
    <m/>
    <m/>
    <m/>
  </r>
  <r>
    <x v="3"/>
    <x v="32"/>
    <x v="29"/>
    <m/>
    <m/>
    <m/>
    <m/>
    <m/>
    <n v="2571"/>
    <m/>
    <n v="2571"/>
    <n v="2571"/>
    <m/>
    <m/>
    <m/>
    <m/>
    <m/>
    <m/>
    <m/>
    <m/>
    <m/>
  </r>
  <r>
    <x v="3"/>
    <x v="32"/>
    <x v="43"/>
    <m/>
    <m/>
    <m/>
    <m/>
    <n v="19311"/>
    <n v="13986"/>
    <m/>
    <n v="33297"/>
    <n v="33297"/>
    <m/>
    <m/>
    <m/>
    <m/>
    <m/>
    <m/>
    <m/>
    <m/>
    <m/>
  </r>
  <r>
    <x v="3"/>
    <x v="32"/>
    <x v="112"/>
    <m/>
    <m/>
    <m/>
    <m/>
    <m/>
    <n v="1990"/>
    <m/>
    <n v="1990"/>
    <n v="1990"/>
    <m/>
    <m/>
    <m/>
    <m/>
    <m/>
    <m/>
    <m/>
    <m/>
    <m/>
  </r>
  <r>
    <x v="3"/>
    <x v="32"/>
    <x v="111"/>
    <m/>
    <m/>
    <m/>
    <m/>
    <m/>
    <n v="2368"/>
    <m/>
    <n v="2368"/>
    <n v="2368"/>
    <m/>
    <m/>
    <m/>
    <m/>
    <m/>
    <m/>
    <m/>
    <m/>
    <m/>
  </r>
  <r>
    <x v="3"/>
    <x v="32"/>
    <x v="210"/>
    <m/>
    <m/>
    <m/>
    <m/>
    <n v="10042"/>
    <n v="2484"/>
    <n v="4800"/>
    <n v="17326"/>
    <n v="17326"/>
    <m/>
    <m/>
    <m/>
    <m/>
    <m/>
    <m/>
    <m/>
    <m/>
    <m/>
  </r>
  <r>
    <x v="3"/>
    <x v="32"/>
    <x v="211"/>
    <m/>
    <m/>
    <m/>
    <m/>
    <m/>
    <n v="450"/>
    <m/>
    <n v="450"/>
    <n v="450"/>
    <m/>
    <m/>
    <m/>
    <m/>
    <m/>
    <m/>
    <m/>
    <m/>
    <m/>
  </r>
  <r>
    <x v="3"/>
    <x v="32"/>
    <x v="212"/>
    <m/>
    <m/>
    <m/>
    <m/>
    <n v="8179"/>
    <n v="2678"/>
    <n v="850"/>
    <n v="11707"/>
    <n v="11707"/>
    <m/>
    <m/>
    <m/>
    <m/>
    <m/>
    <m/>
    <m/>
    <m/>
    <m/>
  </r>
  <r>
    <x v="3"/>
    <x v="32"/>
    <x v="213"/>
    <m/>
    <m/>
    <m/>
    <m/>
    <n v="5541"/>
    <n v="1556"/>
    <m/>
    <n v="7097"/>
    <n v="7097"/>
    <m/>
    <m/>
    <m/>
    <m/>
    <m/>
    <m/>
    <m/>
    <m/>
    <m/>
  </r>
  <r>
    <x v="3"/>
    <x v="32"/>
    <x v="214"/>
    <n v="2190"/>
    <m/>
    <m/>
    <m/>
    <m/>
    <m/>
    <m/>
    <m/>
    <m/>
    <m/>
    <n v="1800"/>
    <m/>
    <m/>
    <m/>
    <m/>
    <m/>
    <m/>
    <m/>
  </r>
  <r>
    <x v="3"/>
    <x v="32"/>
    <x v="215"/>
    <m/>
    <m/>
    <m/>
    <m/>
    <m/>
    <m/>
    <m/>
    <n v="0"/>
    <n v="0"/>
    <m/>
    <m/>
    <n v="650"/>
    <m/>
    <m/>
    <m/>
    <m/>
    <m/>
    <m/>
  </r>
  <r>
    <x v="3"/>
    <x v="32"/>
    <x v="216"/>
    <m/>
    <m/>
    <m/>
    <m/>
    <m/>
    <m/>
    <m/>
    <n v="0"/>
    <n v="0"/>
    <m/>
    <m/>
    <m/>
    <m/>
    <n v="1000"/>
    <m/>
    <m/>
    <m/>
    <m/>
  </r>
  <r>
    <x v="3"/>
    <x v="32"/>
    <x v="217"/>
    <m/>
    <m/>
    <m/>
    <m/>
    <m/>
    <m/>
    <m/>
    <n v="0"/>
    <n v="0"/>
    <m/>
    <m/>
    <n v="600"/>
    <m/>
    <m/>
    <m/>
    <m/>
    <m/>
    <m/>
  </r>
  <r>
    <x v="3"/>
    <x v="32"/>
    <x v="218"/>
    <m/>
    <m/>
    <m/>
    <m/>
    <m/>
    <m/>
    <m/>
    <n v="0"/>
    <n v="0"/>
    <m/>
    <m/>
    <m/>
    <m/>
    <n v="5000"/>
    <m/>
    <m/>
    <m/>
    <m/>
  </r>
  <r>
    <x v="3"/>
    <x v="32"/>
    <x v="219"/>
    <m/>
    <m/>
    <m/>
    <m/>
    <m/>
    <m/>
    <m/>
    <n v="0"/>
    <n v="0"/>
    <m/>
    <m/>
    <m/>
    <m/>
    <n v="1900"/>
    <m/>
    <m/>
    <m/>
    <m/>
  </r>
  <r>
    <x v="1"/>
    <x v="10"/>
    <x v="21"/>
    <n v="2190"/>
    <n v="0"/>
    <m/>
    <m/>
    <n v="66169"/>
    <n v="29029"/>
    <n v="5650"/>
    <n v="100848"/>
    <n v="100848"/>
    <n v="0"/>
    <n v="1800"/>
    <n v="1250"/>
    <n v="0"/>
    <n v="790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3"/>
    <x v="33"/>
    <x v="220"/>
    <m/>
    <m/>
    <m/>
    <m/>
    <n v="26658"/>
    <n v="4349"/>
    <m/>
    <n v="31007"/>
    <n v="31007"/>
    <m/>
    <m/>
    <m/>
    <m/>
    <m/>
    <m/>
    <m/>
    <m/>
    <m/>
  </r>
  <r>
    <x v="3"/>
    <x v="33"/>
    <x v="109"/>
    <m/>
    <m/>
    <m/>
    <m/>
    <m/>
    <n v="6398"/>
    <m/>
    <n v="6398"/>
    <n v="6398"/>
    <m/>
    <m/>
    <m/>
    <m/>
    <m/>
    <m/>
    <m/>
    <m/>
    <m/>
  </r>
  <r>
    <x v="3"/>
    <x v="33"/>
    <x v="111"/>
    <m/>
    <m/>
    <m/>
    <m/>
    <m/>
    <n v="3362"/>
    <m/>
    <n v="3362"/>
    <n v="3362"/>
    <m/>
    <m/>
    <m/>
    <m/>
    <m/>
    <m/>
    <m/>
    <m/>
    <m/>
  </r>
  <r>
    <x v="3"/>
    <x v="33"/>
    <x v="112"/>
    <m/>
    <m/>
    <m/>
    <m/>
    <m/>
    <n v="3361"/>
    <m/>
    <n v="3361"/>
    <n v="3361"/>
    <m/>
    <m/>
    <m/>
    <m/>
    <m/>
    <m/>
    <m/>
    <m/>
    <m/>
  </r>
  <r>
    <x v="3"/>
    <x v="33"/>
    <x v="29"/>
    <m/>
    <m/>
    <m/>
    <m/>
    <m/>
    <n v="3926"/>
    <m/>
    <n v="3926"/>
    <n v="3926"/>
    <m/>
    <m/>
    <m/>
    <m/>
    <m/>
    <m/>
    <m/>
    <m/>
    <m/>
  </r>
  <r>
    <x v="3"/>
    <x v="33"/>
    <x v="43"/>
    <m/>
    <m/>
    <m/>
    <m/>
    <n v="33995"/>
    <n v="8628"/>
    <m/>
    <n v="42623"/>
    <n v="42623"/>
    <m/>
    <m/>
    <m/>
    <m/>
    <m/>
    <m/>
    <m/>
    <m/>
    <m/>
  </r>
  <r>
    <x v="3"/>
    <x v="33"/>
    <x v="221"/>
    <m/>
    <m/>
    <m/>
    <m/>
    <n v="466"/>
    <n v="224"/>
    <m/>
    <n v="690"/>
    <n v="690"/>
    <n v="9998"/>
    <m/>
    <m/>
    <m/>
    <m/>
    <m/>
    <m/>
    <m/>
    <m/>
  </r>
  <r>
    <x v="3"/>
    <x v="33"/>
    <x v="222"/>
    <m/>
    <m/>
    <m/>
    <m/>
    <n v="10043"/>
    <n v="2334"/>
    <n v="1000"/>
    <n v="13377"/>
    <n v="13377"/>
    <m/>
    <m/>
    <m/>
    <m/>
    <m/>
    <m/>
    <m/>
    <m/>
    <m/>
  </r>
  <r>
    <x v="3"/>
    <x v="33"/>
    <x v="223"/>
    <m/>
    <m/>
    <m/>
    <m/>
    <n v="12373"/>
    <n v="3060"/>
    <m/>
    <n v="15433"/>
    <n v="15433"/>
    <m/>
    <m/>
    <m/>
    <m/>
    <m/>
    <m/>
    <m/>
    <m/>
    <m/>
  </r>
  <r>
    <x v="3"/>
    <x v="33"/>
    <x v="30"/>
    <m/>
    <m/>
    <m/>
    <m/>
    <n v="13904"/>
    <m/>
    <m/>
    <n v="13904"/>
    <n v="13904"/>
    <m/>
    <m/>
    <m/>
    <m/>
    <m/>
    <m/>
    <m/>
    <m/>
    <m/>
  </r>
  <r>
    <x v="3"/>
    <x v="33"/>
    <x v="24"/>
    <m/>
    <m/>
    <m/>
    <m/>
    <m/>
    <m/>
    <m/>
    <n v="0"/>
    <n v="0"/>
    <m/>
    <m/>
    <m/>
    <m/>
    <m/>
    <m/>
    <m/>
    <m/>
    <m/>
  </r>
  <r>
    <x v="3"/>
    <x v="33"/>
    <x v="224"/>
    <m/>
    <m/>
    <m/>
    <m/>
    <m/>
    <m/>
    <m/>
    <n v="0"/>
    <n v="0"/>
    <m/>
    <m/>
    <m/>
    <m/>
    <n v="225"/>
    <m/>
    <m/>
    <m/>
    <m/>
  </r>
  <r>
    <x v="3"/>
    <x v="33"/>
    <x v="225"/>
    <m/>
    <m/>
    <m/>
    <m/>
    <m/>
    <m/>
    <m/>
    <n v="0"/>
    <n v="0"/>
    <m/>
    <m/>
    <m/>
    <m/>
    <n v="4000"/>
    <m/>
    <m/>
    <m/>
    <m/>
  </r>
  <r>
    <x v="3"/>
    <x v="33"/>
    <x v="226"/>
    <m/>
    <m/>
    <m/>
    <m/>
    <m/>
    <m/>
    <m/>
    <n v="0"/>
    <n v="0"/>
    <m/>
    <m/>
    <m/>
    <m/>
    <n v="650"/>
    <m/>
    <m/>
    <m/>
    <m/>
  </r>
  <r>
    <x v="3"/>
    <x v="33"/>
    <x v="201"/>
    <m/>
    <m/>
    <m/>
    <m/>
    <m/>
    <m/>
    <m/>
    <n v="0"/>
    <n v="0"/>
    <m/>
    <m/>
    <m/>
    <m/>
    <n v="9000"/>
    <m/>
    <m/>
    <m/>
    <m/>
  </r>
  <r>
    <x v="3"/>
    <x v="33"/>
    <x v="24"/>
    <m/>
    <m/>
    <m/>
    <m/>
    <m/>
    <m/>
    <m/>
    <n v="0"/>
    <n v="0"/>
    <m/>
    <m/>
    <m/>
    <m/>
    <m/>
    <m/>
    <m/>
    <m/>
    <m/>
  </r>
  <r>
    <x v="1"/>
    <x v="10"/>
    <x v="21"/>
    <n v="0"/>
    <n v="0"/>
    <m/>
    <m/>
    <n v="97439"/>
    <n v="35642"/>
    <n v="1000"/>
    <n v="134081"/>
    <n v="134081"/>
    <n v="9998"/>
    <n v="0"/>
    <n v="0"/>
    <n v="0"/>
    <n v="13875"/>
    <n v="0"/>
    <n v="0"/>
    <n v="0"/>
    <n v="0"/>
  </r>
  <r>
    <x v="1"/>
    <x v="10"/>
    <x v="227"/>
    <n v="1923404"/>
    <n v="1142164"/>
    <n v="357922"/>
    <n v="3421300"/>
    <n v="2255834"/>
    <n v="1151595"/>
    <n v="96120"/>
    <n v="3503549"/>
    <n v="82249"/>
    <n v="69985"/>
    <n v="7724"/>
    <n v="105201"/>
    <n v="32402"/>
    <n v="99237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4"/>
    <x v="34"/>
    <x v="228"/>
    <m/>
    <n v="75158"/>
    <m/>
    <n v="75158"/>
    <m/>
    <n v="59000"/>
    <m/>
    <n v="59000"/>
    <n v="-16158"/>
    <m/>
    <m/>
    <m/>
    <m/>
    <m/>
    <m/>
    <m/>
    <m/>
    <m/>
  </r>
  <r>
    <x v="5"/>
    <x v="35"/>
    <x v="229"/>
    <n v="29515"/>
    <n v="14070"/>
    <n v="4200"/>
    <n v="47785"/>
    <n v="45728"/>
    <n v="10864"/>
    <n v="4200"/>
    <n v="60792"/>
    <n v="13007"/>
    <m/>
    <m/>
    <m/>
    <m/>
    <m/>
    <m/>
    <m/>
    <m/>
    <m/>
  </r>
  <r>
    <x v="5"/>
    <x v="35"/>
    <x v="230"/>
    <m/>
    <m/>
    <m/>
    <n v="0"/>
    <m/>
    <m/>
    <m/>
    <n v="0"/>
    <n v="0"/>
    <m/>
    <m/>
    <m/>
    <n v="30000"/>
    <m/>
    <m/>
    <m/>
    <m/>
    <m/>
  </r>
  <r>
    <x v="6"/>
    <x v="36"/>
    <x v="231"/>
    <m/>
    <n v="31169"/>
    <m/>
    <n v="31169"/>
    <m/>
    <n v="26114"/>
    <m/>
    <n v="26114"/>
    <n v="-5055"/>
    <n v="5350"/>
    <m/>
    <m/>
    <m/>
    <m/>
    <m/>
    <m/>
    <m/>
    <m/>
  </r>
  <r>
    <x v="7"/>
    <x v="37"/>
    <x v="232"/>
    <n v="43387"/>
    <n v="6947"/>
    <m/>
    <n v="50334"/>
    <n v="20000"/>
    <m/>
    <m/>
    <n v="20000"/>
    <n v="-30334"/>
    <n v="20000"/>
    <m/>
    <m/>
    <m/>
    <m/>
    <m/>
    <m/>
    <m/>
    <m/>
  </r>
  <r>
    <x v="7"/>
    <x v="38"/>
    <x v="233"/>
    <m/>
    <m/>
    <m/>
    <m/>
    <m/>
    <m/>
    <m/>
    <m/>
    <m/>
    <n v="1720"/>
    <m/>
    <m/>
    <m/>
    <m/>
    <m/>
    <m/>
    <m/>
    <m/>
  </r>
  <r>
    <x v="7"/>
    <x v="39"/>
    <x v="234"/>
    <m/>
    <n v="36700"/>
    <m/>
    <n v="36700"/>
    <m/>
    <m/>
    <m/>
    <n v="0"/>
    <n v="-36700"/>
    <m/>
    <m/>
    <n v="17261"/>
    <m/>
    <m/>
    <m/>
    <m/>
    <m/>
    <m/>
  </r>
  <r>
    <x v="7"/>
    <x v="39"/>
    <x v="235"/>
    <m/>
    <m/>
    <m/>
    <m/>
    <m/>
    <m/>
    <m/>
    <n v="0"/>
    <n v="0"/>
    <m/>
    <m/>
    <n v="50000"/>
    <m/>
    <m/>
    <m/>
    <m/>
    <m/>
    <m/>
  </r>
  <r>
    <x v="7"/>
    <x v="39"/>
    <x v="236"/>
    <m/>
    <m/>
    <m/>
    <n v="0"/>
    <m/>
    <n v="22237"/>
    <m/>
    <n v="22237"/>
    <n v="22237"/>
    <m/>
    <m/>
    <m/>
    <m/>
    <m/>
    <m/>
    <m/>
    <m/>
    <m/>
  </r>
  <r>
    <x v="7"/>
    <x v="39"/>
    <x v="237"/>
    <m/>
    <m/>
    <m/>
    <n v="0"/>
    <m/>
    <m/>
    <m/>
    <n v="0"/>
    <n v="0"/>
    <m/>
    <m/>
    <n v="4296"/>
    <m/>
    <m/>
    <m/>
    <m/>
    <m/>
    <m/>
  </r>
  <r>
    <x v="7"/>
    <x v="39"/>
    <x v="238"/>
    <m/>
    <m/>
    <m/>
    <m/>
    <m/>
    <m/>
    <m/>
    <m/>
    <m/>
    <m/>
    <m/>
    <n v="1936"/>
    <m/>
    <m/>
    <m/>
    <m/>
    <m/>
    <m/>
  </r>
  <r>
    <x v="7"/>
    <x v="39"/>
    <x v="239"/>
    <m/>
    <m/>
    <m/>
    <m/>
    <m/>
    <m/>
    <m/>
    <m/>
    <m/>
    <m/>
    <m/>
    <m/>
    <m/>
    <m/>
    <n v="2934144"/>
    <m/>
    <n v="1308214"/>
    <n v="1625930"/>
  </r>
  <r>
    <x v="1"/>
    <x v="10"/>
    <x v="240"/>
    <m/>
    <m/>
    <m/>
    <n v="0"/>
    <m/>
    <m/>
    <m/>
    <n v="0"/>
    <n v="0"/>
    <m/>
    <m/>
    <m/>
    <m/>
    <m/>
    <m/>
    <m/>
    <m/>
    <m/>
  </r>
  <r>
    <x v="7"/>
    <x v="40"/>
    <x v="241"/>
    <m/>
    <n v="6850"/>
    <m/>
    <n v="6850"/>
    <m/>
    <n v="10000"/>
    <m/>
    <n v="10000"/>
    <n v="3150"/>
    <m/>
    <m/>
    <m/>
    <m/>
    <m/>
    <m/>
    <m/>
    <m/>
    <m/>
  </r>
  <r>
    <x v="7"/>
    <x v="41"/>
    <x v="242"/>
    <m/>
    <n v="10695"/>
    <m/>
    <n v="10695"/>
    <m/>
    <m/>
    <m/>
    <n v="0"/>
    <n v="-10695"/>
    <m/>
    <m/>
    <m/>
    <m/>
    <m/>
    <m/>
    <m/>
    <m/>
    <m/>
  </r>
  <r>
    <x v="7"/>
    <x v="41"/>
    <x v="243"/>
    <m/>
    <m/>
    <n v="16769"/>
    <n v="16769"/>
    <m/>
    <m/>
    <m/>
    <n v="0"/>
    <n v="-16769"/>
    <m/>
    <m/>
    <m/>
    <m/>
    <m/>
    <m/>
    <m/>
    <m/>
    <m/>
  </r>
  <r>
    <x v="7"/>
    <x v="41"/>
    <x v="244"/>
    <m/>
    <m/>
    <m/>
    <n v="0"/>
    <m/>
    <m/>
    <m/>
    <n v="0"/>
    <n v="0"/>
    <n v="1400"/>
    <m/>
    <m/>
    <m/>
    <m/>
    <m/>
    <m/>
    <m/>
    <m/>
  </r>
  <r>
    <x v="7"/>
    <x v="41"/>
    <x v="245"/>
    <m/>
    <m/>
    <m/>
    <m/>
    <m/>
    <m/>
    <m/>
    <n v="0"/>
    <n v="0"/>
    <n v="6000"/>
    <m/>
    <m/>
    <m/>
    <m/>
    <m/>
    <m/>
    <m/>
    <m/>
  </r>
  <r>
    <x v="7"/>
    <x v="41"/>
    <x v="246"/>
    <m/>
    <m/>
    <m/>
    <n v="0"/>
    <m/>
    <m/>
    <m/>
    <n v="0"/>
    <n v="0"/>
    <n v="6314"/>
    <m/>
    <m/>
    <m/>
    <n v="6000"/>
    <m/>
    <m/>
    <m/>
    <m/>
  </r>
  <r>
    <x v="1"/>
    <x v="10"/>
    <x v="21"/>
    <n v="72902"/>
    <n v="181589"/>
    <n v="20969"/>
    <n v="275460"/>
    <n v="65728"/>
    <n v="128215"/>
    <n v="4200"/>
    <n v="198143"/>
    <n v="-77317"/>
    <n v="40784"/>
    <n v="0"/>
    <n v="73493"/>
    <n v="30000"/>
    <n v="6000"/>
    <n v="2934144"/>
    <n v="0"/>
    <n v="1308214"/>
    <n v="1625930"/>
  </r>
  <r>
    <x v="8"/>
    <x v="42"/>
    <x v="247"/>
    <m/>
    <m/>
    <m/>
    <m/>
    <m/>
    <m/>
    <m/>
    <n v="0"/>
    <m/>
    <n v="236259"/>
    <m/>
    <m/>
    <m/>
    <m/>
    <m/>
    <m/>
    <m/>
    <m/>
  </r>
  <r>
    <x v="8"/>
    <x v="43"/>
    <x v="248"/>
    <m/>
    <m/>
    <m/>
    <m/>
    <m/>
    <m/>
    <m/>
    <n v="0"/>
    <m/>
    <n v="193615"/>
    <m/>
    <m/>
    <m/>
    <m/>
    <m/>
    <m/>
    <m/>
    <m/>
  </r>
  <r>
    <x v="8"/>
    <x v="44"/>
    <x v="249"/>
    <m/>
    <m/>
    <m/>
    <m/>
    <m/>
    <m/>
    <m/>
    <n v="0"/>
    <m/>
    <n v="297399"/>
    <m/>
    <m/>
    <m/>
    <m/>
    <m/>
    <m/>
    <m/>
    <m/>
  </r>
  <r>
    <x v="8"/>
    <x v="44"/>
    <x v="250"/>
    <m/>
    <m/>
    <m/>
    <m/>
    <m/>
    <m/>
    <m/>
    <n v="0"/>
    <m/>
    <n v="18469"/>
    <m/>
    <m/>
    <m/>
    <m/>
    <n v="86228"/>
    <m/>
    <m/>
    <n v="86228"/>
  </r>
  <r>
    <x v="8"/>
    <x v="44"/>
    <x v="251"/>
    <m/>
    <m/>
    <m/>
    <m/>
    <m/>
    <m/>
    <m/>
    <n v="0"/>
    <m/>
    <n v="9861"/>
    <m/>
    <m/>
    <m/>
    <m/>
    <m/>
    <m/>
    <m/>
    <m/>
  </r>
  <r>
    <x v="8"/>
    <x v="44"/>
    <x v="252"/>
    <m/>
    <m/>
    <m/>
    <m/>
    <m/>
    <m/>
    <m/>
    <n v="0"/>
    <m/>
    <n v="19520"/>
    <m/>
    <m/>
    <m/>
    <m/>
    <m/>
    <m/>
    <m/>
    <m/>
  </r>
  <r>
    <x v="8"/>
    <x v="44"/>
    <x v="253"/>
    <m/>
    <m/>
    <m/>
    <m/>
    <m/>
    <m/>
    <m/>
    <n v="0"/>
    <m/>
    <n v="11732"/>
    <m/>
    <m/>
    <m/>
    <m/>
    <m/>
    <m/>
    <m/>
    <m/>
  </r>
  <r>
    <x v="8"/>
    <x v="45"/>
    <x v="254"/>
    <m/>
    <m/>
    <m/>
    <m/>
    <m/>
    <m/>
    <m/>
    <n v="0"/>
    <m/>
    <n v="37327"/>
    <m/>
    <m/>
    <m/>
    <m/>
    <m/>
    <m/>
    <m/>
    <m/>
  </r>
  <r>
    <x v="8"/>
    <x v="45"/>
    <x v="255"/>
    <m/>
    <m/>
    <m/>
    <m/>
    <m/>
    <m/>
    <m/>
    <n v="0"/>
    <m/>
    <n v="38512"/>
    <m/>
    <m/>
    <m/>
    <m/>
    <m/>
    <m/>
    <m/>
    <m/>
  </r>
  <r>
    <x v="8"/>
    <x v="46"/>
    <x v="254"/>
    <m/>
    <m/>
    <m/>
    <m/>
    <m/>
    <m/>
    <m/>
    <n v="0"/>
    <m/>
    <n v="76370"/>
    <m/>
    <m/>
    <m/>
    <m/>
    <m/>
    <m/>
    <m/>
    <m/>
  </r>
  <r>
    <x v="8"/>
    <x v="47"/>
    <x v="254"/>
    <m/>
    <m/>
    <m/>
    <m/>
    <m/>
    <m/>
    <m/>
    <n v="0"/>
    <m/>
    <n v="607796"/>
    <m/>
    <m/>
    <m/>
    <m/>
    <m/>
    <m/>
    <m/>
    <m/>
  </r>
  <r>
    <x v="8"/>
    <x v="48"/>
    <x v="256"/>
    <m/>
    <m/>
    <m/>
    <m/>
    <m/>
    <m/>
    <m/>
    <m/>
    <m/>
    <m/>
    <m/>
    <m/>
    <m/>
    <m/>
    <n v="168426"/>
    <m/>
    <n v="168426"/>
    <m/>
  </r>
  <r>
    <x v="1"/>
    <x v="10"/>
    <x v="257"/>
    <m/>
    <m/>
    <m/>
    <m/>
    <m/>
    <m/>
    <m/>
    <n v="0"/>
    <m/>
    <m/>
    <m/>
    <m/>
    <m/>
    <m/>
    <m/>
    <m/>
    <m/>
    <m/>
  </r>
  <r>
    <x v="1"/>
    <x v="10"/>
    <x v="258"/>
    <m/>
    <m/>
    <m/>
    <m/>
    <m/>
    <m/>
    <m/>
    <n v="0"/>
    <m/>
    <m/>
    <m/>
    <m/>
    <m/>
    <m/>
    <m/>
    <m/>
    <m/>
    <m/>
  </r>
  <r>
    <x v="1"/>
    <x v="10"/>
    <x v="259"/>
    <m/>
    <n v="5000"/>
    <m/>
    <n v="5000"/>
    <m/>
    <m/>
    <m/>
    <n v="0"/>
    <m/>
    <m/>
    <m/>
    <m/>
    <m/>
    <m/>
    <m/>
    <m/>
    <m/>
    <m/>
  </r>
  <r>
    <x v="1"/>
    <x v="10"/>
    <x v="260"/>
    <m/>
    <n v="5000"/>
    <m/>
    <n v="5000"/>
    <m/>
    <m/>
    <m/>
    <n v="0"/>
    <m/>
    <m/>
    <m/>
    <m/>
    <m/>
    <m/>
    <m/>
    <m/>
    <m/>
    <m/>
  </r>
  <r>
    <x v="1"/>
    <x v="10"/>
    <x v="261"/>
    <m/>
    <n v="1044"/>
    <m/>
    <n v="1044"/>
    <m/>
    <m/>
    <m/>
    <n v="0"/>
    <m/>
    <m/>
    <m/>
    <m/>
    <m/>
    <m/>
    <m/>
    <m/>
    <m/>
    <m/>
  </r>
  <r>
    <x v="1"/>
    <x v="10"/>
    <x v="262"/>
    <n v="25229"/>
    <n v="51600"/>
    <n v="3000"/>
    <n v="79829"/>
    <m/>
    <m/>
    <m/>
    <n v="0"/>
    <m/>
    <m/>
    <m/>
    <m/>
    <m/>
    <m/>
    <m/>
    <m/>
    <m/>
    <m/>
  </r>
  <r>
    <x v="1"/>
    <x v="10"/>
    <x v="21"/>
    <n v="25229"/>
    <n v="62644"/>
    <n v="3000"/>
    <n v="90873"/>
    <n v="0"/>
    <n v="0"/>
    <n v="0"/>
    <n v="0"/>
    <m/>
    <n v="1546860"/>
    <n v="0"/>
    <n v="0"/>
    <n v="0"/>
    <n v="0"/>
    <n v="254654"/>
    <n v="0"/>
    <n v="168426"/>
    <n v="86228"/>
  </r>
  <r>
    <x v="9"/>
    <x v="49"/>
    <x v="263"/>
    <n v="52327"/>
    <n v="18881"/>
    <n v="1000"/>
    <n v="72208"/>
    <n v="60618"/>
    <n v="14135"/>
    <m/>
    <n v="74753"/>
    <n v="2545"/>
    <m/>
    <m/>
    <m/>
    <m/>
    <m/>
    <m/>
    <m/>
    <m/>
    <m/>
  </r>
  <r>
    <x v="9"/>
    <x v="49"/>
    <x v="264"/>
    <m/>
    <n v="9083"/>
    <m/>
    <n v="9083"/>
    <m/>
    <n v="2945"/>
    <m/>
    <n v="2945"/>
    <n v="-6138"/>
    <m/>
    <m/>
    <m/>
    <m/>
    <m/>
    <m/>
    <m/>
    <m/>
    <m/>
  </r>
  <r>
    <x v="9"/>
    <x v="49"/>
    <x v="265"/>
    <m/>
    <m/>
    <m/>
    <n v="0"/>
    <m/>
    <m/>
    <m/>
    <n v="0"/>
    <n v="0"/>
    <m/>
    <m/>
    <m/>
    <m/>
    <m/>
    <m/>
    <m/>
    <m/>
    <m/>
  </r>
  <r>
    <x v="9"/>
    <x v="49"/>
    <x v="266"/>
    <m/>
    <m/>
    <m/>
    <m/>
    <m/>
    <m/>
    <m/>
    <m/>
    <m/>
    <m/>
    <m/>
    <m/>
    <m/>
    <m/>
    <n v="23190"/>
    <n v="926"/>
    <n v="22264"/>
    <m/>
  </r>
  <r>
    <x v="9"/>
    <x v="49"/>
    <x v="267"/>
    <m/>
    <m/>
    <n v="5000"/>
    <n v="5000"/>
    <m/>
    <m/>
    <m/>
    <n v="0"/>
    <n v="-5000"/>
    <m/>
    <m/>
    <m/>
    <m/>
    <m/>
    <m/>
    <m/>
    <m/>
    <m/>
  </r>
  <r>
    <x v="9"/>
    <x v="49"/>
    <x v="268"/>
    <m/>
    <m/>
    <m/>
    <n v="0"/>
    <m/>
    <m/>
    <m/>
    <n v="0"/>
    <n v="0"/>
    <m/>
    <m/>
    <m/>
    <m/>
    <n v="2000"/>
    <m/>
    <m/>
    <m/>
    <m/>
  </r>
  <r>
    <x v="1"/>
    <x v="49"/>
    <x v="24"/>
    <m/>
    <m/>
    <m/>
    <n v="0"/>
    <m/>
    <m/>
    <m/>
    <n v="0"/>
    <n v="0"/>
    <m/>
    <m/>
    <m/>
    <m/>
    <m/>
    <m/>
    <m/>
    <m/>
    <m/>
  </r>
  <r>
    <x v="9"/>
    <x v="49"/>
    <x v="269"/>
    <m/>
    <m/>
    <m/>
    <n v="0"/>
    <m/>
    <m/>
    <m/>
    <n v="0"/>
    <n v="0"/>
    <m/>
    <m/>
    <m/>
    <n v="12000"/>
    <m/>
    <m/>
    <m/>
    <m/>
    <m/>
  </r>
  <r>
    <x v="1"/>
    <x v="10"/>
    <x v="21"/>
    <n v="52327"/>
    <n v="27964"/>
    <n v="6000"/>
    <n v="86291"/>
    <n v="60618"/>
    <n v="17080"/>
    <n v="0"/>
    <n v="77698"/>
    <n v="-8593"/>
    <n v="0"/>
    <n v="0"/>
    <n v="0"/>
    <n v="12000"/>
    <n v="2000"/>
    <n v="23190"/>
    <n v="926"/>
    <n v="22264"/>
    <n v="0"/>
  </r>
  <r>
    <x v="1"/>
    <x v="10"/>
    <x v="24"/>
    <m/>
    <m/>
    <m/>
    <m/>
    <m/>
    <m/>
    <m/>
    <m/>
    <m/>
    <m/>
    <m/>
    <m/>
    <m/>
    <m/>
    <m/>
    <m/>
    <m/>
    <m/>
  </r>
  <r>
    <x v="10"/>
    <x v="50"/>
    <x v="270"/>
    <m/>
    <m/>
    <m/>
    <n v="0"/>
    <m/>
    <n v="24000"/>
    <m/>
    <n v="24000"/>
    <n v="24000"/>
    <m/>
    <m/>
    <m/>
    <m/>
    <m/>
    <m/>
    <m/>
    <m/>
    <m/>
  </r>
  <r>
    <x v="10"/>
    <x v="50"/>
    <x v="271"/>
    <m/>
    <m/>
    <m/>
    <n v="0"/>
    <m/>
    <n v="1500"/>
    <m/>
    <n v="1500"/>
    <n v="1500"/>
    <m/>
    <m/>
    <m/>
    <m/>
    <m/>
    <m/>
    <m/>
    <m/>
    <m/>
  </r>
  <r>
    <x v="10"/>
    <x v="50"/>
    <x v="272"/>
    <m/>
    <m/>
    <m/>
    <n v="0"/>
    <m/>
    <n v="2470"/>
    <m/>
    <n v="2470"/>
    <n v="2470"/>
    <m/>
    <m/>
    <m/>
    <m/>
    <m/>
    <m/>
    <m/>
    <m/>
    <m/>
  </r>
  <r>
    <x v="10"/>
    <x v="50"/>
    <x v="8"/>
    <m/>
    <n v="58192"/>
    <m/>
    <n v="58192"/>
    <m/>
    <n v="11030"/>
    <m/>
    <n v="11030"/>
    <n v="-47162"/>
    <m/>
    <m/>
    <m/>
    <m/>
    <m/>
    <m/>
    <m/>
    <m/>
    <m/>
  </r>
  <r>
    <x v="1"/>
    <x v="10"/>
    <x v="21"/>
    <n v="0"/>
    <m/>
    <n v="0"/>
    <n v="0"/>
    <n v="0"/>
    <n v="39000"/>
    <n v="0"/>
    <n v="39000"/>
    <n v="39000"/>
    <n v="0"/>
    <n v="0"/>
    <n v="0"/>
    <n v="0"/>
    <n v="0"/>
    <n v="0"/>
    <n v="0"/>
    <n v="0"/>
    <n v="0"/>
  </r>
  <r>
    <x v="11"/>
    <x v="51"/>
    <x v="273"/>
    <m/>
    <n v="62894"/>
    <m/>
    <n v="62894"/>
    <m/>
    <m/>
    <m/>
    <n v="0"/>
    <n v="-62894"/>
    <n v="40971"/>
    <m/>
    <m/>
    <m/>
    <m/>
    <m/>
    <m/>
    <m/>
    <m/>
  </r>
  <r>
    <x v="11"/>
    <x v="51"/>
    <x v="274"/>
    <m/>
    <m/>
    <m/>
    <m/>
    <m/>
    <m/>
    <m/>
    <m/>
    <m/>
    <m/>
    <m/>
    <n v="59029"/>
    <m/>
    <m/>
    <m/>
    <m/>
    <m/>
    <m/>
  </r>
  <r>
    <x v="11"/>
    <x v="51"/>
    <x v="275"/>
    <m/>
    <n v="3864"/>
    <m/>
    <n v="3864"/>
    <m/>
    <n v="2523"/>
    <m/>
    <n v="2523"/>
    <n v="-1341"/>
    <m/>
    <m/>
    <m/>
    <m/>
    <m/>
    <m/>
    <m/>
    <m/>
    <m/>
  </r>
  <r>
    <x v="11"/>
    <x v="51"/>
    <x v="276"/>
    <m/>
    <m/>
    <m/>
    <m/>
    <m/>
    <m/>
    <m/>
    <n v="0"/>
    <m/>
    <m/>
    <m/>
    <m/>
    <m/>
    <n v="110000"/>
    <m/>
    <m/>
    <m/>
    <m/>
  </r>
  <r>
    <x v="1"/>
    <x v="10"/>
    <x v="21"/>
    <n v="0"/>
    <n v="66758"/>
    <n v="0"/>
    <n v="66758"/>
    <n v="0"/>
    <n v="2523"/>
    <n v="0"/>
    <n v="2523"/>
    <n v="-64235"/>
    <n v="40971"/>
    <n v="0"/>
    <n v="59029"/>
    <n v="0"/>
    <n v="110000"/>
    <n v="0"/>
    <n v="0"/>
    <n v="0"/>
    <n v="0"/>
  </r>
  <r>
    <x v="1"/>
    <x v="10"/>
    <x v="24"/>
    <m/>
    <m/>
    <m/>
    <m/>
    <m/>
    <m/>
    <m/>
    <n v="0"/>
    <m/>
    <m/>
    <m/>
    <m/>
    <m/>
    <m/>
    <m/>
    <m/>
    <m/>
    <m/>
  </r>
  <r>
    <x v="1"/>
    <x v="10"/>
    <x v="277"/>
    <m/>
    <m/>
    <m/>
    <m/>
    <m/>
    <m/>
    <m/>
    <m/>
    <m/>
    <m/>
    <m/>
    <m/>
    <m/>
    <m/>
    <m/>
    <m/>
    <m/>
    <m/>
  </r>
  <r>
    <x v="1"/>
    <x v="10"/>
    <x v="278"/>
    <m/>
    <m/>
    <m/>
    <m/>
    <m/>
    <m/>
    <m/>
    <m/>
    <m/>
    <m/>
    <m/>
    <m/>
    <m/>
    <m/>
    <m/>
    <m/>
    <m/>
    <m/>
  </r>
  <r>
    <x v="12"/>
    <x v="52"/>
    <x v="279"/>
    <m/>
    <n v="13016"/>
    <m/>
    <n v="13016"/>
    <m/>
    <n v="14016"/>
    <m/>
    <n v="14016"/>
    <n v="1000"/>
    <m/>
    <m/>
    <m/>
    <m/>
    <m/>
    <m/>
    <m/>
    <m/>
    <m/>
  </r>
  <r>
    <x v="12"/>
    <x v="52"/>
    <x v="280"/>
    <m/>
    <n v="71069"/>
    <m/>
    <n v="71069"/>
    <m/>
    <n v="13805"/>
    <m/>
    <n v="13805"/>
    <n v="-57264"/>
    <m/>
    <m/>
    <m/>
    <m/>
    <m/>
    <m/>
    <m/>
    <m/>
    <m/>
  </r>
  <r>
    <x v="12"/>
    <x v="52"/>
    <x v="281"/>
    <m/>
    <m/>
    <m/>
    <n v="0"/>
    <m/>
    <n v="15000"/>
    <m/>
    <n v="15000"/>
    <n v="15000"/>
    <m/>
    <m/>
    <m/>
    <m/>
    <m/>
    <m/>
    <m/>
    <m/>
    <m/>
  </r>
  <r>
    <x v="12"/>
    <x v="52"/>
    <x v="282"/>
    <m/>
    <m/>
    <m/>
    <n v="0"/>
    <m/>
    <n v="20000"/>
    <m/>
    <n v="20000"/>
    <n v="20000"/>
    <m/>
    <m/>
    <m/>
    <m/>
    <m/>
    <m/>
    <m/>
    <m/>
    <m/>
  </r>
  <r>
    <x v="12"/>
    <x v="52"/>
    <x v="283"/>
    <m/>
    <m/>
    <m/>
    <n v="0"/>
    <m/>
    <n v="36658"/>
    <m/>
    <n v="36658"/>
    <n v="36658"/>
    <m/>
    <m/>
    <m/>
    <m/>
    <m/>
    <m/>
    <m/>
    <m/>
    <m/>
  </r>
  <r>
    <x v="12"/>
    <x v="52"/>
    <x v="284"/>
    <m/>
    <n v="56000"/>
    <m/>
    <n v="56000"/>
    <m/>
    <n v="56000"/>
    <m/>
    <n v="56000"/>
    <n v="0"/>
    <m/>
    <m/>
    <m/>
    <m/>
    <m/>
    <m/>
    <m/>
    <m/>
    <m/>
  </r>
  <r>
    <x v="12"/>
    <x v="52"/>
    <x v="285"/>
    <m/>
    <n v="13765"/>
    <m/>
    <n v="13765"/>
    <m/>
    <m/>
    <m/>
    <n v="0"/>
    <n v="-13765"/>
    <m/>
    <m/>
    <m/>
    <m/>
    <m/>
    <m/>
    <m/>
    <m/>
    <m/>
  </r>
  <r>
    <x v="12"/>
    <x v="52"/>
    <x v="8"/>
    <m/>
    <n v="41621"/>
    <m/>
    <n v="41621"/>
    <m/>
    <m/>
    <m/>
    <n v="0"/>
    <n v="-41621"/>
    <m/>
    <m/>
    <m/>
    <m/>
    <m/>
    <m/>
    <m/>
    <m/>
    <m/>
  </r>
  <r>
    <x v="12"/>
    <x v="52"/>
    <x v="286"/>
    <m/>
    <n v="2000"/>
    <m/>
    <n v="2000"/>
    <m/>
    <n v="3000"/>
    <m/>
    <n v="3000"/>
    <n v="1000"/>
    <m/>
    <m/>
    <m/>
    <m/>
    <m/>
    <m/>
    <m/>
    <m/>
    <m/>
  </r>
  <r>
    <x v="12"/>
    <x v="52"/>
    <x v="287"/>
    <m/>
    <n v="13369"/>
    <m/>
    <n v="13369"/>
    <m/>
    <m/>
    <m/>
    <n v="0"/>
    <n v="-13369"/>
    <m/>
    <m/>
    <m/>
    <m/>
    <m/>
    <m/>
    <m/>
    <m/>
    <m/>
  </r>
  <r>
    <x v="12"/>
    <x v="52"/>
    <x v="288"/>
    <m/>
    <n v="50000"/>
    <m/>
    <n v="50000"/>
    <m/>
    <m/>
    <m/>
    <n v="0"/>
    <n v="-50000"/>
    <m/>
    <m/>
    <n v="25000"/>
    <m/>
    <m/>
    <m/>
    <m/>
    <m/>
    <m/>
  </r>
  <r>
    <x v="12"/>
    <x v="52"/>
    <x v="289"/>
    <m/>
    <n v="226906"/>
    <m/>
    <n v="226906"/>
    <m/>
    <m/>
    <m/>
    <n v="0"/>
    <n v="-226906"/>
    <m/>
    <m/>
    <n v="150000"/>
    <m/>
    <m/>
    <m/>
    <m/>
    <m/>
    <m/>
  </r>
  <r>
    <x v="12"/>
    <x v="52"/>
    <x v="290"/>
    <m/>
    <m/>
    <m/>
    <m/>
    <m/>
    <m/>
    <m/>
    <n v="0"/>
    <n v="0"/>
    <m/>
    <m/>
    <m/>
    <m/>
    <n v="85000"/>
    <m/>
    <m/>
    <m/>
    <m/>
  </r>
  <r>
    <x v="12"/>
    <x v="52"/>
    <x v="291"/>
    <m/>
    <m/>
    <m/>
    <m/>
    <m/>
    <m/>
    <m/>
    <n v="0"/>
    <n v="0"/>
    <m/>
    <m/>
    <m/>
    <m/>
    <n v="15000"/>
    <m/>
    <m/>
    <m/>
    <m/>
  </r>
  <r>
    <x v="12"/>
    <x v="52"/>
    <x v="292"/>
    <m/>
    <m/>
    <m/>
    <n v="0"/>
    <m/>
    <m/>
    <m/>
    <n v="0"/>
    <n v="0"/>
    <m/>
    <m/>
    <n v="40000"/>
    <m/>
    <m/>
    <m/>
    <m/>
    <m/>
    <m/>
  </r>
  <r>
    <x v="12"/>
    <x v="52"/>
    <x v="293"/>
    <m/>
    <n v="33034"/>
    <m/>
    <n v="33034"/>
    <m/>
    <m/>
    <m/>
    <n v="0"/>
    <n v="-33034"/>
    <m/>
    <m/>
    <n v="40000"/>
    <m/>
    <m/>
    <m/>
    <m/>
    <m/>
    <m/>
  </r>
  <r>
    <x v="12"/>
    <x v="52"/>
    <x v="294"/>
    <m/>
    <n v="4000"/>
    <m/>
    <n v="4000"/>
    <m/>
    <m/>
    <m/>
    <n v="0"/>
    <n v="-4000"/>
    <m/>
    <m/>
    <m/>
    <m/>
    <n v="20000"/>
    <m/>
    <m/>
    <m/>
    <m/>
  </r>
  <r>
    <x v="1"/>
    <x v="10"/>
    <x v="24"/>
    <m/>
    <m/>
    <m/>
    <n v="0"/>
    <m/>
    <m/>
    <m/>
    <n v="0"/>
    <n v="0"/>
    <m/>
    <m/>
    <m/>
    <m/>
    <m/>
    <m/>
    <m/>
    <m/>
    <m/>
  </r>
  <r>
    <x v="1"/>
    <x v="10"/>
    <x v="24"/>
    <m/>
    <m/>
    <m/>
    <n v="0"/>
    <m/>
    <m/>
    <m/>
    <n v="0"/>
    <n v="0"/>
    <m/>
    <m/>
    <m/>
    <m/>
    <m/>
    <m/>
    <m/>
    <m/>
    <m/>
  </r>
  <r>
    <x v="1"/>
    <x v="10"/>
    <x v="24"/>
    <m/>
    <m/>
    <m/>
    <m/>
    <m/>
    <m/>
    <m/>
    <n v="0"/>
    <n v="0"/>
    <m/>
    <m/>
    <m/>
    <m/>
    <m/>
    <m/>
    <m/>
    <m/>
    <m/>
  </r>
  <r>
    <x v="1"/>
    <x v="10"/>
    <x v="24"/>
    <m/>
    <m/>
    <m/>
    <m/>
    <m/>
    <m/>
    <m/>
    <n v="0"/>
    <n v="0"/>
    <m/>
    <m/>
    <m/>
    <m/>
    <m/>
    <m/>
    <m/>
    <m/>
    <m/>
  </r>
  <r>
    <x v="1"/>
    <x v="10"/>
    <x v="24"/>
    <m/>
    <m/>
    <m/>
    <m/>
    <m/>
    <m/>
    <m/>
    <n v="0"/>
    <n v="0"/>
    <m/>
    <m/>
    <m/>
    <m/>
    <m/>
    <m/>
    <m/>
    <m/>
    <m/>
  </r>
  <r>
    <x v="1"/>
    <x v="10"/>
    <x v="24"/>
    <m/>
    <m/>
    <m/>
    <n v="0"/>
    <m/>
    <m/>
    <m/>
    <n v="0"/>
    <n v="0"/>
    <m/>
    <m/>
    <m/>
    <m/>
    <m/>
    <m/>
    <m/>
    <m/>
    <m/>
  </r>
  <r>
    <x v="1"/>
    <x v="10"/>
    <x v="24"/>
    <m/>
    <m/>
    <m/>
    <m/>
    <m/>
    <m/>
    <m/>
    <n v="0"/>
    <n v="0"/>
    <m/>
    <m/>
    <m/>
    <m/>
    <m/>
    <m/>
    <m/>
    <m/>
    <m/>
  </r>
  <r>
    <x v="1"/>
    <x v="10"/>
    <x v="24"/>
    <m/>
    <m/>
    <m/>
    <n v="0"/>
    <m/>
    <m/>
    <m/>
    <n v="0"/>
    <n v="0"/>
    <m/>
    <m/>
    <m/>
    <m/>
    <m/>
    <m/>
    <m/>
    <m/>
    <m/>
  </r>
  <r>
    <x v="1"/>
    <x v="10"/>
    <x v="21"/>
    <n v="0"/>
    <n v="524780"/>
    <n v="0"/>
    <n v="524780"/>
    <n v="0"/>
    <n v="158479"/>
    <n v="0"/>
    <n v="158479"/>
    <n v="-366301"/>
    <n v="0"/>
    <n v="0"/>
    <n v="255000"/>
    <n v="0"/>
    <n v="120000"/>
    <n v="0"/>
    <n v="0"/>
    <n v="0"/>
    <n v="0"/>
  </r>
  <r>
    <x v="1"/>
    <x v="10"/>
    <x v="295"/>
    <m/>
    <m/>
    <m/>
    <m/>
    <m/>
    <m/>
    <m/>
    <n v="0"/>
    <m/>
    <m/>
    <m/>
    <m/>
    <m/>
    <m/>
    <m/>
    <m/>
    <m/>
    <m/>
  </r>
  <r>
    <x v="13"/>
    <x v="53"/>
    <x v="296"/>
    <m/>
    <n v="3789"/>
    <m/>
    <n v="3789"/>
    <m/>
    <m/>
    <n v="4866"/>
    <n v="4866"/>
    <n v="1077"/>
    <m/>
    <m/>
    <m/>
    <m/>
    <m/>
    <m/>
    <m/>
    <m/>
    <m/>
  </r>
  <r>
    <x v="13"/>
    <x v="10"/>
    <x v="24"/>
    <m/>
    <m/>
    <m/>
    <n v="0"/>
    <m/>
    <m/>
    <m/>
    <n v="0"/>
    <n v="0"/>
    <m/>
    <m/>
    <m/>
    <m/>
    <m/>
    <m/>
    <m/>
    <m/>
    <m/>
  </r>
  <r>
    <x v="13"/>
    <x v="10"/>
    <x v="24"/>
    <m/>
    <m/>
    <m/>
    <n v="0"/>
    <m/>
    <m/>
    <m/>
    <n v="0"/>
    <n v="0"/>
    <m/>
    <m/>
    <m/>
    <m/>
    <m/>
    <m/>
    <m/>
    <m/>
    <m/>
  </r>
  <r>
    <x v="1"/>
    <x v="10"/>
    <x v="21"/>
    <n v="0"/>
    <n v="3789"/>
    <n v="0"/>
    <n v="3789"/>
    <n v="0"/>
    <n v="0"/>
    <n v="4866"/>
    <n v="4866"/>
    <n v="1077"/>
    <n v="0"/>
    <n v="0"/>
    <n v="0"/>
    <n v="0"/>
    <n v="0"/>
    <n v="0"/>
    <n v="0"/>
    <n v="0"/>
    <n v="0"/>
  </r>
  <r>
    <x v="1"/>
    <x v="10"/>
    <x v="297"/>
    <m/>
    <m/>
    <m/>
    <m/>
    <m/>
    <m/>
    <m/>
    <n v="0"/>
    <n v="0"/>
    <m/>
    <m/>
    <m/>
    <m/>
    <m/>
    <m/>
    <m/>
    <m/>
    <m/>
  </r>
  <r>
    <x v="14"/>
    <x v="10"/>
    <x v="24"/>
    <m/>
    <m/>
    <m/>
    <n v="0"/>
    <m/>
    <m/>
    <m/>
    <n v="0"/>
    <n v="0"/>
    <m/>
    <m/>
    <m/>
    <m/>
    <m/>
    <m/>
    <m/>
    <m/>
    <m/>
  </r>
  <r>
    <x v="14"/>
    <x v="54"/>
    <x v="298"/>
    <m/>
    <n v="30000"/>
    <m/>
    <n v="30000"/>
    <m/>
    <m/>
    <m/>
    <n v="0"/>
    <n v="-30000"/>
    <m/>
    <m/>
    <n v="30000"/>
    <m/>
    <m/>
    <m/>
    <m/>
    <m/>
    <m/>
  </r>
  <r>
    <x v="1"/>
    <x v="10"/>
    <x v="21"/>
    <n v="0"/>
    <n v="30000"/>
    <n v="0"/>
    <n v="30000"/>
    <n v="0"/>
    <n v="0"/>
    <n v="0"/>
    <n v="0"/>
    <n v="-30000"/>
    <n v="0"/>
    <n v="0"/>
    <n v="30000"/>
    <n v="0"/>
    <n v="0"/>
    <n v="0"/>
    <n v="0"/>
    <n v="0"/>
    <n v="0"/>
  </r>
  <r>
    <x v="1"/>
    <x v="10"/>
    <x v="299"/>
    <m/>
    <m/>
    <m/>
    <m/>
    <m/>
    <m/>
    <m/>
    <n v="0"/>
    <m/>
    <m/>
    <m/>
    <m/>
    <m/>
    <m/>
    <m/>
    <m/>
    <m/>
    <m/>
  </r>
  <r>
    <x v="15"/>
    <x v="55"/>
    <x v="300"/>
    <m/>
    <n v="80300"/>
    <m/>
    <n v="80300"/>
    <m/>
    <n v="113953"/>
    <m/>
    <n v="113953"/>
    <n v="33653"/>
    <m/>
    <m/>
    <m/>
    <m/>
    <m/>
    <m/>
    <m/>
    <m/>
    <m/>
  </r>
  <r>
    <x v="15"/>
    <x v="55"/>
    <x v="301"/>
    <m/>
    <n v="21980"/>
    <m/>
    <n v="21980"/>
    <m/>
    <n v="35000"/>
    <m/>
    <n v="35000"/>
    <n v="13020"/>
    <m/>
    <m/>
    <m/>
    <m/>
    <m/>
    <m/>
    <m/>
    <m/>
    <m/>
  </r>
  <r>
    <x v="15"/>
    <x v="55"/>
    <x v="302"/>
    <m/>
    <m/>
    <n v="30000"/>
    <n v="30000"/>
    <m/>
    <m/>
    <m/>
    <n v="0"/>
    <n v="-30000"/>
    <m/>
    <m/>
    <n v="80000"/>
    <m/>
    <m/>
    <m/>
    <m/>
    <m/>
    <m/>
  </r>
  <r>
    <x v="15"/>
    <x v="10"/>
    <x v="24"/>
    <m/>
    <m/>
    <m/>
    <n v="0"/>
    <m/>
    <m/>
    <m/>
    <n v="0"/>
    <n v="0"/>
    <m/>
    <m/>
    <m/>
    <m/>
    <m/>
    <m/>
    <m/>
    <m/>
    <m/>
  </r>
  <r>
    <x v="15"/>
    <x v="56"/>
    <x v="303"/>
    <m/>
    <m/>
    <m/>
    <m/>
    <m/>
    <m/>
    <m/>
    <n v="0"/>
    <m/>
    <m/>
    <m/>
    <m/>
    <m/>
    <m/>
    <m/>
    <m/>
    <m/>
    <m/>
  </r>
  <r>
    <x v="15"/>
    <x v="56"/>
    <x v="300"/>
    <m/>
    <n v="13348"/>
    <m/>
    <n v="13348"/>
    <m/>
    <n v="20085"/>
    <m/>
    <n v="20085"/>
    <n v="6737"/>
    <m/>
    <m/>
    <m/>
    <m/>
    <m/>
    <m/>
    <m/>
    <m/>
    <m/>
  </r>
  <r>
    <x v="15"/>
    <x v="56"/>
    <x v="304"/>
    <m/>
    <n v="5920"/>
    <m/>
    <n v="5920"/>
    <m/>
    <n v="10920"/>
    <m/>
    <n v="10920"/>
    <n v="5000"/>
    <m/>
    <m/>
    <m/>
    <m/>
    <m/>
    <m/>
    <m/>
    <m/>
    <m/>
  </r>
  <r>
    <x v="15"/>
    <x v="57"/>
    <x v="305"/>
    <m/>
    <m/>
    <m/>
    <m/>
    <m/>
    <m/>
    <m/>
    <n v="0"/>
    <m/>
    <m/>
    <m/>
    <m/>
    <m/>
    <m/>
    <m/>
    <m/>
    <m/>
    <m/>
  </r>
  <r>
    <x v="15"/>
    <x v="57"/>
    <x v="300"/>
    <m/>
    <n v="40000"/>
    <m/>
    <n v="40000"/>
    <m/>
    <n v="42278"/>
    <m/>
    <n v="42278"/>
    <n v="2278"/>
    <m/>
    <m/>
    <m/>
    <m/>
    <m/>
    <m/>
    <m/>
    <m/>
    <m/>
  </r>
  <r>
    <x v="15"/>
    <x v="57"/>
    <x v="306"/>
    <n v="8320"/>
    <n v="51000"/>
    <m/>
    <n v="59320"/>
    <m/>
    <n v="6000"/>
    <m/>
    <n v="6000"/>
    <n v="-53320"/>
    <m/>
    <m/>
    <m/>
    <m/>
    <m/>
    <m/>
    <m/>
    <m/>
    <m/>
  </r>
  <r>
    <x v="15"/>
    <x v="57"/>
    <x v="307"/>
    <m/>
    <m/>
    <n v="35000"/>
    <n v="35000"/>
    <m/>
    <m/>
    <m/>
    <n v="0"/>
    <n v="-35000"/>
    <m/>
    <m/>
    <m/>
    <m/>
    <m/>
    <m/>
    <m/>
    <m/>
    <m/>
  </r>
  <r>
    <x v="1"/>
    <x v="10"/>
    <x v="21"/>
    <n v="8320"/>
    <n v="212548"/>
    <n v="65000"/>
    <n v="285868"/>
    <n v="0"/>
    <n v="228236"/>
    <n v="0"/>
    <n v="228236"/>
    <n v="-57632"/>
    <n v="0"/>
    <n v="0"/>
    <n v="80000"/>
    <n v="0"/>
    <n v="0"/>
    <n v="0"/>
    <n v="0"/>
    <n v="0"/>
    <n v="0"/>
  </r>
  <r>
    <x v="16"/>
    <x v="58"/>
    <x v="308"/>
    <n v="4734"/>
    <n v="48087"/>
    <n v="8545"/>
    <n v="61366"/>
    <n v="4734"/>
    <n v="50627"/>
    <m/>
    <n v="55361"/>
    <n v="-6005"/>
    <m/>
    <m/>
    <m/>
    <m/>
    <m/>
    <m/>
    <m/>
    <m/>
    <m/>
  </r>
  <r>
    <x v="16"/>
    <x v="58"/>
    <x v="309"/>
    <m/>
    <n v="510837"/>
    <m/>
    <n v="510837"/>
    <m/>
    <n v="556089"/>
    <m/>
    <n v="556089"/>
    <n v="45252"/>
    <m/>
    <m/>
    <m/>
    <m/>
    <m/>
    <m/>
    <m/>
    <m/>
    <m/>
  </r>
  <r>
    <x v="16"/>
    <x v="58"/>
    <x v="285"/>
    <m/>
    <n v="16000"/>
    <m/>
    <n v="16000"/>
    <m/>
    <m/>
    <m/>
    <n v="0"/>
    <n v="-16000"/>
    <m/>
    <m/>
    <m/>
    <m/>
    <m/>
    <m/>
    <m/>
    <m/>
    <m/>
  </r>
  <r>
    <x v="16"/>
    <x v="58"/>
    <x v="310"/>
    <m/>
    <n v="10000"/>
    <m/>
    <n v="10000"/>
    <m/>
    <m/>
    <m/>
    <n v="0"/>
    <n v="-10000"/>
    <m/>
    <m/>
    <m/>
    <m/>
    <m/>
    <m/>
    <m/>
    <m/>
    <m/>
  </r>
  <r>
    <x v="16"/>
    <x v="58"/>
    <x v="311"/>
    <m/>
    <n v="12099"/>
    <m/>
    <n v="12099"/>
    <m/>
    <n v="25000"/>
    <m/>
    <n v="25000"/>
    <n v="12901"/>
    <m/>
    <m/>
    <m/>
    <m/>
    <m/>
    <m/>
    <m/>
    <m/>
    <m/>
  </r>
  <r>
    <x v="16"/>
    <x v="58"/>
    <x v="312"/>
    <m/>
    <n v="5000"/>
    <m/>
    <n v="5000"/>
    <m/>
    <n v="10000"/>
    <m/>
    <n v="10000"/>
    <n v="5000"/>
    <m/>
    <m/>
    <m/>
    <m/>
    <m/>
    <m/>
    <m/>
    <m/>
    <m/>
  </r>
  <r>
    <x v="16"/>
    <x v="58"/>
    <x v="313"/>
    <m/>
    <n v="5000"/>
    <m/>
    <n v="5000"/>
    <m/>
    <n v="5000"/>
    <m/>
    <n v="5000"/>
    <n v="0"/>
    <m/>
    <m/>
    <m/>
    <m/>
    <m/>
    <m/>
    <m/>
    <m/>
    <m/>
  </r>
  <r>
    <x v="16"/>
    <x v="58"/>
    <x v="314"/>
    <m/>
    <n v="12000"/>
    <m/>
    <n v="12000"/>
    <m/>
    <m/>
    <m/>
    <n v="0"/>
    <n v="-12000"/>
    <m/>
    <m/>
    <m/>
    <m/>
    <m/>
    <m/>
    <m/>
    <m/>
    <m/>
  </r>
  <r>
    <x v="16"/>
    <x v="58"/>
    <x v="315"/>
    <m/>
    <m/>
    <n v="42365"/>
    <n v="42365"/>
    <m/>
    <m/>
    <m/>
    <n v="0"/>
    <n v="-42365"/>
    <m/>
    <m/>
    <m/>
    <m/>
    <m/>
    <m/>
    <m/>
    <m/>
    <m/>
  </r>
  <r>
    <x v="16"/>
    <x v="58"/>
    <x v="316"/>
    <m/>
    <m/>
    <n v="4000"/>
    <n v="4000"/>
    <m/>
    <m/>
    <m/>
    <n v="0"/>
    <n v="-4000"/>
    <m/>
    <m/>
    <m/>
    <m/>
    <m/>
    <m/>
    <m/>
    <m/>
    <m/>
  </r>
  <r>
    <x v="16"/>
    <x v="58"/>
    <x v="317"/>
    <m/>
    <m/>
    <n v="3500"/>
    <n v="3500"/>
    <m/>
    <m/>
    <m/>
    <n v="0"/>
    <n v="-3500"/>
    <m/>
    <m/>
    <m/>
    <m/>
    <m/>
    <m/>
    <m/>
    <m/>
    <m/>
  </r>
  <r>
    <x v="16"/>
    <x v="58"/>
    <x v="318"/>
    <m/>
    <m/>
    <n v="6000"/>
    <n v="6000"/>
    <m/>
    <m/>
    <m/>
    <n v="0"/>
    <n v="-6000"/>
    <m/>
    <m/>
    <m/>
    <m/>
    <m/>
    <m/>
    <m/>
    <m/>
    <m/>
  </r>
  <r>
    <x v="16"/>
    <x v="58"/>
    <x v="319"/>
    <m/>
    <m/>
    <n v="81790"/>
    <n v="81790"/>
    <m/>
    <m/>
    <m/>
    <n v="0"/>
    <n v="-81790"/>
    <m/>
    <m/>
    <m/>
    <m/>
    <m/>
    <m/>
    <m/>
    <m/>
    <m/>
  </r>
  <r>
    <x v="16"/>
    <x v="58"/>
    <x v="320"/>
    <m/>
    <m/>
    <n v="25000"/>
    <n v="25000"/>
    <m/>
    <m/>
    <m/>
    <n v="0"/>
    <n v="-25000"/>
    <m/>
    <m/>
    <m/>
    <m/>
    <m/>
    <m/>
    <m/>
    <m/>
    <m/>
  </r>
  <r>
    <x v="16"/>
    <x v="58"/>
    <x v="321"/>
    <m/>
    <m/>
    <m/>
    <n v="0"/>
    <m/>
    <m/>
    <n v="17900"/>
    <n v="17900"/>
    <n v="17900"/>
    <m/>
    <m/>
    <m/>
    <m/>
    <m/>
    <m/>
    <m/>
    <m/>
    <m/>
  </r>
  <r>
    <x v="16"/>
    <x v="58"/>
    <x v="322"/>
    <m/>
    <m/>
    <m/>
    <m/>
    <m/>
    <m/>
    <m/>
    <m/>
    <m/>
    <m/>
    <n v="50000"/>
    <m/>
    <m/>
    <m/>
    <m/>
    <m/>
    <m/>
    <m/>
  </r>
  <r>
    <x v="16"/>
    <x v="58"/>
    <x v="24"/>
    <m/>
    <m/>
    <m/>
    <n v="0"/>
    <m/>
    <m/>
    <m/>
    <n v="0"/>
    <n v="0"/>
    <m/>
    <m/>
    <m/>
    <m/>
    <m/>
    <m/>
    <m/>
    <m/>
    <m/>
  </r>
  <r>
    <x v="16"/>
    <x v="58"/>
    <x v="323"/>
    <m/>
    <m/>
    <m/>
    <n v="0"/>
    <m/>
    <m/>
    <m/>
    <n v="0"/>
    <n v="0"/>
    <m/>
    <m/>
    <m/>
    <m/>
    <m/>
    <n v="53200"/>
    <n v="11123"/>
    <n v="42077"/>
    <m/>
  </r>
  <r>
    <x v="16"/>
    <x v="58"/>
    <x v="324"/>
    <m/>
    <m/>
    <m/>
    <n v="0"/>
    <m/>
    <m/>
    <m/>
    <n v="0"/>
    <n v="0"/>
    <m/>
    <m/>
    <m/>
    <m/>
    <m/>
    <n v="0"/>
    <m/>
    <m/>
    <m/>
  </r>
  <r>
    <x v="16"/>
    <x v="58"/>
    <x v="325"/>
    <m/>
    <m/>
    <m/>
    <n v="0"/>
    <m/>
    <m/>
    <m/>
    <n v="0"/>
    <n v="0"/>
    <m/>
    <m/>
    <m/>
    <m/>
    <m/>
    <n v="53518"/>
    <m/>
    <n v="53518"/>
    <m/>
  </r>
  <r>
    <x v="16"/>
    <x v="59"/>
    <x v="326"/>
    <n v="97118"/>
    <n v="73679"/>
    <m/>
    <n v="170797"/>
    <n v="66904"/>
    <n v="56534"/>
    <m/>
    <n v="123438"/>
    <n v="-47359"/>
    <m/>
    <m/>
    <m/>
    <m/>
    <m/>
    <n v="0"/>
    <m/>
    <m/>
    <m/>
  </r>
  <r>
    <x v="16"/>
    <x v="59"/>
    <x v="327"/>
    <m/>
    <n v="148673"/>
    <m/>
    <n v="148673"/>
    <m/>
    <n v="149651"/>
    <m/>
    <n v="149651"/>
    <n v="978"/>
    <m/>
    <m/>
    <m/>
    <m/>
    <m/>
    <n v="0"/>
    <m/>
    <m/>
    <m/>
  </r>
  <r>
    <x v="16"/>
    <x v="59"/>
    <x v="328"/>
    <m/>
    <m/>
    <m/>
    <m/>
    <m/>
    <m/>
    <m/>
    <m/>
    <m/>
    <m/>
    <m/>
    <m/>
    <m/>
    <m/>
    <n v="4235"/>
    <n v="4235"/>
    <m/>
    <m/>
  </r>
  <r>
    <x v="16"/>
    <x v="59"/>
    <x v="329"/>
    <m/>
    <m/>
    <m/>
    <n v="0"/>
    <m/>
    <m/>
    <m/>
    <n v="0"/>
    <n v="0"/>
    <m/>
    <m/>
    <m/>
    <m/>
    <m/>
    <n v="1815"/>
    <n v="1815"/>
    <m/>
    <m/>
  </r>
  <r>
    <x v="16"/>
    <x v="59"/>
    <x v="330"/>
    <m/>
    <m/>
    <m/>
    <n v="0"/>
    <m/>
    <m/>
    <m/>
    <n v="0"/>
    <n v="0"/>
    <m/>
    <m/>
    <m/>
    <m/>
    <n v="19360"/>
    <m/>
    <m/>
    <m/>
    <m/>
  </r>
  <r>
    <x v="16"/>
    <x v="59"/>
    <x v="331"/>
    <m/>
    <m/>
    <m/>
    <n v="0"/>
    <m/>
    <m/>
    <m/>
    <n v="0"/>
    <n v="0"/>
    <m/>
    <m/>
    <m/>
    <m/>
    <n v="9078"/>
    <m/>
    <m/>
    <m/>
    <m/>
  </r>
  <r>
    <x v="16"/>
    <x v="59"/>
    <x v="332"/>
    <m/>
    <m/>
    <m/>
    <n v="0"/>
    <m/>
    <m/>
    <m/>
    <n v="0"/>
    <n v="0"/>
    <m/>
    <m/>
    <n v="2000"/>
    <m/>
    <m/>
    <m/>
    <m/>
    <m/>
    <m/>
  </r>
  <r>
    <x v="16"/>
    <x v="59"/>
    <x v="230"/>
    <m/>
    <m/>
    <m/>
    <n v="0"/>
    <m/>
    <m/>
    <m/>
    <n v="0"/>
    <n v="0"/>
    <m/>
    <m/>
    <m/>
    <m/>
    <n v="10500"/>
    <m/>
    <m/>
    <m/>
    <m/>
  </r>
  <r>
    <x v="16"/>
    <x v="59"/>
    <x v="24"/>
    <m/>
    <m/>
    <m/>
    <m/>
    <m/>
    <m/>
    <m/>
    <m/>
    <m/>
    <m/>
    <m/>
    <m/>
    <m/>
    <m/>
    <m/>
    <m/>
    <m/>
    <m/>
  </r>
  <r>
    <x v="16"/>
    <x v="59"/>
    <x v="24"/>
    <m/>
    <m/>
    <m/>
    <m/>
    <m/>
    <m/>
    <m/>
    <m/>
    <m/>
    <m/>
    <m/>
    <m/>
    <m/>
    <m/>
    <m/>
    <m/>
    <m/>
    <m/>
  </r>
  <r>
    <x v="16"/>
    <x v="59"/>
    <x v="24"/>
    <m/>
    <m/>
    <m/>
    <n v="0"/>
    <m/>
    <m/>
    <m/>
    <n v="0"/>
    <n v="0"/>
    <m/>
    <m/>
    <m/>
    <m/>
    <m/>
    <m/>
    <m/>
    <m/>
    <m/>
  </r>
  <r>
    <x v="16"/>
    <x v="60"/>
    <x v="333"/>
    <m/>
    <n v="281991"/>
    <n v="104634"/>
    <n v="386625"/>
    <n v="114453"/>
    <n v="83137"/>
    <m/>
    <n v="197590"/>
    <n v="-189035"/>
    <m/>
    <m/>
    <m/>
    <m/>
    <m/>
    <m/>
    <m/>
    <m/>
    <m/>
  </r>
  <r>
    <x v="16"/>
    <x v="60"/>
    <x v="329"/>
    <m/>
    <m/>
    <m/>
    <m/>
    <m/>
    <m/>
    <m/>
    <m/>
    <m/>
    <m/>
    <m/>
    <m/>
    <m/>
    <m/>
    <n v="1815"/>
    <n v="1815"/>
    <m/>
    <m/>
  </r>
  <r>
    <x v="16"/>
    <x v="60"/>
    <x v="334"/>
    <m/>
    <m/>
    <m/>
    <m/>
    <m/>
    <m/>
    <m/>
    <m/>
    <m/>
    <m/>
    <m/>
    <n v="20000"/>
    <m/>
    <m/>
    <m/>
    <m/>
    <m/>
    <m/>
  </r>
  <r>
    <x v="16"/>
    <x v="60"/>
    <x v="335"/>
    <m/>
    <m/>
    <m/>
    <m/>
    <m/>
    <m/>
    <m/>
    <n v="0"/>
    <n v="0"/>
    <m/>
    <m/>
    <n v="900"/>
    <m/>
    <m/>
    <m/>
    <m/>
    <m/>
    <m/>
  </r>
  <r>
    <x v="16"/>
    <x v="60"/>
    <x v="336"/>
    <m/>
    <m/>
    <m/>
    <n v="0"/>
    <m/>
    <m/>
    <m/>
    <n v="0"/>
    <n v="0"/>
    <m/>
    <m/>
    <n v="2414"/>
    <m/>
    <m/>
    <m/>
    <m/>
    <m/>
    <m/>
  </r>
  <r>
    <x v="1"/>
    <x v="10"/>
    <x v="21"/>
    <n v="101852"/>
    <n v="1123366"/>
    <n v="275834"/>
    <n v="1501052"/>
    <n v="186091"/>
    <n v="936038"/>
    <n v="17900"/>
    <n v="1140029"/>
    <n v="-361023"/>
    <n v="0"/>
    <n v="50000"/>
    <n v="25314"/>
    <n v="0"/>
    <n v="38938"/>
    <n v="114583"/>
    <n v="18988"/>
    <n v="95595"/>
    <n v="0"/>
  </r>
  <r>
    <x v="1"/>
    <x v="10"/>
    <x v="24"/>
    <m/>
    <m/>
    <m/>
    <m/>
    <m/>
    <m/>
    <m/>
    <m/>
    <m/>
    <m/>
    <m/>
    <m/>
    <m/>
    <m/>
    <m/>
    <m/>
    <m/>
    <m/>
  </r>
  <r>
    <x v="17"/>
    <x v="61"/>
    <x v="337"/>
    <m/>
    <m/>
    <m/>
    <m/>
    <m/>
    <m/>
    <m/>
    <m/>
    <m/>
    <m/>
    <m/>
    <m/>
    <m/>
    <m/>
    <n v="96143"/>
    <m/>
    <n v="96143"/>
    <m/>
  </r>
  <r>
    <x v="18"/>
    <x v="62"/>
    <x v="338"/>
    <n v="15710"/>
    <n v="27544"/>
    <n v="21900"/>
    <n v="65154"/>
    <m/>
    <n v="40000"/>
    <m/>
    <n v="40000"/>
    <n v="-25154"/>
    <m/>
    <m/>
    <m/>
    <m/>
    <m/>
    <m/>
    <m/>
    <m/>
    <m/>
  </r>
  <r>
    <x v="18"/>
    <x v="62"/>
    <x v="339"/>
    <m/>
    <n v="47626"/>
    <m/>
    <n v="47626"/>
    <m/>
    <n v="70000"/>
    <m/>
    <n v="70000"/>
    <n v="22374"/>
    <m/>
    <m/>
    <m/>
    <m/>
    <m/>
    <m/>
    <m/>
    <m/>
    <m/>
  </r>
  <r>
    <x v="18"/>
    <x v="62"/>
    <x v="340"/>
    <m/>
    <n v="9120"/>
    <m/>
    <n v="9120"/>
    <m/>
    <n v="11000"/>
    <m/>
    <n v="11000"/>
    <n v="1880"/>
    <m/>
    <m/>
    <m/>
    <m/>
    <m/>
    <m/>
    <m/>
    <m/>
    <m/>
  </r>
  <r>
    <x v="18"/>
    <x v="62"/>
    <x v="341"/>
    <n v="27110"/>
    <n v="13670"/>
    <m/>
    <n v="40780"/>
    <n v="14244"/>
    <n v="10184"/>
    <m/>
    <n v="24428"/>
    <n v="-16352"/>
    <m/>
    <m/>
    <m/>
    <m/>
    <m/>
    <m/>
    <m/>
    <m/>
    <m/>
  </r>
  <r>
    <x v="1"/>
    <x v="10"/>
    <x v="21"/>
    <n v="42820"/>
    <n v="97960"/>
    <n v="21900"/>
    <n v="162680"/>
    <n v="14244"/>
    <n v="131184"/>
    <n v="0"/>
    <n v="145428"/>
    <n v="-17252"/>
    <n v="0"/>
    <n v="0"/>
    <n v="0"/>
    <n v="0"/>
    <n v="0"/>
    <n v="0"/>
    <n v="0"/>
    <n v="0"/>
    <n v="0"/>
  </r>
  <r>
    <x v="18"/>
    <x v="63"/>
    <x v="342"/>
    <n v="152976"/>
    <n v="28587"/>
    <n v="9000"/>
    <n v="190563"/>
    <n v="170992"/>
    <n v="25315"/>
    <n v="10000"/>
    <n v="206307"/>
    <n v="15744"/>
    <m/>
    <m/>
    <m/>
    <m/>
    <m/>
    <m/>
    <m/>
    <m/>
    <m/>
  </r>
  <r>
    <x v="18"/>
    <x v="63"/>
    <x v="343"/>
    <m/>
    <m/>
    <m/>
    <n v="0"/>
    <m/>
    <m/>
    <m/>
    <n v="0"/>
    <n v="0"/>
    <m/>
    <n v="200"/>
    <m/>
    <m/>
    <m/>
    <m/>
    <m/>
    <m/>
    <m/>
  </r>
  <r>
    <x v="18"/>
    <x v="63"/>
    <x v="344"/>
    <m/>
    <m/>
    <m/>
    <n v="0"/>
    <m/>
    <m/>
    <m/>
    <n v="0"/>
    <n v="0"/>
    <m/>
    <n v="800"/>
    <m/>
    <m/>
    <m/>
    <m/>
    <m/>
    <m/>
    <m/>
  </r>
  <r>
    <x v="18"/>
    <x v="63"/>
    <x v="345"/>
    <m/>
    <m/>
    <n v="5000"/>
    <n v="5000"/>
    <m/>
    <m/>
    <m/>
    <n v="0"/>
    <n v="-5000"/>
    <m/>
    <m/>
    <n v="12000"/>
    <m/>
    <m/>
    <m/>
    <m/>
    <m/>
    <m/>
  </r>
  <r>
    <x v="18"/>
    <x v="63"/>
    <x v="346"/>
    <m/>
    <m/>
    <n v="2202"/>
    <n v="2202"/>
    <m/>
    <m/>
    <m/>
    <n v="0"/>
    <n v="-2202"/>
    <m/>
    <m/>
    <m/>
    <m/>
    <m/>
    <m/>
    <m/>
    <m/>
    <m/>
  </r>
  <r>
    <x v="18"/>
    <x v="63"/>
    <x v="347"/>
    <m/>
    <m/>
    <m/>
    <m/>
    <m/>
    <m/>
    <m/>
    <m/>
    <m/>
    <m/>
    <m/>
    <m/>
    <m/>
    <n v="4000"/>
    <m/>
    <m/>
    <m/>
    <m/>
  </r>
  <r>
    <x v="18"/>
    <x v="63"/>
    <x v="348"/>
    <m/>
    <m/>
    <m/>
    <n v="0"/>
    <m/>
    <m/>
    <m/>
    <n v="0"/>
    <n v="0"/>
    <m/>
    <m/>
    <m/>
    <m/>
    <m/>
    <n v="87653"/>
    <n v="5786"/>
    <n v="81867"/>
    <m/>
  </r>
  <r>
    <x v="18"/>
    <x v="64"/>
    <x v="349"/>
    <n v="47334"/>
    <n v="6071"/>
    <n v="2650"/>
    <n v="56055"/>
    <n v="36961"/>
    <n v="3484"/>
    <n v="2160"/>
    <n v="42605"/>
    <n v="-13450"/>
    <m/>
    <m/>
    <m/>
    <m/>
    <m/>
    <m/>
    <m/>
    <m/>
    <m/>
  </r>
  <r>
    <x v="18"/>
    <x v="64"/>
    <x v="178"/>
    <m/>
    <n v="100"/>
    <m/>
    <n v="100"/>
    <m/>
    <m/>
    <m/>
    <n v="0"/>
    <n v="-100"/>
    <m/>
    <m/>
    <m/>
    <m/>
    <m/>
    <m/>
    <m/>
    <m/>
    <m/>
  </r>
  <r>
    <x v="18"/>
    <x v="64"/>
    <x v="347"/>
    <m/>
    <m/>
    <m/>
    <m/>
    <m/>
    <m/>
    <m/>
    <m/>
    <m/>
    <m/>
    <m/>
    <m/>
    <m/>
    <n v="4000"/>
    <m/>
    <m/>
    <m/>
    <m/>
  </r>
  <r>
    <x v="18"/>
    <x v="65"/>
    <x v="350"/>
    <n v="40215"/>
    <n v="10520"/>
    <n v="3800"/>
    <n v="54535"/>
    <n v="39551"/>
    <n v="2744"/>
    <n v="1500"/>
    <n v="43795"/>
    <n v="-10740"/>
    <m/>
    <m/>
    <m/>
    <m/>
    <m/>
    <m/>
    <m/>
    <m/>
    <m/>
  </r>
  <r>
    <x v="18"/>
    <x v="65"/>
    <x v="351"/>
    <m/>
    <n v="7700"/>
    <m/>
    <n v="7700"/>
    <m/>
    <m/>
    <m/>
    <n v="0"/>
    <n v="-7700"/>
    <m/>
    <m/>
    <m/>
    <m/>
    <m/>
    <m/>
    <m/>
    <m/>
    <m/>
  </r>
  <r>
    <x v="18"/>
    <x v="65"/>
    <x v="347"/>
    <m/>
    <m/>
    <m/>
    <m/>
    <m/>
    <m/>
    <m/>
    <m/>
    <m/>
    <m/>
    <m/>
    <m/>
    <m/>
    <n v="4000"/>
    <m/>
    <m/>
    <m/>
    <m/>
  </r>
  <r>
    <x v="18"/>
    <x v="66"/>
    <x v="352"/>
    <n v="12505"/>
    <n v="5870"/>
    <n v="1750"/>
    <n v="20125"/>
    <n v="11665"/>
    <n v="6817"/>
    <n v="850"/>
    <n v="19332"/>
    <n v="-793"/>
    <m/>
    <m/>
    <m/>
    <m/>
    <m/>
    <m/>
    <m/>
    <m/>
    <m/>
  </r>
  <r>
    <x v="1"/>
    <x v="10"/>
    <x v="21"/>
    <n v="240525"/>
    <n v="45278"/>
    <m/>
    <n v="285803"/>
    <n v="259169"/>
    <n v="38360"/>
    <n v="14510"/>
    <n v="312039"/>
    <n v="26236"/>
    <n v="0"/>
    <n v="1000"/>
    <n v="12000"/>
    <n v="0"/>
    <n v="12000"/>
    <n v="87653"/>
    <n v="5786"/>
    <n v="81867"/>
    <n v="0"/>
  </r>
  <r>
    <x v="1"/>
    <x v="10"/>
    <x v="24"/>
    <m/>
    <m/>
    <m/>
    <m/>
    <m/>
    <m/>
    <m/>
    <m/>
    <n v="0"/>
    <m/>
    <m/>
    <m/>
    <m/>
    <m/>
    <m/>
    <m/>
    <m/>
    <m/>
  </r>
  <r>
    <x v="18"/>
    <x v="67"/>
    <x v="353"/>
    <n v="126857"/>
    <n v="20831"/>
    <n v="979"/>
    <n v="148667"/>
    <n v="141491"/>
    <n v="21359"/>
    <n v="2265"/>
    <n v="165115"/>
    <n v="16448"/>
    <m/>
    <m/>
    <m/>
    <m/>
    <m/>
    <m/>
    <m/>
    <m/>
    <m/>
  </r>
  <r>
    <x v="18"/>
    <x v="67"/>
    <x v="354"/>
    <m/>
    <m/>
    <n v="4988"/>
    <n v="4988"/>
    <m/>
    <m/>
    <n v="1800"/>
    <n v="1800"/>
    <n v="-3188"/>
    <m/>
    <m/>
    <m/>
    <m/>
    <m/>
    <m/>
    <m/>
    <m/>
    <m/>
  </r>
  <r>
    <x v="18"/>
    <x v="67"/>
    <x v="355"/>
    <m/>
    <m/>
    <m/>
    <n v="0"/>
    <m/>
    <m/>
    <m/>
    <n v="0"/>
    <n v="0"/>
    <m/>
    <m/>
    <m/>
    <n v="9000"/>
    <n v="12000"/>
    <m/>
    <m/>
    <m/>
    <m/>
  </r>
  <r>
    <x v="18"/>
    <x v="67"/>
    <x v="356"/>
    <m/>
    <m/>
    <m/>
    <n v="0"/>
    <m/>
    <m/>
    <m/>
    <n v="0"/>
    <n v="0"/>
    <m/>
    <m/>
    <m/>
    <n v="30498"/>
    <n v="30498"/>
    <m/>
    <m/>
    <m/>
    <m/>
  </r>
  <r>
    <x v="18"/>
    <x v="67"/>
    <x v="357"/>
    <m/>
    <m/>
    <m/>
    <n v="0"/>
    <m/>
    <m/>
    <m/>
    <n v="0"/>
    <n v="0"/>
    <m/>
    <n v="6200"/>
    <m/>
    <m/>
    <m/>
    <m/>
    <m/>
    <m/>
    <m/>
  </r>
  <r>
    <x v="18"/>
    <x v="67"/>
    <x v="358"/>
    <m/>
    <n v="3000"/>
    <m/>
    <n v="3000"/>
    <m/>
    <m/>
    <m/>
    <n v="0"/>
    <n v="-3000"/>
    <m/>
    <n v="2848"/>
    <m/>
    <m/>
    <m/>
    <m/>
    <m/>
    <m/>
    <m/>
  </r>
  <r>
    <x v="18"/>
    <x v="68"/>
    <x v="359"/>
    <n v="5685"/>
    <n v="2486"/>
    <n v="537"/>
    <n v="8708"/>
    <n v="6180"/>
    <n v="3231"/>
    <m/>
    <n v="9411"/>
    <n v="703"/>
    <m/>
    <m/>
    <m/>
    <m/>
    <m/>
    <m/>
    <m/>
    <m/>
    <m/>
  </r>
  <r>
    <x v="18"/>
    <x v="68"/>
    <x v="360"/>
    <m/>
    <n v="5000"/>
    <m/>
    <n v="5000"/>
    <m/>
    <m/>
    <n v="5000"/>
    <n v="5000"/>
    <n v="0"/>
    <m/>
    <m/>
    <m/>
    <m/>
    <m/>
    <m/>
    <m/>
    <m/>
    <m/>
  </r>
  <r>
    <x v="18"/>
    <x v="68"/>
    <x v="361"/>
    <m/>
    <n v="322"/>
    <m/>
    <n v="322"/>
    <m/>
    <n v="681"/>
    <m/>
    <n v="681"/>
    <n v="359"/>
    <m/>
    <m/>
    <m/>
    <m/>
    <m/>
    <m/>
    <m/>
    <m/>
    <m/>
  </r>
  <r>
    <x v="18"/>
    <x v="68"/>
    <x v="362"/>
    <m/>
    <m/>
    <m/>
    <m/>
    <m/>
    <m/>
    <m/>
    <m/>
    <m/>
    <m/>
    <m/>
    <m/>
    <m/>
    <m/>
    <n v="437460"/>
    <m/>
    <n v="168385"/>
    <n v="269075"/>
  </r>
  <r>
    <x v="18"/>
    <x v="69"/>
    <x v="363"/>
    <m/>
    <n v="10326"/>
    <m/>
    <n v="10326"/>
    <n v="20238"/>
    <n v="3813"/>
    <m/>
    <n v="24051"/>
    <n v="13725"/>
    <m/>
    <m/>
    <m/>
    <m/>
    <m/>
    <m/>
    <m/>
    <m/>
    <m/>
  </r>
  <r>
    <x v="18"/>
    <x v="69"/>
    <x v="364"/>
    <m/>
    <m/>
    <m/>
    <n v="0"/>
    <m/>
    <m/>
    <m/>
    <n v="0"/>
    <n v="0"/>
    <m/>
    <m/>
    <n v="1000"/>
    <m/>
    <m/>
    <m/>
    <m/>
    <m/>
    <m/>
  </r>
  <r>
    <x v="18"/>
    <x v="69"/>
    <x v="365"/>
    <m/>
    <m/>
    <m/>
    <n v="0"/>
    <m/>
    <m/>
    <m/>
    <n v="0"/>
    <n v="0"/>
    <m/>
    <m/>
    <n v="500"/>
    <m/>
    <m/>
    <m/>
    <m/>
    <m/>
    <m/>
  </r>
  <r>
    <x v="18"/>
    <x v="69"/>
    <x v="366"/>
    <m/>
    <m/>
    <m/>
    <n v="0"/>
    <m/>
    <m/>
    <m/>
    <n v="0"/>
    <n v="0"/>
    <m/>
    <m/>
    <n v="500"/>
    <m/>
    <m/>
    <m/>
    <m/>
    <m/>
    <m/>
  </r>
  <r>
    <x v="18"/>
    <x v="69"/>
    <x v="367"/>
    <m/>
    <m/>
    <m/>
    <n v="0"/>
    <m/>
    <m/>
    <m/>
    <n v="0"/>
    <n v="0"/>
    <m/>
    <m/>
    <n v="2000"/>
    <m/>
    <m/>
    <m/>
    <m/>
    <m/>
    <m/>
  </r>
  <r>
    <x v="18"/>
    <x v="69"/>
    <x v="368"/>
    <m/>
    <m/>
    <m/>
    <n v="0"/>
    <m/>
    <m/>
    <m/>
    <n v="0"/>
    <n v="0"/>
    <m/>
    <m/>
    <n v="500"/>
    <m/>
    <m/>
    <m/>
    <m/>
    <m/>
    <m/>
  </r>
  <r>
    <x v="18"/>
    <x v="69"/>
    <x v="369"/>
    <m/>
    <m/>
    <m/>
    <n v="0"/>
    <m/>
    <m/>
    <m/>
    <n v="0"/>
    <n v="0"/>
    <m/>
    <m/>
    <n v="500"/>
    <m/>
    <m/>
    <m/>
    <m/>
    <m/>
    <m/>
  </r>
  <r>
    <x v="18"/>
    <x v="69"/>
    <x v="370"/>
    <m/>
    <m/>
    <m/>
    <n v="0"/>
    <m/>
    <m/>
    <m/>
    <n v="0"/>
    <n v="0"/>
    <m/>
    <m/>
    <n v="500"/>
    <m/>
    <m/>
    <m/>
    <m/>
    <m/>
    <m/>
  </r>
  <r>
    <x v="18"/>
    <x v="69"/>
    <x v="371"/>
    <m/>
    <m/>
    <m/>
    <n v="0"/>
    <m/>
    <m/>
    <m/>
    <n v="0"/>
    <n v="0"/>
    <m/>
    <m/>
    <n v="200"/>
    <m/>
    <m/>
    <m/>
    <m/>
    <m/>
    <m/>
  </r>
  <r>
    <x v="18"/>
    <x v="69"/>
    <x v="372"/>
    <m/>
    <m/>
    <m/>
    <n v="0"/>
    <m/>
    <m/>
    <m/>
    <n v="0"/>
    <n v="0"/>
    <m/>
    <m/>
    <n v="300"/>
    <m/>
    <m/>
    <m/>
    <m/>
    <m/>
    <m/>
  </r>
  <r>
    <x v="18"/>
    <x v="69"/>
    <x v="373"/>
    <m/>
    <m/>
    <m/>
    <n v="0"/>
    <m/>
    <m/>
    <m/>
    <n v="0"/>
    <n v="0"/>
    <m/>
    <m/>
    <n v="500"/>
    <m/>
    <m/>
    <m/>
    <m/>
    <m/>
    <m/>
  </r>
  <r>
    <x v="18"/>
    <x v="69"/>
    <x v="374"/>
    <m/>
    <m/>
    <m/>
    <n v="0"/>
    <m/>
    <m/>
    <m/>
    <n v="0"/>
    <n v="0"/>
    <m/>
    <m/>
    <n v="500"/>
    <m/>
    <m/>
    <m/>
    <m/>
    <m/>
    <m/>
  </r>
  <r>
    <x v="18"/>
    <x v="69"/>
    <x v="375"/>
    <m/>
    <m/>
    <m/>
    <n v="0"/>
    <m/>
    <m/>
    <m/>
    <n v="0"/>
    <n v="0"/>
    <m/>
    <m/>
    <n v="500"/>
    <m/>
    <m/>
    <m/>
    <m/>
    <m/>
    <m/>
  </r>
  <r>
    <x v="18"/>
    <x v="69"/>
    <x v="376"/>
    <m/>
    <m/>
    <m/>
    <n v="0"/>
    <m/>
    <m/>
    <m/>
    <n v="0"/>
    <n v="0"/>
    <m/>
    <m/>
    <n v="1000"/>
    <m/>
    <m/>
    <m/>
    <m/>
    <m/>
    <m/>
  </r>
  <r>
    <x v="18"/>
    <x v="69"/>
    <x v="377"/>
    <m/>
    <m/>
    <m/>
    <n v="0"/>
    <m/>
    <m/>
    <m/>
    <n v="0"/>
    <n v="0"/>
    <m/>
    <m/>
    <n v="300"/>
    <m/>
    <m/>
    <m/>
    <m/>
    <m/>
    <m/>
  </r>
  <r>
    <x v="1"/>
    <x v="10"/>
    <x v="21"/>
    <n v="132542"/>
    <n v="41965"/>
    <n v="6504"/>
    <n v="181011"/>
    <n v="167909"/>
    <n v="29084"/>
    <n v="9065"/>
    <n v="206058"/>
    <n v="25047"/>
    <n v="0"/>
    <n v="9048"/>
    <n v="8800"/>
    <n v="39498"/>
    <n v="42498"/>
    <n v="437460"/>
    <n v="0"/>
    <n v="168385"/>
    <n v="269075"/>
  </r>
  <r>
    <x v="1"/>
    <x v="10"/>
    <x v="24"/>
    <m/>
    <m/>
    <m/>
    <m/>
    <m/>
    <m/>
    <m/>
    <m/>
    <m/>
    <m/>
    <m/>
    <m/>
    <m/>
    <m/>
    <m/>
    <m/>
    <m/>
    <m/>
  </r>
  <r>
    <x v="18"/>
    <x v="70"/>
    <x v="378"/>
    <n v="109546"/>
    <n v="40806"/>
    <n v="5287"/>
    <n v="155639"/>
    <n v="144358"/>
    <n v="52023"/>
    <m/>
    <n v="196381"/>
    <n v="40742"/>
    <m/>
    <m/>
    <m/>
    <m/>
    <m/>
    <m/>
    <m/>
    <m/>
    <m/>
  </r>
  <r>
    <x v="18"/>
    <x v="70"/>
    <x v="379"/>
    <n v="7107"/>
    <n v="9111"/>
    <m/>
    <n v="16218"/>
    <n v="7725"/>
    <n v="8944"/>
    <m/>
    <n v="16669"/>
    <n v="451"/>
    <m/>
    <m/>
    <m/>
    <m/>
    <m/>
    <m/>
    <m/>
    <m/>
    <m/>
  </r>
  <r>
    <x v="18"/>
    <x v="70"/>
    <x v="380"/>
    <m/>
    <n v="6647"/>
    <m/>
    <n v="6647"/>
    <m/>
    <m/>
    <m/>
    <n v="0"/>
    <n v="-6647"/>
    <m/>
    <m/>
    <m/>
    <m/>
    <m/>
    <m/>
    <m/>
    <m/>
    <m/>
  </r>
  <r>
    <x v="18"/>
    <x v="70"/>
    <x v="381"/>
    <m/>
    <m/>
    <m/>
    <n v="0"/>
    <m/>
    <m/>
    <m/>
    <n v="0"/>
    <n v="0"/>
    <m/>
    <n v="10000"/>
    <m/>
    <m/>
    <m/>
    <m/>
    <m/>
    <m/>
    <m/>
  </r>
  <r>
    <x v="18"/>
    <x v="70"/>
    <x v="382"/>
    <m/>
    <m/>
    <m/>
    <m/>
    <m/>
    <m/>
    <m/>
    <m/>
    <m/>
    <m/>
    <m/>
    <m/>
    <m/>
    <n v="2540"/>
    <m/>
    <m/>
    <m/>
    <m/>
  </r>
  <r>
    <x v="18"/>
    <x v="71"/>
    <x v="383"/>
    <n v="59621"/>
    <n v="30709"/>
    <m/>
    <n v="90330"/>
    <n v="59411"/>
    <n v="34908"/>
    <m/>
    <n v="94319"/>
    <n v="3989"/>
    <m/>
    <m/>
    <m/>
    <m/>
    <m/>
    <m/>
    <m/>
    <m/>
    <m/>
  </r>
  <r>
    <x v="18"/>
    <x v="71"/>
    <x v="384"/>
    <m/>
    <m/>
    <m/>
    <m/>
    <m/>
    <m/>
    <m/>
    <m/>
    <m/>
    <m/>
    <n v="6000"/>
    <m/>
    <m/>
    <m/>
    <m/>
    <m/>
    <m/>
    <m/>
  </r>
  <r>
    <x v="18"/>
    <x v="71"/>
    <x v="178"/>
    <m/>
    <n v="200"/>
    <m/>
    <n v="200"/>
    <m/>
    <m/>
    <m/>
    <n v="0"/>
    <n v="-200"/>
    <m/>
    <m/>
    <m/>
    <m/>
    <m/>
    <m/>
    <m/>
    <m/>
    <m/>
  </r>
  <r>
    <x v="18"/>
    <x v="71"/>
    <x v="385"/>
    <m/>
    <n v="2650"/>
    <m/>
    <n v="2650"/>
    <m/>
    <m/>
    <m/>
    <n v="0"/>
    <n v="-2650"/>
    <m/>
    <m/>
    <m/>
    <m/>
    <m/>
    <m/>
    <m/>
    <m/>
    <m/>
  </r>
  <r>
    <x v="18"/>
    <x v="71"/>
    <x v="386"/>
    <m/>
    <n v="44438"/>
    <m/>
    <n v="44438"/>
    <m/>
    <m/>
    <m/>
    <n v="0"/>
    <n v="-44438"/>
    <m/>
    <m/>
    <m/>
    <m/>
    <m/>
    <m/>
    <m/>
    <m/>
    <m/>
  </r>
  <r>
    <x v="18"/>
    <x v="72"/>
    <x v="387"/>
    <n v="78573"/>
    <n v="24250"/>
    <n v="1000"/>
    <n v="103823"/>
    <n v="64361"/>
    <n v="21782"/>
    <m/>
    <n v="86143"/>
    <n v="-17680"/>
    <m/>
    <m/>
    <m/>
    <m/>
    <m/>
    <m/>
    <m/>
    <m/>
    <m/>
  </r>
  <r>
    <x v="18"/>
    <x v="72"/>
    <x v="351"/>
    <m/>
    <n v="33300"/>
    <m/>
    <n v="33300"/>
    <m/>
    <n v="16613"/>
    <m/>
    <n v="16613"/>
    <n v="-16687"/>
    <m/>
    <m/>
    <m/>
    <m/>
    <m/>
    <m/>
    <m/>
    <m/>
    <m/>
  </r>
  <r>
    <x v="18"/>
    <x v="72"/>
    <x v="384"/>
    <m/>
    <m/>
    <m/>
    <m/>
    <m/>
    <m/>
    <m/>
    <m/>
    <m/>
    <m/>
    <n v="6000"/>
    <m/>
    <m/>
    <m/>
    <m/>
    <m/>
    <m/>
    <m/>
  </r>
  <r>
    <x v="18"/>
    <x v="72"/>
    <x v="388"/>
    <m/>
    <m/>
    <m/>
    <n v="0"/>
    <m/>
    <m/>
    <m/>
    <n v="0"/>
    <n v="0"/>
    <m/>
    <n v="3000"/>
    <m/>
    <m/>
    <m/>
    <m/>
    <m/>
    <m/>
    <m/>
  </r>
  <r>
    <x v="1"/>
    <x v="10"/>
    <x v="21"/>
    <n v="254847"/>
    <n v="192111"/>
    <n v="6287"/>
    <n v="453245"/>
    <n v="275855"/>
    <n v="134270"/>
    <n v="0"/>
    <n v="410125"/>
    <n v="-43120"/>
    <n v="0"/>
    <n v="25000"/>
    <n v="0"/>
    <n v="0"/>
    <n v="254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18"/>
    <x v="73"/>
    <x v="389"/>
    <n v="1641"/>
    <n v="1852"/>
    <m/>
    <n v="3493"/>
    <m/>
    <m/>
    <m/>
    <n v="0"/>
    <n v="-3493"/>
    <m/>
    <m/>
    <m/>
    <m/>
    <m/>
    <m/>
    <m/>
    <m/>
    <m/>
  </r>
  <r>
    <x v="18"/>
    <x v="74"/>
    <x v="390"/>
    <m/>
    <n v="23573"/>
    <m/>
    <n v="23573"/>
    <m/>
    <n v="18236"/>
    <m/>
    <n v="18236"/>
    <n v="-5337"/>
    <m/>
    <m/>
    <m/>
    <m/>
    <m/>
    <m/>
    <m/>
    <m/>
    <m/>
  </r>
  <r>
    <x v="18"/>
    <x v="75"/>
    <x v="391"/>
    <m/>
    <n v="54618"/>
    <m/>
    <n v="54618"/>
    <m/>
    <n v="52396"/>
    <m/>
    <n v="52396"/>
    <n v="-2222"/>
    <m/>
    <m/>
    <m/>
    <m/>
    <m/>
    <m/>
    <m/>
    <m/>
    <m/>
  </r>
  <r>
    <x v="18"/>
    <x v="76"/>
    <x v="392"/>
    <m/>
    <n v="26300"/>
    <m/>
    <n v="26300"/>
    <m/>
    <n v="19500"/>
    <m/>
    <n v="19500"/>
    <n v="-6800"/>
    <m/>
    <m/>
    <m/>
    <m/>
    <m/>
    <m/>
    <m/>
    <m/>
    <m/>
  </r>
  <r>
    <x v="18"/>
    <x v="77"/>
    <x v="393"/>
    <n v="1236"/>
    <n v="11440"/>
    <m/>
    <n v="12676"/>
    <m/>
    <m/>
    <m/>
    <n v="0"/>
    <n v="-12676"/>
    <m/>
    <m/>
    <m/>
    <m/>
    <m/>
    <m/>
    <m/>
    <m/>
    <m/>
  </r>
  <r>
    <x v="18"/>
    <x v="78"/>
    <x v="394"/>
    <n v="1500"/>
    <n v="6000"/>
    <m/>
    <n v="7500"/>
    <m/>
    <m/>
    <m/>
    <n v="0"/>
    <n v="-7500"/>
    <m/>
    <m/>
    <m/>
    <m/>
    <m/>
    <m/>
    <m/>
    <m/>
    <m/>
  </r>
  <r>
    <x v="18"/>
    <x v="79"/>
    <x v="395"/>
    <n v="520"/>
    <n v="16577"/>
    <m/>
    <n v="17097"/>
    <m/>
    <m/>
    <m/>
    <n v="0"/>
    <n v="-17097"/>
    <m/>
    <m/>
    <m/>
    <m/>
    <m/>
    <m/>
    <m/>
    <m/>
    <m/>
  </r>
  <r>
    <x v="18"/>
    <x v="80"/>
    <x v="396"/>
    <n v="5837"/>
    <n v="47994"/>
    <m/>
    <n v="53831"/>
    <n v="5837"/>
    <n v="41713"/>
    <m/>
    <n v="47550"/>
    <n v="-6281"/>
    <m/>
    <m/>
    <m/>
    <m/>
    <m/>
    <m/>
    <m/>
    <m/>
    <m/>
  </r>
  <r>
    <x v="18"/>
    <x v="81"/>
    <x v="397"/>
    <m/>
    <m/>
    <m/>
    <n v="0"/>
    <m/>
    <n v="16000"/>
    <m/>
    <n v="16000"/>
    <n v="16000"/>
    <m/>
    <m/>
    <m/>
    <m/>
    <m/>
    <m/>
    <m/>
    <m/>
    <m/>
  </r>
  <r>
    <x v="18"/>
    <x v="82"/>
    <x v="398"/>
    <m/>
    <n v="20000"/>
    <m/>
    <n v="20000"/>
    <m/>
    <n v="16000"/>
    <m/>
    <n v="16000"/>
    <n v="-4000"/>
    <m/>
    <m/>
    <m/>
    <m/>
    <m/>
    <m/>
    <m/>
    <m/>
    <m/>
  </r>
  <r>
    <x v="18"/>
    <x v="83"/>
    <x v="399"/>
    <m/>
    <n v="10000"/>
    <m/>
    <n v="10000"/>
    <m/>
    <n v="10000"/>
    <m/>
    <n v="10000"/>
    <n v="0"/>
    <m/>
    <m/>
    <m/>
    <m/>
    <m/>
    <m/>
    <m/>
    <m/>
    <m/>
  </r>
  <r>
    <x v="18"/>
    <x v="84"/>
    <x v="400"/>
    <m/>
    <m/>
    <m/>
    <n v="0"/>
    <m/>
    <m/>
    <m/>
    <n v="0"/>
    <n v="0"/>
    <m/>
    <m/>
    <m/>
    <m/>
    <m/>
    <m/>
    <m/>
    <m/>
    <m/>
  </r>
  <r>
    <x v="18"/>
    <x v="85"/>
    <x v="401"/>
    <m/>
    <m/>
    <m/>
    <n v="0"/>
    <m/>
    <n v="24000"/>
    <m/>
    <n v="24000"/>
    <n v="24000"/>
    <m/>
    <m/>
    <m/>
    <m/>
    <m/>
    <m/>
    <m/>
    <m/>
    <m/>
  </r>
  <r>
    <x v="18"/>
    <x v="86"/>
    <x v="402"/>
    <m/>
    <m/>
    <m/>
    <n v="0"/>
    <m/>
    <m/>
    <m/>
    <n v="0"/>
    <n v="0"/>
    <m/>
    <n v="2000"/>
    <m/>
    <m/>
    <m/>
    <m/>
    <m/>
    <m/>
    <m/>
  </r>
  <r>
    <x v="18"/>
    <x v="87"/>
    <x v="403"/>
    <m/>
    <m/>
    <m/>
    <n v="0"/>
    <m/>
    <m/>
    <m/>
    <n v="0"/>
    <n v="0"/>
    <m/>
    <m/>
    <m/>
    <m/>
    <n v="2500"/>
    <m/>
    <m/>
    <m/>
    <m/>
  </r>
  <r>
    <x v="18"/>
    <x v="88"/>
    <x v="404"/>
    <m/>
    <n v="150"/>
    <m/>
    <n v="150"/>
    <m/>
    <m/>
    <m/>
    <n v="0"/>
    <n v="-150"/>
    <m/>
    <n v="400"/>
    <m/>
    <m/>
    <m/>
    <m/>
    <m/>
    <m/>
    <m/>
  </r>
  <r>
    <x v="18"/>
    <x v="89"/>
    <x v="405"/>
    <m/>
    <n v="400"/>
    <m/>
    <n v="400"/>
    <m/>
    <m/>
    <m/>
    <n v="0"/>
    <n v="-400"/>
    <m/>
    <m/>
    <m/>
    <m/>
    <m/>
    <m/>
    <m/>
    <m/>
    <m/>
  </r>
  <r>
    <x v="18"/>
    <x v="90"/>
    <x v="406"/>
    <m/>
    <n v="200"/>
    <m/>
    <n v="200"/>
    <m/>
    <m/>
    <m/>
    <n v="0"/>
    <n v="-200"/>
    <m/>
    <m/>
    <m/>
    <m/>
    <m/>
    <m/>
    <m/>
    <m/>
    <m/>
  </r>
  <r>
    <x v="18"/>
    <x v="91"/>
    <x v="407"/>
    <m/>
    <n v="1458"/>
    <m/>
    <n v="1458"/>
    <m/>
    <m/>
    <m/>
    <n v="0"/>
    <n v="-1458"/>
    <m/>
    <m/>
    <m/>
    <m/>
    <m/>
    <m/>
    <m/>
    <m/>
    <m/>
  </r>
  <r>
    <x v="18"/>
    <x v="92"/>
    <x v="408"/>
    <m/>
    <n v="4000"/>
    <m/>
    <n v="4000"/>
    <m/>
    <m/>
    <m/>
    <n v="0"/>
    <n v="-4000"/>
    <m/>
    <m/>
    <m/>
    <m/>
    <m/>
    <m/>
    <m/>
    <m/>
    <m/>
  </r>
  <r>
    <x v="18"/>
    <x v="93"/>
    <x v="409"/>
    <m/>
    <n v="1000"/>
    <m/>
    <n v="1000"/>
    <m/>
    <m/>
    <m/>
    <n v="0"/>
    <n v="-1000"/>
    <m/>
    <n v="1000"/>
    <m/>
    <m/>
    <m/>
    <m/>
    <m/>
    <m/>
    <m/>
  </r>
  <r>
    <x v="18"/>
    <x v="94"/>
    <x v="410"/>
    <m/>
    <m/>
    <m/>
    <n v="0"/>
    <m/>
    <m/>
    <m/>
    <n v="0"/>
    <n v="0"/>
    <m/>
    <n v="2200"/>
    <m/>
    <m/>
    <m/>
    <m/>
    <m/>
    <m/>
    <m/>
  </r>
  <r>
    <x v="1"/>
    <x v="10"/>
    <x v="21"/>
    <n v="10734"/>
    <n v="225562"/>
    <n v="0"/>
    <n v="236296"/>
    <n v="5837"/>
    <n v="197845"/>
    <n v="0"/>
    <n v="203682"/>
    <n v="-32614"/>
    <n v="0"/>
    <n v="5600"/>
    <n v="0"/>
    <n v="0"/>
    <n v="2500"/>
    <n v="0"/>
    <n v="0"/>
    <n v="0"/>
    <n v="0"/>
  </r>
  <r>
    <x v="1"/>
    <x v="10"/>
    <x v="24"/>
    <m/>
    <m/>
    <m/>
    <m/>
    <m/>
    <m/>
    <m/>
    <m/>
    <m/>
    <m/>
    <m/>
    <m/>
    <m/>
    <m/>
    <m/>
    <m/>
    <m/>
    <m/>
  </r>
  <r>
    <x v="1"/>
    <x v="10"/>
    <x v="411"/>
    <m/>
    <m/>
    <m/>
    <m/>
    <m/>
    <m/>
    <m/>
    <m/>
    <m/>
    <m/>
    <m/>
    <m/>
    <m/>
    <m/>
    <m/>
    <m/>
    <m/>
    <m/>
  </r>
  <r>
    <x v="1"/>
    <x v="10"/>
    <x v="24"/>
    <m/>
    <m/>
    <m/>
    <m/>
    <m/>
    <m/>
    <m/>
    <m/>
    <m/>
    <m/>
    <m/>
    <m/>
    <m/>
    <m/>
    <m/>
    <m/>
    <m/>
    <m/>
  </r>
  <r>
    <x v="19"/>
    <x v="95"/>
    <x v="412"/>
    <n v="120804"/>
    <n v="27261"/>
    <n v="6108"/>
    <n v="154173"/>
    <n v="144241"/>
    <n v="30201"/>
    <m/>
    <n v="174442"/>
    <n v="20269"/>
    <m/>
    <m/>
    <m/>
    <m/>
    <m/>
    <m/>
    <m/>
    <m/>
    <m/>
  </r>
  <r>
    <x v="19"/>
    <x v="95"/>
    <x v="413"/>
    <m/>
    <n v="15152"/>
    <m/>
    <n v="15152"/>
    <m/>
    <n v="19481"/>
    <m/>
    <n v="19481"/>
    <n v="4329"/>
    <m/>
    <m/>
    <m/>
    <m/>
    <m/>
    <m/>
    <m/>
    <m/>
    <m/>
  </r>
  <r>
    <x v="19"/>
    <x v="95"/>
    <x v="414"/>
    <n v="25438"/>
    <m/>
    <m/>
    <n v="25438"/>
    <n v="30342"/>
    <m/>
    <m/>
    <n v="30342"/>
    <n v="4904"/>
    <m/>
    <m/>
    <m/>
    <m/>
    <m/>
    <m/>
    <m/>
    <m/>
    <m/>
  </r>
  <r>
    <x v="19"/>
    <x v="95"/>
    <x v="415"/>
    <m/>
    <m/>
    <m/>
    <n v="0"/>
    <m/>
    <m/>
    <m/>
    <n v="0"/>
    <n v="0"/>
    <n v="124608"/>
    <m/>
    <m/>
    <m/>
    <m/>
    <m/>
    <m/>
    <m/>
    <m/>
  </r>
  <r>
    <x v="19"/>
    <x v="95"/>
    <x v="416"/>
    <m/>
    <m/>
    <m/>
    <n v="0"/>
    <m/>
    <m/>
    <m/>
    <n v="0"/>
    <n v="0"/>
    <n v="732"/>
    <m/>
    <m/>
    <m/>
    <m/>
    <m/>
    <m/>
    <m/>
    <m/>
  </r>
  <r>
    <x v="19"/>
    <x v="95"/>
    <x v="417"/>
    <m/>
    <m/>
    <m/>
    <m/>
    <m/>
    <m/>
    <m/>
    <m/>
    <m/>
    <n v="3636"/>
    <m/>
    <m/>
    <m/>
    <m/>
    <m/>
    <m/>
    <m/>
    <m/>
  </r>
  <r>
    <x v="19"/>
    <x v="95"/>
    <x v="418"/>
    <m/>
    <m/>
    <m/>
    <n v="0"/>
    <m/>
    <m/>
    <m/>
    <n v="0"/>
    <n v="0"/>
    <m/>
    <m/>
    <m/>
    <m/>
    <m/>
    <m/>
    <m/>
    <m/>
    <m/>
  </r>
  <r>
    <x v="19"/>
    <x v="95"/>
    <x v="419"/>
    <m/>
    <m/>
    <n v="3000"/>
    <n v="3000"/>
    <m/>
    <m/>
    <m/>
    <n v="0"/>
    <n v="-3000"/>
    <m/>
    <m/>
    <m/>
    <m/>
    <m/>
    <m/>
    <m/>
    <m/>
    <m/>
  </r>
  <r>
    <x v="19"/>
    <x v="95"/>
    <x v="420"/>
    <m/>
    <m/>
    <m/>
    <n v="0"/>
    <m/>
    <m/>
    <m/>
    <n v="0"/>
    <n v="0"/>
    <m/>
    <n v="120"/>
    <m/>
    <m/>
    <m/>
    <m/>
    <m/>
    <m/>
    <m/>
  </r>
  <r>
    <x v="19"/>
    <x v="95"/>
    <x v="421"/>
    <m/>
    <m/>
    <m/>
    <n v="0"/>
    <m/>
    <m/>
    <m/>
    <n v="0"/>
    <n v="0"/>
    <m/>
    <n v="4500"/>
    <m/>
    <m/>
    <m/>
    <m/>
    <m/>
    <m/>
    <m/>
  </r>
  <r>
    <x v="19"/>
    <x v="95"/>
    <x v="422"/>
    <m/>
    <m/>
    <m/>
    <n v="0"/>
    <m/>
    <m/>
    <m/>
    <n v="0"/>
    <n v="0"/>
    <m/>
    <m/>
    <m/>
    <n v="5024"/>
    <m/>
    <m/>
    <m/>
    <m/>
    <m/>
  </r>
  <r>
    <x v="1"/>
    <x v="10"/>
    <x v="21"/>
    <n v="146242"/>
    <n v="42413"/>
    <n v="9108"/>
    <n v="197763"/>
    <n v="174583"/>
    <n v="49682"/>
    <n v="0"/>
    <n v="224265"/>
    <n v="26502"/>
    <n v="128976"/>
    <n v="4620"/>
    <n v="0"/>
    <n v="5024"/>
    <n v="0"/>
    <n v="0"/>
    <n v="0"/>
    <n v="0"/>
    <n v="0"/>
  </r>
  <r>
    <x v="19"/>
    <x v="96"/>
    <x v="423"/>
    <n v="119252"/>
    <n v="38491"/>
    <n v="2092"/>
    <n v="159835"/>
    <n v="136550"/>
    <n v="40387"/>
    <n v="3200"/>
    <n v="180137"/>
    <n v="20302"/>
    <m/>
    <m/>
    <m/>
    <m/>
    <m/>
    <m/>
    <m/>
    <m/>
    <m/>
  </r>
  <r>
    <x v="19"/>
    <x v="96"/>
    <x v="413"/>
    <m/>
    <n v="18986"/>
    <m/>
    <n v="18986"/>
    <m/>
    <n v="23442"/>
    <m/>
    <n v="23442"/>
    <n v="4456"/>
    <m/>
    <m/>
    <m/>
    <m/>
    <m/>
    <m/>
    <m/>
    <m/>
    <m/>
  </r>
  <r>
    <x v="19"/>
    <x v="96"/>
    <x v="414"/>
    <n v="120538"/>
    <m/>
    <m/>
    <n v="120538"/>
    <n v="166967"/>
    <m/>
    <m/>
    <n v="166967"/>
    <n v="46429"/>
    <m/>
    <m/>
    <m/>
    <m/>
    <m/>
    <m/>
    <m/>
    <m/>
    <m/>
  </r>
  <r>
    <x v="19"/>
    <x v="96"/>
    <x v="415"/>
    <m/>
    <m/>
    <m/>
    <n v="0"/>
    <m/>
    <m/>
    <m/>
    <n v="0"/>
    <n v="0"/>
    <n v="30065"/>
    <m/>
    <m/>
    <m/>
    <m/>
    <m/>
    <m/>
    <m/>
    <m/>
  </r>
  <r>
    <x v="19"/>
    <x v="96"/>
    <x v="416"/>
    <m/>
    <m/>
    <m/>
    <n v="0"/>
    <m/>
    <m/>
    <m/>
    <n v="0"/>
    <n v="0"/>
    <n v="750"/>
    <m/>
    <m/>
    <m/>
    <m/>
    <m/>
    <m/>
    <m/>
    <m/>
  </r>
  <r>
    <x v="19"/>
    <x v="96"/>
    <x v="418"/>
    <m/>
    <m/>
    <m/>
    <n v="0"/>
    <m/>
    <m/>
    <m/>
    <n v="0"/>
    <n v="0"/>
    <m/>
    <m/>
    <m/>
    <m/>
    <m/>
    <m/>
    <m/>
    <m/>
    <m/>
  </r>
  <r>
    <x v="19"/>
    <x v="96"/>
    <x v="419"/>
    <m/>
    <m/>
    <n v="2780"/>
    <n v="2780"/>
    <m/>
    <m/>
    <m/>
    <n v="0"/>
    <n v="-2780"/>
    <m/>
    <m/>
    <m/>
    <m/>
    <m/>
    <m/>
    <m/>
    <m/>
    <m/>
  </r>
  <r>
    <x v="19"/>
    <x v="96"/>
    <x v="424"/>
    <m/>
    <n v="1000"/>
    <m/>
    <n v="1000"/>
    <m/>
    <m/>
    <m/>
    <n v="0"/>
    <n v="-1000"/>
    <m/>
    <m/>
    <m/>
    <m/>
    <m/>
    <m/>
    <m/>
    <m/>
    <m/>
  </r>
  <r>
    <x v="19"/>
    <x v="96"/>
    <x v="425"/>
    <m/>
    <m/>
    <n v="7253"/>
    <n v="7253"/>
    <m/>
    <m/>
    <m/>
    <n v="0"/>
    <n v="-7253"/>
    <m/>
    <m/>
    <m/>
    <m/>
    <m/>
    <m/>
    <m/>
    <m/>
    <m/>
  </r>
  <r>
    <x v="19"/>
    <x v="96"/>
    <x v="420"/>
    <m/>
    <m/>
    <m/>
    <n v="0"/>
    <m/>
    <m/>
    <m/>
    <n v="0"/>
    <n v="0"/>
    <m/>
    <n v="120"/>
    <m/>
    <m/>
    <m/>
    <m/>
    <m/>
    <m/>
    <m/>
  </r>
  <r>
    <x v="19"/>
    <x v="96"/>
    <x v="426"/>
    <m/>
    <m/>
    <m/>
    <n v="0"/>
    <m/>
    <m/>
    <m/>
    <n v="0"/>
    <n v="0"/>
    <m/>
    <m/>
    <m/>
    <n v="500"/>
    <m/>
    <m/>
    <m/>
    <m/>
    <m/>
  </r>
  <r>
    <x v="19"/>
    <x v="96"/>
    <x v="427"/>
    <m/>
    <m/>
    <m/>
    <n v="0"/>
    <m/>
    <m/>
    <m/>
    <n v="0"/>
    <n v="0"/>
    <m/>
    <m/>
    <m/>
    <n v="1000"/>
    <n v="1000"/>
    <m/>
    <m/>
    <m/>
    <m/>
  </r>
  <r>
    <x v="19"/>
    <x v="96"/>
    <x v="428"/>
    <m/>
    <m/>
    <m/>
    <n v="0"/>
    <m/>
    <m/>
    <m/>
    <n v="0"/>
    <n v="0"/>
    <m/>
    <m/>
    <m/>
    <n v="1000"/>
    <n v="1000"/>
    <m/>
    <m/>
    <m/>
    <m/>
  </r>
  <r>
    <x v="19"/>
    <x v="96"/>
    <x v="429"/>
    <m/>
    <m/>
    <m/>
    <n v="0"/>
    <m/>
    <m/>
    <m/>
    <n v="0"/>
    <n v="0"/>
    <m/>
    <m/>
    <m/>
    <n v="24000"/>
    <n v="24000"/>
    <m/>
    <m/>
    <m/>
    <m/>
  </r>
  <r>
    <x v="19"/>
    <x v="96"/>
    <x v="430"/>
    <m/>
    <m/>
    <m/>
    <n v="0"/>
    <m/>
    <m/>
    <m/>
    <n v="0"/>
    <n v="0"/>
    <m/>
    <m/>
    <m/>
    <n v="23020"/>
    <n v="26607"/>
    <m/>
    <m/>
    <m/>
    <m/>
  </r>
  <r>
    <x v="19"/>
    <x v="96"/>
    <x v="431"/>
    <m/>
    <m/>
    <m/>
    <n v="0"/>
    <m/>
    <m/>
    <m/>
    <n v="0"/>
    <n v="0"/>
    <m/>
    <m/>
    <m/>
    <n v="8142"/>
    <n v="8142"/>
    <m/>
    <m/>
    <m/>
    <m/>
  </r>
  <r>
    <x v="19"/>
    <x v="96"/>
    <x v="432"/>
    <m/>
    <m/>
    <m/>
    <n v="0"/>
    <m/>
    <m/>
    <m/>
    <n v="0"/>
    <n v="0"/>
    <m/>
    <m/>
    <m/>
    <n v="11159"/>
    <n v="11159"/>
    <m/>
    <m/>
    <m/>
    <m/>
  </r>
  <r>
    <x v="19"/>
    <x v="96"/>
    <x v="433"/>
    <m/>
    <m/>
    <m/>
    <n v="0"/>
    <m/>
    <m/>
    <m/>
    <n v="0"/>
    <n v="0"/>
    <m/>
    <m/>
    <m/>
    <n v="5525"/>
    <n v="5525"/>
    <m/>
    <m/>
    <m/>
    <m/>
  </r>
  <r>
    <x v="19"/>
    <x v="96"/>
    <x v="434"/>
    <m/>
    <m/>
    <m/>
    <n v="0"/>
    <m/>
    <m/>
    <m/>
    <n v="0"/>
    <n v="0"/>
    <m/>
    <m/>
    <m/>
    <m/>
    <n v="2367"/>
    <m/>
    <m/>
    <m/>
    <m/>
  </r>
  <r>
    <x v="19"/>
    <x v="96"/>
    <x v="435"/>
    <m/>
    <m/>
    <m/>
    <n v="0"/>
    <m/>
    <m/>
    <m/>
    <n v="0"/>
    <n v="0"/>
    <m/>
    <n v="3958"/>
    <m/>
    <m/>
    <m/>
    <m/>
    <m/>
    <m/>
    <m/>
  </r>
  <r>
    <x v="19"/>
    <x v="96"/>
    <x v="436"/>
    <m/>
    <m/>
    <m/>
    <n v="0"/>
    <m/>
    <m/>
    <m/>
    <n v="0"/>
    <n v="0"/>
    <m/>
    <m/>
    <m/>
    <m/>
    <n v="12081"/>
    <m/>
    <m/>
    <m/>
    <m/>
  </r>
  <r>
    <x v="19"/>
    <x v="96"/>
    <x v="437"/>
    <m/>
    <m/>
    <m/>
    <n v="0"/>
    <m/>
    <m/>
    <m/>
    <n v="0"/>
    <n v="0"/>
    <m/>
    <m/>
    <m/>
    <m/>
    <n v="10000"/>
    <m/>
    <m/>
    <m/>
    <m/>
  </r>
  <r>
    <x v="1"/>
    <x v="10"/>
    <x v="21"/>
    <n v="239790"/>
    <n v="58477"/>
    <n v="12125"/>
    <n v="310392"/>
    <n v="303517"/>
    <n v="63829"/>
    <n v="3200"/>
    <n v="370546"/>
    <n v="60154"/>
    <n v="30815"/>
    <n v="4078"/>
    <n v="0"/>
    <n v="74346"/>
    <n v="101881"/>
    <n v="0"/>
    <n v="0"/>
    <n v="0"/>
    <n v="0"/>
  </r>
  <r>
    <x v="19"/>
    <x v="97"/>
    <x v="438"/>
    <n v="181716"/>
    <n v="76176"/>
    <n v="4300"/>
    <n v="262192"/>
    <n v="213291"/>
    <n v="77576"/>
    <n v="5450"/>
    <n v="296317"/>
    <n v="34125"/>
    <m/>
    <m/>
    <m/>
    <m/>
    <m/>
    <m/>
    <m/>
    <m/>
    <m/>
  </r>
  <r>
    <x v="19"/>
    <x v="97"/>
    <x v="413"/>
    <m/>
    <n v="39932"/>
    <m/>
    <n v="39932"/>
    <m/>
    <n v="40847"/>
    <m/>
    <n v="40847"/>
    <n v="915"/>
    <m/>
    <m/>
    <m/>
    <m/>
    <m/>
    <m/>
    <m/>
    <m/>
    <m/>
  </r>
  <r>
    <x v="19"/>
    <x v="97"/>
    <x v="414"/>
    <n v="200314"/>
    <m/>
    <m/>
    <n v="200314"/>
    <n v="285455"/>
    <m/>
    <m/>
    <n v="285455"/>
    <n v="85141"/>
    <m/>
    <m/>
    <m/>
    <m/>
    <m/>
    <m/>
    <m/>
    <m/>
    <m/>
  </r>
  <r>
    <x v="19"/>
    <x v="97"/>
    <x v="415"/>
    <m/>
    <m/>
    <m/>
    <n v="0"/>
    <m/>
    <m/>
    <m/>
    <n v="0"/>
    <n v="0"/>
    <n v="59304"/>
    <m/>
    <m/>
    <m/>
    <m/>
    <m/>
    <m/>
    <m/>
    <m/>
  </r>
  <r>
    <x v="19"/>
    <x v="97"/>
    <x v="416"/>
    <m/>
    <m/>
    <m/>
    <n v="0"/>
    <m/>
    <m/>
    <m/>
    <n v="0"/>
    <n v="0"/>
    <n v="1411"/>
    <m/>
    <m/>
    <m/>
    <m/>
    <m/>
    <m/>
    <m/>
    <m/>
  </r>
  <r>
    <x v="19"/>
    <x v="97"/>
    <x v="418"/>
    <m/>
    <m/>
    <m/>
    <n v="0"/>
    <m/>
    <m/>
    <m/>
    <n v="0"/>
    <n v="0"/>
    <m/>
    <m/>
    <m/>
    <m/>
    <m/>
    <m/>
    <m/>
    <m/>
    <m/>
  </r>
  <r>
    <x v="19"/>
    <x v="97"/>
    <x v="419"/>
    <m/>
    <m/>
    <n v="2780"/>
    <n v="2780"/>
    <m/>
    <m/>
    <m/>
    <m/>
    <n v="-2780"/>
    <m/>
    <m/>
    <m/>
    <m/>
    <m/>
    <m/>
    <m/>
    <m/>
    <m/>
  </r>
  <r>
    <x v="19"/>
    <x v="97"/>
    <x v="439"/>
    <m/>
    <m/>
    <m/>
    <n v="0"/>
    <m/>
    <m/>
    <m/>
    <n v="0"/>
    <n v="0"/>
    <m/>
    <m/>
    <m/>
    <m/>
    <n v="10000"/>
    <m/>
    <m/>
    <m/>
    <m/>
  </r>
  <r>
    <x v="19"/>
    <x v="97"/>
    <x v="440"/>
    <m/>
    <m/>
    <m/>
    <n v="0"/>
    <m/>
    <m/>
    <m/>
    <n v="0"/>
    <n v="0"/>
    <m/>
    <m/>
    <m/>
    <m/>
    <m/>
    <m/>
    <m/>
    <m/>
    <m/>
  </r>
  <r>
    <x v="19"/>
    <x v="97"/>
    <x v="420"/>
    <m/>
    <m/>
    <m/>
    <n v="0"/>
    <m/>
    <m/>
    <m/>
    <n v="0"/>
    <n v="0"/>
    <m/>
    <n v="120"/>
    <m/>
    <m/>
    <m/>
    <m/>
    <m/>
    <m/>
    <m/>
  </r>
  <r>
    <x v="19"/>
    <x v="97"/>
    <x v="441"/>
    <m/>
    <m/>
    <m/>
    <n v="0"/>
    <m/>
    <m/>
    <m/>
    <n v="0"/>
    <n v="0"/>
    <m/>
    <m/>
    <m/>
    <n v="7900"/>
    <m/>
    <m/>
    <m/>
    <m/>
    <m/>
  </r>
  <r>
    <x v="1"/>
    <x v="10"/>
    <x v="21"/>
    <n v="382030"/>
    <n v="116108"/>
    <n v="7080"/>
    <n v="505218"/>
    <n v="498746"/>
    <n v="118423"/>
    <n v="5450"/>
    <n v="622619"/>
    <n v="117401"/>
    <n v="60715"/>
    <n v="120"/>
    <n v="0"/>
    <n v="7900"/>
    <n v="10000"/>
    <n v="0"/>
    <n v="0"/>
    <n v="0"/>
    <n v="0"/>
  </r>
  <r>
    <x v="19"/>
    <x v="98"/>
    <x v="442"/>
    <n v="74534"/>
    <n v="15072"/>
    <n v="1467"/>
    <n v="91073"/>
    <n v="85705"/>
    <n v="16709"/>
    <n v="2400"/>
    <n v="104814"/>
    <n v="13741"/>
    <m/>
    <m/>
    <m/>
    <m/>
    <m/>
    <m/>
    <m/>
    <m/>
    <m/>
  </r>
  <r>
    <x v="19"/>
    <x v="98"/>
    <x v="413"/>
    <m/>
    <n v="6257"/>
    <m/>
    <n v="6257"/>
    <m/>
    <n v="8024"/>
    <m/>
    <n v="8024"/>
    <n v="1767"/>
    <m/>
    <m/>
    <m/>
    <m/>
    <m/>
    <m/>
    <m/>
    <m/>
    <m/>
  </r>
  <r>
    <x v="19"/>
    <x v="98"/>
    <x v="414"/>
    <n v="24303"/>
    <m/>
    <m/>
    <n v="24303"/>
    <n v="40121"/>
    <m/>
    <m/>
    <n v="40121"/>
    <n v="15818"/>
    <m/>
    <m/>
    <m/>
    <m/>
    <m/>
    <m/>
    <m/>
    <m/>
    <m/>
  </r>
  <r>
    <x v="19"/>
    <x v="98"/>
    <x v="415"/>
    <m/>
    <m/>
    <m/>
    <n v="0"/>
    <m/>
    <m/>
    <m/>
    <n v="0"/>
    <n v="0"/>
    <n v="10656"/>
    <m/>
    <m/>
    <m/>
    <m/>
    <m/>
    <m/>
    <m/>
    <m/>
  </r>
  <r>
    <x v="19"/>
    <x v="98"/>
    <x v="416"/>
    <m/>
    <m/>
    <m/>
    <n v="0"/>
    <m/>
    <m/>
    <m/>
    <n v="0"/>
    <n v="0"/>
    <n v="214"/>
    <m/>
    <m/>
    <m/>
    <m/>
    <m/>
    <m/>
    <m/>
    <m/>
  </r>
  <r>
    <x v="19"/>
    <x v="98"/>
    <x v="418"/>
    <m/>
    <m/>
    <m/>
    <n v="0"/>
    <m/>
    <m/>
    <m/>
    <n v="0"/>
    <n v="0"/>
    <m/>
    <m/>
    <m/>
    <m/>
    <m/>
    <m/>
    <m/>
    <m/>
    <m/>
  </r>
  <r>
    <x v="19"/>
    <x v="98"/>
    <x v="443"/>
    <m/>
    <m/>
    <m/>
    <n v="0"/>
    <m/>
    <m/>
    <m/>
    <n v="0"/>
    <n v="0"/>
    <m/>
    <m/>
    <m/>
    <n v="4998"/>
    <m/>
    <m/>
    <m/>
    <m/>
    <m/>
  </r>
  <r>
    <x v="19"/>
    <x v="98"/>
    <x v="444"/>
    <m/>
    <m/>
    <m/>
    <n v="0"/>
    <m/>
    <m/>
    <m/>
    <n v="0"/>
    <n v="0"/>
    <m/>
    <m/>
    <m/>
    <n v="4998"/>
    <m/>
    <m/>
    <m/>
    <m/>
    <m/>
  </r>
  <r>
    <x v="19"/>
    <x v="98"/>
    <x v="445"/>
    <m/>
    <m/>
    <m/>
    <m/>
    <m/>
    <m/>
    <m/>
    <m/>
    <m/>
    <m/>
    <m/>
    <m/>
    <n v="2841"/>
    <m/>
    <m/>
    <m/>
    <m/>
    <m/>
  </r>
  <r>
    <x v="19"/>
    <x v="98"/>
    <x v="446"/>
    <m/>
    <m/>
    <m/>
    <n v="0"/>
    <m/>
    <m/>
    <m/>
    <n v="0"/>
    <n v="0"/>
    <m/>
    <m/>
    <m/>
    <m/>
    <n v="9500"/>
    <m/>
    <m/>
    <m/>
    <m/>
  </r>
  <r>
    <x v="1"/>
    <x v="10"/>
    <x v="21"/>
    <n v="98837"/>
    <n v="21329"/>
    <n v="1467"/>
    <n v="121633"/>
    <n v="125826"/>
    <n v="24733"/>
    <n v="2400"/>
    <n v="152959"/>
    <n v="31326"/>
    <n v="10870"/>
    <n v="0"/>
    <n v="0"/>
    <n v="12837"/>
    <n v="9500"/>
    <n v="0"/>
    <n v="0"/>
    <n v="0"/>
    <n v="0"/>
  </r>
  <r>
    <x v="19"/>
    <x v="99"/>
    <x v="447"/>
    <n v="33983"/>
    <n v="9186"/>
    <m/>
    <n v="43169"/>
    <n v="30560"/>
    <n v="12149"/>
    <m/>
    <n v="42709"/>
    <n v="-460"/>
    <m/>
    <m/>
    <m/>
    <m/>
    <m/>
    <m/>
    <m/>
    <m/>
    <m/>
  </r>
  <r>
    <x v="19"/>
    <x v="99"/>
    <x v="413"/>
    <m/>
    <n v="1956"/>
    <m/>
    <n v="1956"/>
    <m/>
    <n v="3195"/>
    <m/>
    <n v="3195"/>
    <n v="1239"/>
    <m/>
    <m/>
    <m/>
    <m/>
    <m/>
    <m/>
    <m/>
    <m/>
    <m/>
  </r>
  <r>
    <x v="19"/>
    <x v="99"/>
    <x v="414"/>
    <n v="14289"/>
    <m/>
    <m/>
    <n v="14289"/>
    <n v="25397"/>
    <m/>
    <m/>
    <n v="25397"/>
    <n v="11108"/>
    <m/>
    <m/>
    <m/>
    <m/>
    <m/>
    <m/>
    <m/>
    <m/>
    <m/>
  </r>
  <r>
    <x v="19"/>
    <x v="99"/>
    <x v="415"/>
    <m/>
    <m/>
    <m/>
    <n v="0"/>
    <m/>
    <m/>
    <m/>
    <n v="0"/>
    <n v="0"/>
    <n v="4440"/>
    <m/>
    <m/>
    <m/>
    <m/>
    <m/>
    <m/>
    <m/>
    <m/>
  </r>
  <r>
    <x v="19"/>
    <x v="99"/>
    <x v="416"/>
    <m/>
    <m/>
    <m/>
    <n v="0"/>
    <m/>
    <m/>
    <m/>
    <n v="0"/>
    <n v="0"/>
    <n v="89"/>
    <m/>
    <m/>
    <m/>
    <m/>
    <m/>
    <m/>
    <m/>
    <m/>
  </r>
  <r>
    <x v="19"/>
    <x v="99"/>
    <x v="418"/>
    <m/>
    <m/>
    <m/>
    <n v="0"/>
    <m/>
    <m/>
    <m/>
    <n v="0"/>
    <n v="0"/>
    <m/>
    <m/>
    <m/>
    <m/>
    <m/>
    <m/>
    <m/>
    <m/>
    <m/>
  </r>
  <r>
    <x v="19"/>
    <x v="99"/>
    <x v="448"/>
    <m/>
    <m/>
    <m/>
    <n v="0"/>
    <m/>
    <m/>
    <m/>
    <n v="0"/>
    <n v="0"/>
    <m/>
    <m/>
    <m/>
    <m/>
    <n v="2400"/>
    <m/>
    <m/>
    <m/>
    <m/>
  </r>
  <r>
    <x v="19"/>
    <x v="99"/>
    <x v="178"/>
    <m/>
    <n v="4000"/>
    <m/>
    <n v="4000"/>
    <m/>
    <m/>
    <m/>
    <n v="0"/>
    <n v="-4000"/>
    <m/>
    <m/>
    <m/>
    <m/>
    <m/>
    <m/>
    <m/>
    <m/>
    <m/>
  </r>
  <r>
    <x v="19"/>
    <x v="99"/>
    <x v="449"/>
    <m/>
    <m/>
    <n v="1380"/>
    <n v="1380"/>
    <m/>
    <m/>
    <m/>
    <n v="0"/>
    <n v="-1380"/>
    <m/>
    <m/>
    <m/>
    <m/>
    <m/>
    <m/>
    <m/>
    <m/>
    <m/>
  </r>
  <r>
    <x v="1"/>
    <x v="10"/>
    <x v="21"/>
    <n v="48272"/>
    <n v="15142"/>
    <n v="1380"/>
    <n v="64794"/>
    <n v="55957"/>
    <n v="15344"/>
    <n v="0"/>
    <n v="71301"/>
    <n v="6507"/>
    <n v="4529"/>
    <n v="0"/>
    <n v="0"/>
    <n v="0"/>
    <n v="2400"/>
    <n v="0"/>
    <n v="0"/>
    <n v="0"/>
    <n v="0"/>
  </r>
  <r>
    <x v="19"/>
    <x v="100"/>
    <x v="450"/>
    <n v="55625"/>
    <n v="8107"/>
    <m/>
    <n v="63732"/>
    <n v="42214"/>
    <n v="5781"/>
    <n v="1200"/>
    <n v="49195"/>
    <n v="-14537"/>
    <m/>
    <m/>
    <m/>
    <m/>
    <m/>
    <m/>
    <m/>
    <m/>
    <m/>
  </r>
  <r>
    <x v="19"/>
    <x v="100"/>
    <x v="413"/>
    <m/>
    <n v="4691"/>
    <m/>
    <n v="4691"/>
    <m/>
    <n v="5436"/>
    <m/>
    <n v="5436"/>
    <n v="745"/>
    <m/>
    <m/>
    <m/>
    <m/>
    <m/>
    <m/>
    <m/>
    <m/>
    <m/>
  </r>
  <r>
    <x v="19"/>
    <x v="100"/>
    <x v="414"/>
    <n v="23552"/>
    <m/>
    <m/>
    <n v="23552"/>
    <n v="26562"/>
    <m/>
    <m/>
    <n v="26562"/>
    <n v="3010"/>
    <m/>
    <m/>
    <m/>
    <m/>
    <m/>
    <m/>
    <m/>
    <m/>
    <m/>
  </r>
  <r>
    <x v="19"/>
    <x v="100"/>
    <x v="415"/>
    <m/>
    <m/>
    <m/>
    <n v="0"/>
    <m/>
    <m/>
    <m/>
    <n v="0"/>
    <n v="0"/>
    <n v="10656"/>
    <m/>
    <m/>
    <m/>
    <m/>
    <m/>
    <m/>
    <m/>
    <m/>
  </r>
  <r>
    <x v="19"/>
    <x v="100"/>
    <x v="416"/>
    <m/>
    <m/>
    <m/>
    <n v="0"/>
    <m/>
    <m/>
    <m/>
    <n v="0"/>
    <n v="0"/>
    <n v="214"/>
    <m/>
    <m/>
    <m/>
    <m/>
    <m/>
    <m/>
    <m/>
    <m/>
  </r>
  <r>
    <x v="19"/>
    <x v="100"/>
    <x v="418"/>
    <m/>
    <m/>
    <m/>
    <n v="0"/>
    <m/>
    <m/>
    <m/>
    <n v="0"/>
    <n v="0"/>
    <m/>
    <m/>
    <m/>
    <m/>
    <m/>
    <m/>
    <m/>
    <m/>
    <m/>
  </r>
  <r>
    <x v="1"/>
    <x v="10"/>
    <x v="21"/>
    <n v="79177"/>
    <n v="12798"/>
    <n v="0"/>
    <n v="91975"/>
    <n v="68776"/>
    <n v="11217"/>
    <n v="1200"/>
    <n v="81193"/>
    <n v="-10782"/>
    <n v="10870"/>
    <n v="0"/>
    <n v="0"/>
    <n v="0"/>
    <n v="0"/>
    <n v="0"/>
    <n v="0"/>
    <n v="0"/>
    <n v="0"/>
  </r>
  <r>
    <x v="19"/>
    <x v="101"/>
    <x v="451"/>
    <n v="98039"/>
    <n v="44316"/>
    <n v="3499"/>
    <n v="145854"/>
    <n v="78665"/>
    <n v="14791"/>
    <m/>
    <n v="93456"/>
    <n v="-52398"/>
    <m/>
    <m/>
    <m/>
    <m/>
    <m/>
    <m/>
    <m/>
    <m/>
    <m/>
  </r>
  <r>
    <x v="19"/>
    <x v="101"/>
    <x v="413"/>
    <m/>
    <n v="10000"/>
    <m/>
    <n v="10000"/>
    <m/>
    <n v="10427"/>
    <m/>
    <n v="10427"/>
    <n v="427"/>
    <m/>
    <m/>
    <m/>
    <m/>
    <m/>
    <m/>
    <m/>
    <m/>
    <m/>
  </r>
  <r>
    <x v="19"/>
    <x v="101"/>
    <x v="414"/>
    <n v="58281"/>
    <m/>
    <m/>
    <n v="58281"/>
    <n v="64188"/>
    <m/>
    <m/>
    <n v="64188"/>
    <n v="5907"/>
    <m/>
    <m/>
    <m/>
    <m/>
    <m/>
    <m/>
    <m/>
    <m/>
    <m/>
  </r>
  <r>
    <x v="19"/>
    <x v="101"/>
    <x v="415"/>
    <m/>
    <m/>
    <m/>
    <n v="0"/>
    <m/>
    <m/>
    <m/>
    <n v="0"/>
    <n v="0"/>
    <n v="18608"/>
    <m/>
    <m/>
    <m/>
    <m/>
    <m/>
    <m/>
    <m/>
    <m/>
  </r>
  <r>
    <x v="19"/>
    <x v="101"/>
    <x v="416"/>
    <m/>
    <m/>
    <m/>
    <n v="0"/>
    <m/>
    <m/>
    <m/>
    <n v="0"/>
    <n v="0"/>
    <n v="357"/>
    <m/>
    <m/>
    <m/>
    <m/>
    <m/>
    <m/>
    <m/>
    <m/>
  </r>
  <r>
    <x v="19"/>
    <x v="101"/>
    <x v="418"/>
    <m/>
    <m/>
    <m/>
    <n v="0"/>
    <m/>
    <m/>
    <m/>
    <n v="0"/>
    <n v="0"/>
    <m/>
    <m/>
    <m/>
    <m/>
    <m/>
    <m/>
    <m/>
    <m/>
    <m/>
  </r>
  <r>
    <x v="19"/>
    <x v="101"/>
    <x v="420"/>
    <m/>
    <m/>
    <m/>
    <n v="0"/>
    <m/>
    <m/>
    <m/>
    <n v="0"/>
    <n v="0"/>
    <m/>
    <n v="120"/>
    <m/>
    <m/>
    <m/>
    <m/>
    <m/>
    <m/>
    <m/>
  </r>
  <r>
    <x v="19"/>
    <x v="101"/>
    <x v="452"/>
    <m/>
    <m/>
    <m/>
    <m/>
    <m/>
    <m/>
    <m/>
    <m/>
    <m/>
    <m/>
    <m/>
    <m/>
    <m/>
    <n v="8910"/>
    <m/>
    <m/>
    <m/>
    <m/>
  </r>
  <r>
    <x v="1"/>
    <x v="10"/>
    <x v="21"/>
    <n v="156320"/>
    <n v="54316"/>
    <n v="3499"/>
    <n v="214135"/>
    <n v="142853"/>
    <n v="25218"/>
    <n v="0"/>
    <n v="168071"/>
    <n v="-46064"/>
    <n v="18965"/>
    <n v="120"/>
    <n v="0"/>
    <n v="0"/>
    <n v="8910"/>
    <n v="0"/>
    <n v="0"/>
    <n v="0"/>
    <n v="0"/>
  </r>
  <r>
    <x v="19"/>
    <x v="102"/>
    <x v="453"/>
    <n v="78482"/>
    <n v="22693"/>
    <m/>
    <n v="101175"/>
    <n v="78696"/>
    <n v="15223"/>
    <m/>
    <n v="93919"/>
    <n v="-7256"/>
    <m/>
    <m/>
    <m/>
    <m/>
    <m/>
    <m/>
    <m/>
    <m/>
    <m/>
  </r>
  <r>
    <x v="19"/>
    <x v="102"/>
    <x v="413"/>
    <m/>
    <n v="5490"/>
    <m/>
    <n v="5490"/>
    <m/>
    <n v="4134"/>
    <m/>
    <n v="4134"/>
    <n v="-1356"/>
    <m/>
    <m/>
    <m/>
    <m/>
    <m/>
    <m/>
    <m/>
    <m/>
    <m/>
  </r>
  <r>
    <x v="19"/>
    <x v="102"/>
    <x v="414"/>
    <n v="50990"/>
    <m/>
    <m/>
    <n v="50990"/>
    <n v="42093"/>
    <m/>
    <m/>
    <n v="42093"/>
    <n v="-8897"/>
    <m/>
    <m/>
    <m/>
    <m/>
    <m/>
    <m/>
    <m/>
    <m/>
    <m/>
  </r>
  <r>
    <x v="19"/>
    <x v="102"/>
    <x v="415"/>
    <m/>
    <m/>
    <m/>
    <n v="0"/>
    <m/>
    <m/>
    <m/>
    <n v="0"/>
    <n v="0"/>
    <n v="9302"/>
    <m/>
    <m/>
    <m/>
    <m/>
    <m/>
    <m/>
    <m/>
    <m/>
  </r>
  <r>
    <x v="19"/>
    <x v="102"/>
    <x v="416"/>
    <m/>
    <m/>
    <m/>
    <n v="0"/>
    <m/>
    <m/>
    <m/>
    <n v="0"/>
    <n v="0"/>
    <n v="178"/>
    <m/>
    <m/>
    <m/>
    <m/>
    <m/>
    <m/>
    <m/>
    <m/>
  </r>
  <r>
    <x v="19"/>
    <x v="102"/>
    <x v="418"/>
    <m/>
    <m/>
    <m/>
    <n v="0"/>
    <m/>
    <m/>
    <m/>
    <n v="0"/>
    <n v="0"/>
    <m/>
    <m/>
    <m/>
    <m/>
    <m/>
    <m/>
    <m/>
    <m/>
    <m/>
  </r>
  <r>
    <x v="19"/>
    <x v="102"/>
    <x v="420"/>
    <m/>
    <m/>
    <m/>
    <n v="0"/>
    <m/>
    <m/>
    <m/>
    <n v="0"/>
    <n v="0"/>
    <m/>
    <n v="120"/>
    <m/>
    <m/>
    <m/>
    <m/>
    <m/>
    <m/>
    <m/>
  </r>
  <r>
    <x v="19"/>
    <x v="102"/>
    <x v="454"/>
    <m/>
    <m/>
    <m/>
    <m/>
    <m/>
    <m/>
    <m/>
    <m/>
    <m/>
    <m/>
    <n v="5395"/>
    <m/>
    <m/>
    <m/>
    <m/>
    <m/>
    <m/>
    <m/>
  </r>
  <r>
    <x v="1"/>
    <x v="10"/>
    <x v="21"/>
    <n v="129472"/>
    <n v="28183"/>
    <n v="0"/>
    <n v="157655"/>
    <n v="120789"/>
    <n v="19357"/>
    <n v="0"/>
    <n v="140146"/>
    <n v="-17509"/>
    <n v="9480"/>
    <n v="5515"/>
    <n v="0"/>
    <n v="0"/>
    <n v="0"/>
    <n v="0"/>
    <n v="0"/>
    <n v="0"/>
    <n v="0"/>
  </r>
  <r>
    <x v="19"/>
    <x v="103"/>
    <x v="455"/>
    <n v="74462"/>
    <n v="19949"/>
    <m/>
    <n v="94411"/>
    <n v="76501"/>
    <n v="21241"/>
    <m/>
    <n v="97742"/>
    <n v="3331"/>
    <m/>
    <m/>
    <m/>
    <m/>
    <m/>
    <m/>
    <m/>
    <m/>
    <m/>
  </r>
  <r>
    <x v="19"/>
    <x v="103"/>
    <x v="413"/>
    <m/>
    <n v="13114"/>
    <m/>
    <n v="13114"/>
    <m/>
    <n v="11813"/>
    <m/>
    <n v="11813"/>
    <n v="-1301"/>
    <m/>
    <m/>
    <m/>
    <m/>
    <m/>
    <m/>
    <m/>
    <m/>
    <m/>
  </r>
  <r>
    <x v="19"/>
    <x v="103"/>
    <x v="414"/>
    <n v="81581"/>
    <m/>
    <m/>
    <n v="81581"/>
    <n v="85088"/>
    <m/>
    <m/>
    <n v="85088"/>
    <n v="3507"/>
    <m/>
    <m/>
    <m/>
    <m/>
    <m/>
    <m/>
    <m/>
    <m/>
    <m/>
  </r>
  <r>
    <x v="19"/>
    <x v="103"/>
    <x v="415"/>
    <m/>
    <m/>
    <m/>
    <n v="0"/>
    <m/>
    <m/>
    <m/>
    <n v="0"/>
    <n v="0"/>
    <n v="22200"/>
    <m/>
    <m/>
    <m/>
    <m/>
    <m/>
    <m/>
    <m/>
    <m/>
  </r>
  <r>
    <x v="19"/>
    <x v="103"/>
    <x v="416"/>
    <m/>
    <m/>
    <m/>
    <n v="0"/>
    <m/>
    <m/>
    <m/>
    <n v="0"/>
    <n v="0"/>
    <n v="446"/>
    <m/>
    <m/>
    <m/>
    <m/>
    <m/>
    <m/>
    <m/>
    <m/>
  </r>
  <r>
    <x v="19"/>
    <x v="103"/>
    <x v="418"/>
    <m/>
    <m/>
    <m/>
    <n v="0"/>
    <m/>
    <m/>
    <m/>
    <n v="0"/>
    <n v="0"/>
    <m/>
    <m/>
    <m/>
    <m/>
    <m/>
    <m/>
    <m/>
    <m/>
    <m/>
  </r>
  <r>
    <x v="19"/>
    <x v="103"/>
    <x v="456"/>
    <m/>
    <m/>
    <m/>
    <n v="0"/>
    <m/>
    <n v="3378"/>
    <m/>
    <n v="3378"/>
    <n v="3378"/>
    <m/>
    <m/>
    <m/>
    <m/>
    <m/>
    <m/>
    <m/>
    <m/>
    <m/>
  </r>
  <r>
    <x v="19"/>
    <x v="103"/>
    <x v="420"/>
    <m/>
    <m/>
    <m/>
    <n v="0"/>
    <m/>
    <m/>
    <m/>
    <n v="0"/>
    <n v="0"/>
    <m/>
    <n v="120"/>
    <m/>
    <m/>
    <m/>
    <m/>
    <m/>
    <m/>
    <m/>
  </r>
  <r>
    <x v="19"/>
    <x v="103"/>
    <x v="457"/>
    <m/>
    <m/>
    <m/>
    <m/>
    <m/>
    <m/>
    <m/>
    <m/>
    <m/>
    <m/>
    <n v="4200"/>
    <m/>
    <m/>
    <m/>
    <m/>
    <m/>
    <m/>
    <m/>
  </r>
  <r>
    <x v="19"/>
    <x v="103"/>
    <x v="458"/>
    <m/>
    <m/>
    <m/>
    <n v="0"/>
    <m/>
    <m/>
    <m/>
    <n v="0"/>
    <n v="0"/>
    <m/>
    <m/>
    <m/>
    <m/>
    <m/>
    <m/>
    <m/>
    <m/>
    <m/>
  </r>
  <r>
    <x v="19"/>
    <x v="103"/>
    <x v="459"/>
    <m/>
    <m/>
    <m/>
    <n v="0"/>
    <m/>
    <m/>
    <m/>
    <n v="0"/>
    <n v="0"/>
    <m/>
    <n v="1000"/>
    <m/>
    <m/>
    <m/>
    <m/>
    <m/>
    <m/>
    <m/>
  </r>
  <r>
    <x v="19"/>
    <x v="103"/>
    <x v="460"/>
    <m/>
    <m/>
    <m/>
    <n v="0"/>
    <m/>
    <m/>
    <m/>
    <n v="0"/>
    <n v="0"/>
    <m/>
    <m/>
    <m/>
    <m/>
    <m/>
    <m/>
    <m/>
    <m/>
    <m/>
  </r>
  <r>
    <x v="19"/>
    <x v="103"/>
    <x v="461"/>
    <m/>
    <m/>
    <m/>
    <n v="0"/>
    <m/>
    <m/>
    <m/>
    <n v="0"/>
    <n v="0"/>
    <m/>
    <m/>
    <m/>
    <m/>
    <m/>
    <m/>
    <m/>
    <m/>
    <m/>
  </r>
  <r>
    <x v="1"/>
    <x v="10"/>
    <x v="21"/>
    <n v="156043"/>
    <n v="33063"/>
    <n v="0"/>
    <n v="189106"/>
    <n v="161589"/>
    <n v="36432"/>
    <n v="0"/>
    <n v="198021"/>
    <n v="8915"/>
    <n v="22646"/>
    <n v="5320"/>
    <n v="0"/>
    <n v="0"/>
    <n v="0"/>
    <n v="0"/>
    <n v="0"/>
    <n v="0"/>
    <n v="0"/>
  </r>
  <r>
    <x v="19"/>
    <x v="104"/>
    <x v="462"/>
    <n v="56696"/>
    <n v="8942"/>
    <m/>
    <n v="65638"/>
    <n v="54404"/>
    <n v="9713"/>
    <m/>
    <n v="64117"/>
    <n v="-1521"/>
    <m/>
    <m/>
    <m/>
    <m/>
    <m/>
    <m/>
    <m/>
    <m/>
    <m/>
  </r>
  <r>
    <x v="19"/>
    <x v="104"/>
    <x v="413"/>
    <m/>
    <n v="5340"/>
    <m/>
    <n v="5340"/>
    <m/>
    <n v="4321"/>
    <m/>
    <n v="4321"/>
    <n v="-1019"/>
    <m/>
    <m/>
    <m/>
    <m/>
    <m/>
    <m/>
    <m/>
    <m/>
    <m/>
  </r>
  <r>
    <x v="19"/>
    <x v="104"/>
    <x v="414"/>
    <n v="26758"/>
    <m/>
    <m/>
    <n v="26758"/>
    <n v="41148"/>
    <m/>
    <m/>
    <n v="41148"/>
    <n v="14390"/>
    <m/>
    <m/>
    <m/>
    <m/>
    <m/>
    <m/>
    <m/>
    <m/>
    <m/>
  </r>
  <r>
    <x v="19"/>
    <x v="104"/>
    <x v="415"/>
    <m/>
    <m/>
    <m/>
    <n v="0"/>
    <m/>
    <m/>
    <m/>
    <n v="0"/>
    <n v="0"/>
    <n v="6520"/>
    <m/>
    <m/>
    <m/>
    <m/>
    <m/>
    <m/>
    <m/>
    <m/>
  </r>
  <r>
    <x v="19"/>
    <x v="104"/>
    <x v="416"/>
    <m/>
    <m/>
    <m/>
    <n v="0"/>
    <m/>
    <m/>
    <m/>
    <n v="0"/>
    <n v="0"/>
    <n v="142"/>
    <m/>
    <m/>
    <m/>
    <m/>
    <m/>
    <m/>
    <m/>
    <m/>
  </r>
  <r>
    <x v="19"/>
    <x v="104"/>
    <x v="418"/>
    <m/>
    <m/>
    <m/>
    <n v="0"/>
    <m/>
    <m/>
    <m/>
    <n v="0"/>
    <n v="0"/>
    <m/>
    <m/>
    <m/>
    <m/>
    <m/>
    <m/>
    <m/>
    <m/>
    <m/>
  </r>
  <r>
    <x v="19"/>
    <x v="104"/>
    <x v="420"/>
    <m/>
    <m/>
    <m/>
    <n v="0"/>
    <m/>
    <m/>
    <m/>
    <n v="0"/>
    <n v="0"/>
    <m/>
    <n v="120"/>
    <m/>
    <m/>
    <m/>
    <m/>
    <m/>
    <m/>
    <m/>
  </r>
  <r>
    <x v="19"/>
    <x v="104"/>
    <x v="463"/>
    <m/>
    <m/>
    <m/>
    <n v="0"/>
    <m/>
    <m/>
    <m/>
    <n v="0"/>
    <n v="0"/>
    <m/>
    <m/>
    <m/>
    <m/>
    <m/>
    <m/>
    <m/>
    <m/>
    <m/>
  </r>
  <r>
    <x v="1"/>
    <x v="10"/>
    <x v="21"/>
    <n v="83454"/>
    <n v="14282"/>
    <n v="0"/>
    <n v="97736"/>
    <n v="95552"/>
    <n v="14034"/>
    <n v="0"/>
    <n v="109586"/>
    <n v="11850"/>
    <n v="6662"/>
    <n v="120"/>
    <n v="0"/>
    <n v="0"/>
    <n v="0"/>
    <n v="0"/>
    <n v="0"/>
    <n v="0"/>
    <n v="0"/>
  </r>
  <r>
    <x v="19"/>
    <x v="105"/>
    <x v="464"/>
    <n v="71885"/>
    <n v="15160"/>
    <m/>
    <n v="87045"/>
    <n v="71602"/>
    <n v="21673"/>
    <m/>
    <n v="93275"/>
    <n v="6230"/>
    <m/>
    <m/>
    <m/>
    <m/>
    <m/>
    <m/>
    <m/>
    <m/>
    <m/>
  </r>
  <r>
    <x v="19"/>
    <x v="105"/>
    <x v="413"/>
    <m/>
    <n v="13226"/>
    <m/>
    <n v="13226"/>
    <m/>
    <n v="14123"/>
    <m/>
    <n v="14123"/>
    <n v="897"/>
    <m/>
    <m/>
    <m/>
    <m/>
    <m/>
    <m/>
    <m/>
    <m/>
    <m/>
  </r>
  <r>
    <x v="19"/>
    <x v="105"/>
    <x v="414"/>
    <n v="58115"/>
    <m/>
    <m/>
    <n v="58115"/>
    <n v="66963"/>
    <m/>
    <m/>
    <n v="66963"/>
    <n v="8848"/>
    <m/>
    <m/>
    <m/>
    <m/>
    <m/>
    <m/>
    <m/>
    <m/>
    <m/>
  </r>
  <r>
    <x v="19"/>
    <x v="105"/>
    <x v="415"/>
    <m/>
    <m/>
    <m/>
    <n v="0"/>
    <m/>
    <m/>
    <m/>
    <n v="0"/>
    <n v="0"/>
    <n v="17105"/>
    <m/>
    <m/>
    <m/>
    <m/>
    <m/>
    <m/>
    <m/>
    <m/>
  </r>
  <r>
    <x v="19"/>
    <x v="105"/>
    <x v="416"/>
    <m/>
    <m/>
    <m/>
    <n v="0"/>
    <m/>
    <m/>
    <m/>
    <n v="0"/>
    <n v="0"/>
    <n v="375"/>
    <m/>
    <m/>
    <m/>
    <m/>
    <m/>
    <m/>
    <m/>
    <m/>
  </r>
  <r>
    <x v="19"/>
    <x v="105"/>
    <x v="418"/>
    <m/>
    <m/>
    <m/>
    <n v="0"/>
    <m/>
    <m/>
    <m/>
    <n v="0"/>
    <n v="0"/>
    <m/>
    <m/>
    <m/>
    <m/>
    <m/>
    <m/>
    <m/>
    <m/>
    <m/>
  </r>
  <r>
    <x v="19"/>
    <x v="105"/>
    <x v="420"/>
    <m/>
    <m/>
    <m/>
    <n v="0"/>
    <m/>
    <m/>
    <m/>
    <n v="0"/>
    <n v="0"/>
    <m/>
    <n v="120"/>
    <m/>
    <m/>
    <m/>
    <m/>
    <m/>
    <m/>
    <m/>
  </r>
  <r>
    <x v="19"/>
    <x v="105"/>
    <x v="465"/>
    <m/>
    <m/>
    <m/>
    <n v="0"/>
    <m/>
    <m/>
    <m/>
    <n v="0"/>
    <n v="0"/>
    <m/>
    <n v="6000"/>
    <m/>
    <m/>
    <m/>
    <m/>
    <m/>
    <m/>
    <m/>
  </r>
  <r>
    <x v="19"/>
    <x v="105"/>
    <x v="466"/>
    <m/>
    <m/>
    <m/>
    <n v="0"/>
    <m/>
    <m/>
    <m/>
    <n v="0"/>
    <n v="0"/>
    <m/>
    <n v="3199"/>
    <m/>
    <m/>
    <m/>
    <m/>
    <m/>
    <m/>
    <m/>
  </r>
  <r>
    <x v="19"/>
    <x v="105"/>
    <x v="467"/>
    <m/>
    <m/>
    <m/>
    <n v="0"/>
    <m/>
    <m/>
    <m/>
    <n v="0"/>
    <n v="0"/>
    <m/>
    <n v="5000"/>
    <m/>
    <m/>
    <m/>
    <m/>
    <m/>
    <m/>
    <m/>
  </r>
  <r>
    <x v="1"/>
    <x v="10"/>
    <x v="21"/>
    <n v="130000"/>
    <n v="28386"/>
    <n v="0"/>
    <n v="158386"/>
    <n v="138565"/>
    <n v="35796"/>
    <n v="0"/>
    <n v="174361"/>
    <n v="15975"/>
    <n v="17480"/>
    <n v="14319"/>
    <n v="0"/>
    <n v="0"/>
    <n v="0"/>
    <n v="0"/>
    <n v="0"/>
    <n v="0"/>
    <n v="0"/>
  </r>
  <r>
    <x v="19"/>
    <x v="106"/>
    <x v="468"/>
    <n v="213356"/>
    <n v="16584"/>
    <n v="14700"/>
    <n v="244640"/>
    <n v="96702"/>
    <n v="12967"/>
    <n v="700"/>
    <n v="110369"/>
    <n v="-134271"/>
    <m/>
    <m/>
    <m/>
    <m/>
    <m/>
    <m/>
    <m/>
    <m/>
    <m/>
  </r>
  <r>
    <x v="19"/>
    <x v="106"/>
    <x v="469"/>
    <m/>
    <n v="19000"/>
    <m/>
    <n v="19000"/>
    <m/>
    <n v="15689"/>
    <m/>
    <n v="15689"/>
    <n v="-3311"/>
    <m/>
    <m/>
    <m/>
    <m/>
    <m/>
    <m/>
    <m/>
    <m/>
    <m/>
  </r>
  <r>
    <x v="19"/>
    <x v="106"/>
    <x v="413"/>
    <m/>
    <n v="10000"/>
    <m/>
    <n v="10000"/>
    <m/>
    <n v="9161"/>
    <m/>
    <n v="9161"/>
    <n v="-839"/>
    <m/>
    <m/>
    <m/>
    <m/>
    <m/>
    <m/>
    <m/>
    <m/>
    <m/>
  </r>
  <r>
    <x v="19"/>
    <x v="106"/>
    <x v="470"/>
    <m/>
    <n v="5000"/>
    <m/>
    <n v="5000"/>
    <m/>
    <m/>
    <m/>
    <n v="0"/>
    <n v="-5000"/>
    <m/>
    <m/>
    <m/>
    <m/>
    <m/>
    <m/>
    <m/>
    <m/>
    <m/>
  </r>
  <r>
    <x v="19"/>
    <x v="106"/>
    <x v="414"/>
    <m/>
    <m/>
    <m/>
    <n v="0"/>
    <n v="95024"/>
    <m/>
    <m/>
    <n v="95024"/>
    <n v="95024"/>
    <m/>
    <m/>
    <m/>
    <m/>
    <m/>
    <m/>
    <m/>
    <m/>
    <m/>
  </r>
  <r>
    <x v="19"/>
    <x v="106"/>
    <x v="415"/>
    <m/>
    <m/>
    <m/>
    <n v="0"/>
    <m/>
    <m/>
    <m/>
    <n v="0"/>
    <n v="0"/>
    <n v="25984"/>
    <m/>
    <m/>
    <m/>
    <m/>
    <m/>
    <m/>
    <m/>
    <m/>
  </r>
  <r>
    <x v="19"/>
    <x v="106"/>
    <x v="416"/>
    <m/>
    <m/>
    <m/>
    <n v="0"/>
    <m/>
    <m/>
    <m/>
    <n v="0"/>
    <n v="0"/>
    <n v="535"/>
    <m/>
    <m/>
    <m/>
    <m/>
    <m/>
    <m/>
    <m/>
    <m/>
  </r>
  <r>
    <x v="19"/>
    <x v="106"/>
    <x v="418"/>
    <m/>
    <m/>
    <m/>
    <n v="0"/>
    <m/>
    <m/>
    <m/>
    <n v="0"/>
    <n v="0"/>
    <m/>
    <m/>
    <m/>
    <m/>
    <m/>
    <m/>
    <m/>
    <m/>
    <m/>
  </r>
  <r>
    <x v="19"/>
    <x v="106"/>
    <x v="471"/>
    <m/>
    <m/>
    <m/>
    <n v="0"/>
    <m/>
    <m/>
    <m/>
    <n v="0"/>
    <n v="0"/>
    <m/>
    <n v="400"/>
    <m/>
    <m/>
    <m/>
    <m/>
    <m/>
    <m/>
    <m/>
  </r>
  <r>
    <x v="1"/>
    <x v="10"/>
    <x v="21"/>
    <n v="213356"/>
    <n v="50584"/>
    <n v="14700"/>
    <n v="278640"/>
    <n v="191726"/>
    <n v="37817"/>
    <n v="700"/>
    <n v="230243"/>
    <n v="-48397"/>
    <n v="26519"/>
    <n v="400"/>
    <n v="0"/>
    <n v="0"/>
    <n v="0"/>
    <n v="0"/>
    <n v="0"/>
    <n v="0"/>
    <n v="0"/>
  </r>
  <r>
    <x v="1"/>
    <x v="10"/>
    <x v="472"/>
    <n v="2159504"/>
    <n v="539068"/>
    <n v="53760"/>
    <n v="2752332"/>
    <n v="2078479"/>
    <n v="451882"/>
    <n v="12950"/>
    <n v="2543311"/>
    <n v="-209021"/>
    <n v="348527"/>
    <n v="34612"/>
    <m/>
    <m/>
    <m/>
    <m/>
    <m/>
    <m/>
    <m/>
  </r>
  <r>
    <x v="1"/>
    <x v="10"/>
    <x v="24"/>
    <m/>
    <m/>
    <m/>
    <m/>
    <m/>
    <m/>
    <m/>
    <m/>
    <m/>
    <m/>
    <m/>
    <m/>
    <m/>
    <m/>
    <m/>
    <m/>
    <m/>
    <m/>
  </r>
  <r>
    <x v="20"/>
    <x v="107"/>
    <x v="473"/>
    <n v="231303"/>
    <n v="91089"/>
    <n v="5144"/>
    <n v="327536"/>
    <n v="265303"/>
    <n v="98359"/>
    <n v="13400"/>
    <n v="377062"/>
    <n v="49526"/>
    <m/>
    <m/>
    <m/>
    <m/>
    <m/>
    <m/>
    <m/>
    <m/>
    <m/>
  </r>
  <r>
    <x v="20"/>
    <x v="107"/>
    <x v="413"/>
    <m/>
    <n v="53143"/>
    <m/>
    <n v="53143"/>
    <m/>
    <n v="61462"/>
    <m/>
    <n v="61462"/>
    <n v="8319"/>
    <n v="16270"/>
    <m/>
    <m/>
    <m/>
    <m/>
    <m/>
    <m/>
    <m/>
    <m/>
  </r>
  <r>
    <x v="20"/>
    <x v="107"/>
    <x v="414"/>
    <n v="21306"/>
    <m/>
    <m/>
    <n v="21306"/>
    <n v="24620"/>
    <m/>
    <m/>
    <n v="24620"/>
    <n v="3314"/>
    <m/>
    <m/>
    <m/>
    <m/>
    <m/>
    <m/>
    <m/>
    <m/>
    <m/>
  </r>
  <r>
    <x v="20"/>
    <x v="107"/>
    <x v="415"/>
    <m/>
    <m/>
    <m/>
    <n v="0"/>
    <m/>
    <m/>
    <m/>
    <n v="0"/>
    <n v="0"/>
    <n v="530262"/>
    <m/>
    <m/>
    <m/>
    <m/>
    <m/>
    <m/>
    <m/>
    <m/>
  </r>
  <r>
    <x v="20"/>
    <x v="107"/>
    <x v="416"/>
    <m/>
    <m/>
    <m/>
    <n v="0"/>
    <m/>
    <m/>
    <m/>
    <n v="0"/>
    <n v="0"/>
    <n v="8983"/>
    <m/>
    <m/>
    <m/>
    <m/>
    <m/>
    <m/>
    <m/>
    <m/>
  </r>
  <r>
    <x v="20"/>
    <x v="107"/>
    <x v="474"/>
    <m/>
    <m/>
    <m/>
    <n v="0"/>
    <m/>
    <m/>
    <m/>
    <n v="0"/>
    <n v="0"/>
    <m/>
    <m/>
    <m/>
    <m/>
    <m/>
    <m/>
    <m/>
    <m/>
    <m/>
  </r>
  <r>
    <x v="20"/>
    <x v="107"/>
    <x v="475"/>
    <m/>
    <n v="6319"/>
    <m/>
    <n v="6319"/>
    <m/>
    <n v="5500"/>
    <m/>
    <n v="5500"/>
    <n v="-819"/>
    <m/>
    <m/>
    <m/>
    <m/>
    <m/>
    <m/>
    <m/>
    <m/>
    <m/>
  </r>
  <r>
    <x v="20"/>
    <x v="107"/>
    <x v="24"/>
    <m/>
    <m/>
    <m/>
    <n v="0"/>
    <m/>
    <m/>
    <m/>
    <n v="0"/>
    <n v="0"/>
    <m/>
    <m/>
    <m/>
    <m/>
    <m/>
    <m/>
    <m/>
    <m/>
    <m/>
  </r>
  <r>
    <x v="20"/>
    <x v="107"/>
    <x v="476"/>
    <m/>
    <m/>
    <m/>
    <n v="0"/>
    <m/>
    <m/>
    <m/>
    <n v="0"/>
    <n v="0"/>
    <m/>
    <m/>
    <m/>
    <m/>
    <m/>
    <n v="21091"/>
    <m/>
    <n v="21091"/>
    <m/>
  </r>
  <r>
    <x v="20"/>
    <x v="107"/>
    <x v="477"/>
    <m/>
    <m/>
    <m/>
    <n v="0"/>
    <m/>
    <m/>
    <m/>
    <n v="0"/>
    <n v="0"/>
    <m/>
    <m/>
    <m/>
    <m/>
    <m/>
    <n v="14422"/>
    <m/>
    <n v="14422"/>
    <m/>
  </r>
  <r>
    <x v="20"/>
    <x v="107"/>
    <x v="478"/>
    <m/>
    <m/>
    <m/>
    <m/>
    <m/>
    <m/>
    <m/>
    <m/>
    <m/>
    <m/>
    <m/>
    <m/>
    <m/>
    <m/>
    <n v="4740"/>
    <n v="948"/>
    <n v="3792"/>
    <m/>
  </r>
  <r>
    <x v="20"/>
    <x v="107"/>
    <x v="479"/>
    <m/>
    <m/>
    <m/>
    <m/>
    <m/>
    <m/>
    <m/>
    <m/>
    <m/>
    <m/>
    <m/>
    <m/>
    <m/>
    <m/>
    <n v="26254"/>
    <n v="26254"/>
    <m/>
    <m/>
  </r>
  <r>
    <x v="20"/>
    <x v="107"/>
    <x v="24"/>
    <m/>
    <m/>
    <m/>
    <n v="0"/>
    <m/>
    <m/>
    <m/>
    <n v="0"/>
    <n v="0"/>
    <m/>
    <m/>
    <m/>
    <m/>
    <m/>
    <m/>
    <m/>
    <m/>
    <m/>
  </r>
  <r>
    <x v="20"/>
    <x v="107"/>
    <x v="480"/>
    <m/>
    <m/>
    <m/>
    <n v="0"/>
    <m/>
    <m/>
    <m/>
    <n v="0"/>
    <n v="0"/>
    <m/>
    <m/>
    <m/>
    <n v="7800"/>
    <m/>
    <m/>
    <m/>
    <m/>
    <m/>
  </r>
  <r>
    <x v="20"/>
    <x v="107"/>
    <x v="481"/>
    <m/>
    <m/>
    <m/>
    <n v="0"/>
    <m/>
    <m/>
    <m/>
    <n v="0"/>
    <n v="0"/>
    <m/>
    <m/>
    <m/>
    <n v="1830"/>
    <m/>
    <m/>
    <m/>
    <m/>
    <m/>
  </r>
  <r>
    <x v="20"/>
    <x v="107"/>
    <x v="482"/>
    <m/>
    <m/>
    <n v="33200"/>
    <n v="33200"/>
    <m/>
    <m/>
    <m/>
    <n v="0"/>
    <n v="-33200"/>
    <m/>
    <m/>
    <m/>
    <m/>
    <m/>
    <m/>
    <m/>
    <m/>
    <m/>
  </r>
  <r>
    <x v="20"/>
    <x v="107"/>
    <x v="483"/>
    <m/>
    <m/>
    <m/>
    <n v="0"/>
    <m/>
    <m/>
    <m/>
    <n v="0"/>
    <n v="0"/>
    <m/>
    <m/>
    <m/>
    <n v="16500"/>
    <m/>
    <m/>
    <m/>
    <m/>
    <m/>
  </r>
  <r>
    <x v="20"/>
    <x v="107"/>
    <x v="484"/>
    <m/>
    <m/>
    <n v="20400"/>
    <n v="20400"/>
    <m/>
    <m/>
    <m/>
    <n v="0"/>
    <n v="-20400"/>
    <m/>
    <m/>
    <m/>
    <n v="25800"/>
    <m/>
    <m/>
    <m/>
    <m/>
    <m/>
  </r>
  <r>
    <x v="20"/>
    <x v="108"/>
    <x v="485"/>
    <n v="71457"/>
    <n v="118924"/>
    <m/>
    <n v="190381"/>
    <n v="84292"/>
    <n v="113413"/>
    <m/>
    <n v="197705"/>
    <n v="7324"/>
    <m/>
    <m/>
    <m/>
    <m/>
    <m/>
    <m/>
    <m/>
    <m/>
    <m/>
  </r>
  <r>
    <x v="1"/>
    <x v="10"/>
    <x v="21"/>
    <n v="324066"/>
    <n v="269475"/>
    <n v="58744"/>
    <n v="652285"/>
    <n v="374215"/>
    <n v="278734"/>
    <n v="13400"/>
    <n v="666349"/>
    <n v="14064"/>
    <n v="555515"/>
    <n v="0"/>
    <n v="0"/>
    <n v="51930"/>
    <n v="0"/>
    <n v="66507"/>
    <n v="27202"/>
    <n v="39305"/>
    <n v="0"/>
  </r>
  <r>
    <x v="20"/>
    <x v="109"/>
    <x v="486"/>
    <n v="257968"/>
    <n v="127718"/>
    <n v="5647"/>
    <n v="391333"/>
    <n v="286556"/>
    <n v="130634"/>
    <m/>
    <n v="417190"/>
    <n v="25857"/>
    <m/>
    <m/>
    <m/>
    <m/>
    <m/>
    <m/>
    <m/>
    <m/>
    <m/>
  </r>
  <r>
    <x v="20"/>
    <x v="109"/>
    <x v="413"/>
    <m/>
    <n v="56622"/>
    <m/>
    <n v="56622"/>
    <m/>
    <n v="51119"/>
    <m/>
    <n v="51119"/>
    <n v="-5503"/>
    <n v="14005"/>
    <m/>
    <m/>
    <m/>
    <m/>
    <m/>
    <m/>
    <m/>
    <m/>
  </r>
  <r>
    <x v="20"/>
    <x v="109"/>
    <x v="414"/>
    <n v="46467"/>
    <m/>
    <m/>
    <n v="46467"/>
    <n v="56219"/>
    <m/>
    <m/>
    <n v="56219"/>
    <n v="9752"/>
    <m/>
    <m/>
    <m/>
    <m/>
    <m/>
    <m/>
    <m/>
    <m/>
    <m/>
  </r>
  <r>
    <x v="20"/>
    <x v="109"/>
    <x v="415"/>
    <m/>
    <m/>
    <m/>
    <n v="0"/>
    <m/>
    <m/>
    <m/>
    <n v="0"/>
    <n v="0"/>
    <n v="526305"/>
    <m/>
    <m/>
    <m/>
    <m/>
    <m/>
    <m/>
    <m/>
    <m/>
  </r>
  <r>
    <x v="20"/>
    <x v="109"/>
    <x v="416"/>
    <m/>
    <m/>
    <m/>
    <n v="0"/>
    <m/>
    <m/>
    <m/>
    <n v="0"/>
    <n v="0"/>
    <n v="9162"/>
    <m/>
    <m/>
    <m/>
    <m/>
    <m/>
    <m/>
    <m/>
    <m/>
  </r>
  <r>
    <x v="20"/>
    <x v="109"/>
    <x v="474"/>
    <m/>
    <m/>
    <m/>
    <n v="0"/>
    <m/>
    <m/>
    <m/>
    <n v="0"/>
    <n v="0"/>
    <m/>
    <m/>
    <m/>
    <m/>
    <m/>
    <m/>
    <m/>
    <m/>
    <m/>
  </r>
  <r>
    <x v="20"/>
    <x v="109"/>
    <x v="475"/>
    <m/>
    <n v="2750"/>
    <m/>
    <n v="2750"/>
    <m/>
    <n v="4800"/>
    <m/>
    <n v="4800"/>
    <n v="2050"/>
    <m/>
    <m/>
    <m/>
    <m/>
    <m/>
    <m/>
    <m/>
    <m/>
    <m/>
  </r>
  <r>
    <x v="20"/>
    <x v="109"/>
    <x v="487"/>
    <m/>
    <m/>
    <n v="15730"/>
    <n v="15730"/>
    <m/>
    <m/>
    <m/>
    <n v="0"/>
    <n v="-15730"/>
    <m/>
    <n v="15730"/>
    <m/>
    <m/>
    <m/>
    <m/>
    <m/>
    <m/>
    <m/>
  </r>
  <r>
    <x v="20"/>
    <x v="109"/>
    <x v="488"/>
    <m/>
    <m/>
    <m/>
    <n v="0"/>
    <m/>
    <m/>
    <m/>
    <n v="0"/>
    <n v="0"/>
    <m/>
    <n v="7865"/>
    <m/>
    <m/>
    <m/>
    <m/>
    <m/>
    <m/>
    <m/>
  </r>
  <r>
    <x v="20"/>
    <x v="109"/>
    <x v="489"/>
    <m/>
    <m/>
    <m/>
    <m/>
    <m/>
    <m/>
    <m/>
    <m/>
    <m/>
    <m/>
    <m/>
    <m/>
    <m/>
    <n v="6000"/>
    <m/>
    <m/>
    <m/>
    <m/>
  </r>
  <r>
    <x v="20"/>
    <x v="109"/>
    <x v="490"/>
    <m/>
    <m/>
    <m/>
    <m/>
    <m/>
    <m/>
    <m/>
    <m/>
    <m/>
    <m/>
    <n v="6960"/>
    <m/>
    <m/>
    <m/>
    <m/>
    <m/>
    <m/>
    <m/>
  </r>
  <r>
    <x v="20"/>
    <x v="109"/>
    <x v="491"/>
    <m/>
    <m/>
    <m/>
    <m/>
    <m/>
    <m/>
    <m/>
    <m/>
    <m/>
    <m/>
    <n v="7740"/>
    <m/>
    <m/>
    <m/>
    <m/>
    <m/>
    <m/>
    <m/>
  </r>
  <r>
    <x v="20"/>
    <x v="109"/>
    <x v="492"/>
    <m/>
    <m/>
    <m/>
    <m/>
    <m/>
    <m/>
    <m/>
    <m/>
    <m/>
    <m/>
    <m/>
    <m/>
    <m/>
    <m/>
    <m/>
    <m/>
    <m/>
    <m/>
  </r>
  <r>
    <x v="20"/>
    <x v="110"/>
    <x v="493"/>
    <n v="28521"/>
    <n v="14110"/>
    <m/>
    <n v="42631"/>
    <n v="28445"/>
    <n v="13770"/>
    <m/>
    <n v="42215"/>
    <n v="-416"/>
    <m/>
    <m/>
    <m/>
    <m/>
    <m/>
    <m/>
    <m/>
    <m/>
    <m/>
  </r>
  <r>
    <x v="1"/>
    <x v="10"/>
    <x v="21"/>
    <n v="332956"/>
    <n v="201200"/>
    <n v="21377"/>
    <n v="555533"/>
    <n v="371220"/>
    <n v="200323"/>
    <n v="0"/>
    <n v="571543"/>
    <n v="16010"/>
    <n v="549472"/>
    <n v="38295"/>
    <n v="0"/>
    <n v="0"/>
    <n v="6000"/>
    <n v="0"/>
    <n v="0"/>
    <n v="0"/>
    <n v="0"/>
  </r>
  <r>
    <x v="20"/>
    <x v="111"/>
    <x v="494"/>
    <n v="62388"/>
    <n v="14750"/>
    <n v="1995"/>
    <n v="79133"/>
    <n v="70336"/>
    <n v="15761"/>
    <n v="4025"/>
    <n v="90122"/>
    <n v="10989"/>
    <m/>
    <m/>
    <m/>
    <m/>
    <m/>
    <m/>
    <m/>
    <m/>
    <m/>
  </r>
  <r>
    <x v="20"/>
    <x v="111"/>
    <x v="413"/>
    <m/>
    <n v="6146"/>
    <m/>
    <n v="6146"/>
    <m/>
    <n v="2644"/>
    <m/>
    <n v="2644"/>
    <n v="-3502"/>
    <n v="3834"/>
    <m/>
    <m/>
    <m/>
    <m/>
    <m/>
    <m/>
    <m/>
    <m/>
  </r>
  <r>
    <x v="20"/>
    <x v="111"/>
    <x v="414"/>
    <n v="4455"/>
    <m/>
    <m/>
    <n v="4455"/>
    <n v="6921"/>
    <m/>
    <m/>
    <n v="6921"/>
    <n v="2466"/>
    <m/>
    <m/>
    <m/>
    <m/>
    <m/>
    <m/>
    <m/>
    <m/>
    <m/>
  </r>
  <r>
    <x v="20"/>
    <x v="111"/>
    <x v="415"/>
    <m/>
    <m/>
    <m/>
    <n v="0"/>
    <m/>
    <m/>
    <m/>
    <n v="0"/>
    <n v="0"/>
    <n v="86048"/>
    <m/>
    <m/>
    <m/>
    <m/>
    <m/>
    <m/>
    <m/>
    <m/>
  </r>
  <r>
    <x v="20"/>
    <x v="111"/>
    <x v="416"/>
    <m/>
    <m/>
    <m/>
    <n v="0"/>
    <m/>
    <m/>
    <m/>
    <n v="0"/>
    <n v="0"/>
    <n v="1232"/>
    <m/>
    <m/>
    <m/>
    <m/>
    <m/>
    <m/>
    <m/>
    <m/>
  </r>
  <r>
    <x v="20"/>
    <x v="111"/>
    <x v="474"/>
    <m/>
    <m/>
    <m/>
    <n v="0"/>
    <m/>
    <m/>
    <m/>
    <n v="0"/>
    <n v="0"/>
    <m/>
    <m/>
    <m/>
    <m/>
    <m/>
    <m/>
    <m/>
    <m/>
    <m/>
  </r>
  <r>
    <x v="20"/>
    <x v="111"/>
    <x v="420"/>
    <m/>
    <m/>
    <m/>
    <n v="0"/>
    <m/>
    <m/>
    <m/>
    <n v="0"/>
    <n v="0"/>
    <m/>
    <n v="120"/>
    <m/>
    <m/>
    <m/>
    <m/>
    <m/>
    <m/>
    <m/>
  </r>
  <r>
    <x v="20"/>
    <x v="111"/>
    <x v="495"/>
    <m/>
    <n v="3000"/>
    <m/>
    <n v="3000"/>
    <m/>
    <m/>
    <m/>
    <n v="0"/>
    <n v="-3000"/>
    <m/>
    <m/>
    <m/>
    <m/>
    <m/>
    <m/>
    <m/>
    <m/>
    <m/>
  </r>
  <r>
    <x v="20"/>
    <x v="111"/>
    <x v="496"/>
    <m/>
    <m/>
    <m/>
    <n v="0"/>
    <m/>
    <m/>
    <m/>
    <n v="0"/>
    <n v="0"/>
    <m/>
    <n v="3300"/>
    <m/>
    <m/>
    <m/>
    <m/>
    <m/>
    <m/>
    <m/>
  </r>
  <r>
    <x v="1"/>
    <x v="10"/>
    <x v="21"/>
    <n v="66843"/>
    <n v="23896"/>
    <n v="1995"/>
    <n v="92734"/>
    <n v="77257"/>
    <n v="18405"/>
    <n v="4025"/>
    <n v="99687"/>
    <n v="6953"/>
    <n v="91114"/>
    <n v="3420"/>
    <n v="0"/>
    <n v="0"/>
    <n v="0"/>
    <n v="0"/>
    <n v="0"/>
    <n v="0"/>
    <n v="0"/>
  </r>
  <r>
    <x v="20"/>
    <x v="112"/>
    <x v="497"/>
    <n v="132384"/>
    <n v="74113"/>
    <n v="800"/>
    <n v="207297"/>
    <n v="101232"/>
    <n v="47722"/>
    <n v="500"/>
    <n v="149454"/>
    <n v="-57843"/>
    <m/>
    <m/>
    <m/>
    <m/>
    <m/>
    <m/>
    <m/>
    <m/>
    <m/>
  </r>
  <r>
    <x v="20"/>
    <x v="112"/>
    <x v="413"/>
    <m/>
    <n v="11430"/>
    <m/>
    <n v="11430"/>
    <m/>
    <n v="6894"/>
    <m/>
    <n v="6894"/>
    <n v="-4536"/>
    <n v="3352"/>
    <m/>
    <m/>
    <m/>
    <m/>
    <m/>
    <m/>
    <m/>
    <m/>
  </r>
  <r>
    <x v="20"/>
    <x v="112"/>
    <x v="414"/>
    <n v="5470"/>
    <m/>
    <m/>
    <n v="5470"/>
    <n v="18074"/>
    <m/>
    <m/>
    <n v="18074"/>
    <n v="12604"/>
    <m/>
    <m/>
    <m/>
    <m/>
    <m/>
    <m/>
    <m/>
    <m/>
    <m/>
  </r>
  <r>
    <x v="20"/>
    <x v="112"/>
    <x v="415"/>
    <m/>
    <m/>
    <m/>
    <n v="0"/>
    <m/>
    <m/>
    <m/>
    <n v="0"/>
    <n v="0"/>
    <n v="152900"/>
    <m/>
    <m/>
    <m/>
    <m/>
    <m/>
    <m/>
    <m/>
    <m/>
  </r>
  <r>
    <x v="20"/>
    <x v="112"/>
    <x v="416"/>
    <m/>
    <m/>
    <m/>
    <n v="0"/>
    <m/>
    <m/>
    <m/>
    <n v="0"/>
    <n v="0"/>
    <n v="1714"/>
    <m/>
    <m/>
    <m/>
    <m/>
    <m/>
    <m/>
    <m/>
    <m/>
  </r>
  <r>
    <x v="20"/>
    <x v="112"/>
    <x v="474"/>
    <m/>
    <m/>
    <m/>
    <n v="0"/>
    <m/>
    <m/>
    <m/>
    <n v="0"/>
    <n v="0"/>
    <m/>
    <m/>
    <m/>
    <m/>
    <m/>
    <m/>
    <m/>
    <m/>
    <m/>
  </r>
  <r>
    <x v="20"/>
    <x v="112"/>
    <x v="475"/>
    <m/>
    <n v="28000"/>
    <m/>
    <n v="28000"/>
    <m/>
    <n v="2300"/>
    <m/>
    <n v="2300"/>
    <n v="-25700"/>
    <m/>
    <m/>
    <m/>
    <m/>
    <m/>
    <m/>
    <m/>
    <m/>
    <m/>
  </r>
  <r>
    <x v="20"/>
    <x v="112"/>
    <x v="498"/>
    <m/>
    <m/>
    <m/>
    <n v="0"/>
    <m/>
    <m/>
    <m/>
    <n v="0"/>
    <n v="0"/>
    <m/>
    <n v="1400"/>
    <m/>
    <m/>
    <m/>
    <m/>
    <m/>
    <m/>
    <m/>
  </r>
  <r>
    <x v="20"/>
    <x v="112"/>
    <x v="499"/>
    <m/>
    <m/>
    <m/>
    <n v="0"/>
    <m/>
    <m/>
    <m/>
    <n v="0"/>
    <n v="0"/>
    <m/>
    <m/>
    <m/>
    <m/>
    <m/>
    <n v="1385"/>
    <m/>
    <n v="1385"/>
    <m/>
  </r>
  <r>
    <x v="20"/>
    <x v="112"/>
    <x v="500"/>
    <m/>
    <m/>
    <m/>
    <m/>
    <m/>
    <m/>
    <m/>
    <m/>
    <m/>
    <m/>
    <m/>
    <m/>
    <m/>
    <m/>
    <n v="48728"/>
    <m/>
    <n v="48728"/>
    <m/>
  </r>
  <r>
    <x v="1"/>
    <x v="10"/>
    <x v="21"/>
    <n v="137854"/>
    <n v="113543"/>
    <n v="800"/>
    <n v="252197"/>
    <n v="119306"/>
    <n v="56916"/>
    <n v="500"/>
    <n v="176722"/>
    <n v="-75475"/>
    <n v="157966"/>
    <n v="1400"/>
    <n v="0"/>
    <n v="0"/>
    <n v="0"/>
    <n v="50113"/>
    <n v="0"/>
    <n v="50113"/>
    <n v="0"/>
  </r>
  <r>
    <x v="20"/>
    <x v="113"/>
    <x v="501"/>
    <n v="74995"/>
    <n v="33474"/>
    <n v="6150"/>
    <n v="114619"/>
    <n v="61464"/>
    <n v="27926"/>
    <n v="500"/>
    <n v="89890"/>
    <n v="-24729"/>
    <m/>
    <m/>
    <m/>
    <m/>
    <m/>
    <m/>
    <m/>
    <m/>
    <m/>
  </r>
  <r>
    <x v="20"/>
    <x v="113"/>
    <x v="413"/>
    <m/>
    <n v="3674"/>
    <m/>
    <n v="3674"/>
    <m/>
    <n v="3025"/>
    <m/>
    <n v="3025"/>
    <n v="-649"/>
    <n v="2159"/>
    <m/>
    <m/>
    <m/>
    <m/>
    <m/>
    <m/>
    <m/>
    <m/>
  </r>
  <r>
    <x v="20"/>
    <x v="113"/>
    <x v="414"/>
    <n v="1541"/>
    <m/>
    <m/>
    <n v="1541"/>
    <n v="4924"/>
    <m/>
    <m/>
    <n v="4924"/>
    <n v="3383"/>
    <m/>
    <m/>
    <m/>
    <m/>
    <m/>
    <m/>
    <m/>
    <m/>
    <m/>
  </r>
  <r>
    <x v="20"/>
    <x v="113"/>
    <x v="415"/>
    <m/>
    <m/>
    <m/>
    <n v="0"/>
    <m/>
    <m/>
    <m/>
    <n v="0"/>
    <n v="0"/>
    <n v="46915"/>
    <m/>
    <m/>
    <m/>
    <m/>
    <m/>
    <m/>
    <m/>
    <m/>
  </r>
  <r>
    <x v="20"/>
    <x v="113"/>
    <x v="416"/>
    <m/>
    <m/>
    <m/>
    <n v="0"/>
    <m/>
    <m/>
    <m/>
    <n v="0"/>
    <n v="0"/>
    <n v="678"/>
    <m/>
    <m/>
    <m/>
    <m/>
    <m/>
    <m/>
    <m/>
    <m/>
  </r>
  <r>
    <x v="20"/>
    <x v="113"/>
    <x v="420"/>
    <m/>
    <m/>
    <m/>
    <n v="0"/>
    <m/>
    <m/>
    <m/>
    <n v="0"/>
    <n v="0"/>
    <m/>
    <n v="120"/>
    <m/>
    <m/>
    <m/>
    <m/>
    <m/>
    <m/>
    <m/>
  </r>
  <r>
    <x v="20"/>
    <x v="113"/>
    <x v="474"/>
    <m/>
    <m/>
    <m/>
    <n v="0"/>
    <m/>
    <m/>
    <m/>
    <n v="0"/>
    <n v="0"/>
    <m/>
    <m/>
    <m/>
    <m/>
    <m/>
    <m/>
    <m/>
    <m/>
    <m/>
  </r>
  <r>
    <x v="20"/>
    <x v="113"/>
    <x v="502"/>
    <m/>
    <m/>
    <m/>
    <n v="0"/>
    <m/>
    <m/>
    <m/>
    <n v="0"/>
    <n v="0"/>
    <m/>
    <m/>
    <m/>
    <m/>
    <n v="5650"/>
    <m/>
    <m/>
    <m/>
    <m/>
  </r>
  <r>
    <x v="20"/>
    <x v="113"/>
    <x v="475"/>
    <m/>
    <n v="10000"/>
    <m/>
    <n v="10000"/>
    <m/>
    <m/>
    <m/>
    <n v="0"/>
    <n v="-10000"/>
    <m/>
    <m/>
    <m/>
    <m/>
    <m/>
    <m/>
    <m/>
    <m/>
    <m/>
  </r>
  <r>
    <x v="1"/>
    <x v="10"/>
    <x v="21"/>
    <n v="76536"/>
    <n v="47148"/>
    <n v="6150"/>
    <n v="129834"/>
    <n v="66388"/>
    <n v="30951"/>
    <n v="500"/>
    <n v="97839"/>
    <n v="-31995"/>
    <n v="49752"/>
    <n v="120"/>
    <n v="0"/>
    <n v="0"/>
    <n v="5650"/>
    <n v="0"/>
    <n v="0"/>
    <n v="0"/>
    <n v="0"/>
  </r>
  <r>
    <x v="20"/>
    <x v="114"/>
    <x v="503"/>
    <n v="227251"/>
    <n v="119093"/>
    <n v="5987"/>
    <n v="352331"/>
    <n v="229032"/>
    <n v="116013"/>
    <n v="4573"/>
    <n v="349618"/>
    <n v="-2713"/>
    <m/>
    <m/>
    <m/>
    <m/>
    <m/>
    <m/>
    <m/>
    <m/>
    <m/>
  </r>
  <r>
    <x v="20"/>
    <x v="114"/>
    <x v="413"/>
    <m/>
    <n v="78001"/>
    <m/>
    <n v="78001"/>
    <m/>
    <n v="55169"/>
    <m/>
    <n v="55169"/>
    <n v="-22832"/>
    <n v="12585"/>
    <m/>
    <m/>
    <m/>
    <m/>
    <m/>
    <m/>
    <m/>
    <m/>
  </r>
  <r>
    <x v="20"/>
    <x v="114"/>
    <x v="414"/>
    <n v="26011"/>
    <m/>
    <m/>
    <n v="26011"/>
    <n v="24620"/>
    <m/>
    <m/>
    <n v="24620"/>
    <n v="-1391"/>
    <m/>
    <m/>
    <m/>
    <m/>
    <m/>
    <m/>
    <m/>
    <m/>
    <m/>
  </r>
  <r>
    <x v="20"/>
    <x v="114"/>
    <x v="415"/>
    <m/>
    <m/>
    <m/>
    <n v="0"/>
    <m/>
    <m/>
    <m/>
    <n v="0"/>
    <n v="0"/>
    <n v="312763"/>
    <m/>
    <m/>
    <m/>
    <m/>
    <m/>
    <m/>
    <m/>
    <m/>
  </r>
  <r>
    <x v="20"/>
    <x v="114"/>
    <x v="416"/>
    <m/>
    <m/>
    <m/>
    <n v="0"/>
    <m/>
    <m/>
    <m/>
    <n v="0"/>
    <n v="0"/>
    <n v="4751"/>
    <m/>
    <m/>
    <m/>
    <m/>
    <m/>
    <m/>
    <m/>
    <m/>
  </r>
  <r>
    <x v="20"/>
    <x v="114"/>
    <x v="474"/>
    <m/>
    <m/>
    <m/>
    <n v="0"/>
    <m/>
    <m/>
    <m/>
    <n v="0"/>
    <n v="0"/>
    <m/>
    <m/>
    <m/>
    <m/>
    <m/>
    <m/>
    <m/>
    <m/>
    <m/>
  </r>
  <r>
    <x v="20"/>
    <x v="114"/>
    <x v="475"/>
    <m/>
    <n v="7296"/>
    <m/>
    <n v="7296"/>
    <m/>
    <n v="3500"/>
    <m/>
    <n v="3500"/>
    <n v="-3796"/>
    <m/>
    <m/>
    <m/>
    <m/>
    <m/>
    <m/>
    <m/>
    <m/>
    <m/>
  </r>
  <r>
    <x v="20"/>
    <x v="114"/>
    <x v="504"/>
    <m/>
    <m/>
    <m/>
    <n v="0"/>
    <m/>
    <m/>
    <m/>
    <n v="0"/>
    <n v="0"/>
    <m/>
    <m/>
    <n v="35628"/>
    <m/>
    <m/>
    <m/>
    <m/>
    <m/>
    <m/>
  </r>
  <r>
    <x v="20"/>
    <x v="114"/>
    <x v="505"/>
    <m/>
    <m/>
    <m/>
    <n v="0"/>
    <m/>
    <m/>
    <m/>
    <n v="0"/>
    <n v="0"/>
    <m/>
    <m/>
    <n v="30000"/>
    <m/>
    <m/>
    <m/>
    <m/>
    <m/>
    <m/>
  </r>
  <r>
    <x v="1"/>
    <x v="10"/>
    <x v="21"/>
    <n v="253262"/>
    <n v="204390"/>
    <n v="5987"/>
    <n v="463639"/>
    <n v="253652"/>
    <n v="174682"/>
    <n v="4573"/>
    <n v="432907"/>
    <n v="-30732"/>
    <n v="330099"/>
    <n v="0"/>
    <n v="65628"/>
    <n v="0"/>
    <n v="0"/>
    <n v="0"/>
    <n v="0"/>
    <n v="0"/>
    <n v="0"/>
  </r>
  <r>
    <x v="20"/>
    <x v="115"/>
    <x v="506"/>
    <n v="61322"/>
    <n v="18612"/>
    <n v="1711"/>
    <n v="81645"/>
    <n v="55991"/>
    <n v="19228"/>
    <m/>
    <n v="75219"/>
    <n v="-6426"/>
    <m/>
    <m/>
    <m/>
    <m/>
    <m/>
    <m/>
    <m/>
    <m/>
    <m/>
  </r>
  <r>
    <x v="20"/>
    <x v="115"/>
    <x v="413"/>
    <m/>
    <n v="6218"/>
    <m/>
    <n v="6218"/>
    <m/>
    <n v="4655"/>
    <m/>
    <n v="4655"/>
    <n v="-1563"/>
    <n v="2035"/>
    <m/>
    <m/>
    <m/>
    <m/>
    <m/>
    <m/>
    <m/>
    <m/>
  </r>
  <r>
    <x v="20"/>
    <x v="115"/>
    <x v="414"/>
    <n v="27422"/>
    <m/>
    <m/>
    <n v="27422"/>
    <n v="19310"/>
    <m/>
    <m/>
    <n v="19310"/>
    <n v="-8112"/>
    <m/>
    <m/>
    <m/>
    <m/>
    <m/>
    <m/>
    <m/>
    <m/>
    <m/>
  </r>
  <r>
    <x v="20"/>
    <x v="115"/>
    <x v="415"/>
    <m/>
    <m/>
    <m/>
    <n v="0"/>
    <m/>
    <m/>
    <m/>
    <n v="0"/>
    <n v="0"/>
    <n v="52679"/>
    <m/>
    <m/>
    <m/>
    <m/>
    <m/>
    <m/>
    <m/>
    <m/>
  </r>
  <r>
    <x v="20"/>
    <x v="115"/>
    <x v="416"/>
    <m/>
    <m/>
    <m/>
    <n v="0"/>
    <m/>
    <m/>
    <m/>
    <n v="0"/>
    <n v="0"/>
    <n v="893"/>
    <m/>
    <m/>
    <m/>
    <m/>
    <m/>
    <m/>
    <m/>
    <m/>
  </r>
  <r>
    <x v="20"/>
    <x v="115"/>
    <x v="420"/>
    <m/>
    <m/>
    <m/>
    <n v="0"/>
    <m/>
    <m/>
    <m/>
    <n v="0"/>
    <n v="0"/>
    <m/>
    <n v="120"/>
    <m/>
    <m/>
    <m/>
    <m/>
    <m/>
    <m/>
    <m/>
  </r>
  <r>
    <x v="20"/>
    <x v="115"/>
    <x v="474"/>
    <m/>
    <m/>
    <m/>
    <n v="0"/>
    <m/>
    <m/>
    <m/>
    <n v="0"/>
    <n v="0"/>
    <m/>
    <m/>
    <m/>
    <m/>
    <m/>
    <m/>
    <m/>
    <m/>
    <m/>
  </r>
  <r>
    <x v="20"/>
    <x v="115"/>
    <x v="507"/>
    <m/>
    <m/>
    <m/>
    <n v="0"/>
    <m/>
    <m/>
    <m/>
    <n v="0"/>
    <n v="0"/>
    <m/>
    <m/>
    <m/>
    <m/>
    <n v="4800"/>
    <m/>
    <m/>
    <m/>
    <m/>
  </r>
  <r>
    <x v="20"/>
    <x v="115"/>
    <x v="508"/>
    <m/>
    <m/>
    <m/>
    <n v="0"/>
    <m/>
    <m/>
    <m/>
    <n v="0"/>
    <n v="0"/>
    <m/>
    <n v="4200"/>
    <m/>
    <m/>
    <m/>
    <m/>
    <m/>
    <m/>
    <m/>
  </r>
  <r>
    <x v="20"/>
    <x v="115"/>
    <x v="509"/>
    <m/>
    <m/>
    <m/>
    <n v="0"/>
    <m/>
    <m/>
    <m/>
    <n v="0"/>
    <n v="0"/>
    <m/>
    <n v="600"/>
    <m/>
    <m/>
    <m/>
    <m/>
    <m/>
    <m/>
    <m/>
  </r>
  <r>
    <x v="1"/>
    <x v="10"/>
    <x v="21"/>
    <n v="88744"/>
    <n v="24830"/>
    <n v="1711"/>
    <n v="115285"/>
    <n v="75301"/>
    <n v="23883"/>
    <n v="0"/>
    <n v="99184"/>
    <n v="-16101"/>
    <n v="55607"/>
    <n v="4920"/>
    <n v="0"/>
    <n v="0"/>
    <n v="4800"/>
    <n v="0"/>
    <n v="0"/>
    <n v="0"/>
    <n v="0"/>
  </r>
  <r>
    <x v="20"/>
    <x v="116"/>
    <x v="510"/>
    <n v="95436"/>
    <n v="46009"/>
    <n v="2500"/>
    <n v="143945"/>
    <n v="95050"/>
    <n v="46605"/>
    <n v="1000"/>
    <n v="142655"/>
    <n v="-1290"/>
    <m/>
    <m/>
    <m/>
    <m/>
    <m/>
    <m/>
    <m/>
    <m/>
    <m/>
  </r>
  <r>
    <x v="20"/>
    <x v="116"/>
    <x v="413"/>
    <m/>
    <n v="7532"/>
    <m/>
    <n v="7532"/>
    <m/>
    <n v="7144"/>
    <m/>
    <n v="7144"/>
    <n v="-388"/>
    <n v="3235"/>
    <m/>
    <m/>
    <m/>
    <m/>
    <m/>
    <m/>
    <m/>
    <m/>
  </r>
  <r>
    <x v="20"/>
    <x v="116"/>
    <x v="414"/>
    <n v="46258"/>
    <m/>
    <m/>
    <n v="46258"/>
    <n v="10694"/>
    <m/>
    <m/>
    <n v="10694"/>
    <n v="-35564"/>
    <m/>
    <m/>
    <m/>
    <m/>
    <m/>
    <m/>
    <m/>
    <m/>
    <m/>
  </r>
  <r>
    <x v="20"/>
    <x v="116"/>
    <x v="415"/>
    <m/>
    <m/>
    <m/>
    <n v="0"/>
    <m/>
    <m/>
    <m/>
    <n v="0"/>
    <n v="0"/>
    <n v="62149"/>
    <m/>
    <m/>
    <m/>
    <m/>
    <m/>
    <m/>
    <m/>
    <m/>
  </r>
  <r>
    <x v="20"/>
    <x v="116"/>
    <x v="511"/>
    <m/>
    <m/>
    <m/>
    <m/>
    <m/>
    <m/>
    <m/>
    <m/>
    <m/>
    <n v="5704"/>
    <m/>
    <m/>
    <m/>
    <m/>
    <m/>
    <m/>
    <m/>
    <m/>
  </r>
  <r>
    <x v="20"/>
    <x v="116"/>
    <x v="416"/>
    <m/>
    <m/>
    <m/>
    <n v="0"/>
    <m/>
    <m/>
    <m/>
    <n v="0"/>
    <n v="0"/>
    <n v="1053"/>
    <m/>
    <m/>
    <m/>
    <m/>
    <m/>
    <m/>
    <m/>
    <m/>
  </r>
  <r>
    <x v="20"/>
    <x v="116"/>
    <x v="512"/>
    <m/>
    <m/>
    <m/>
    <m/>
    <m/>
    <m/>
    <m/>
    <m/>
    <m/>
    <n v="125"/>
    <m/>
    <m/>
    <m/>
    <m/>
    <m/>
    <m/>
    <m/>
    <m/>
  </r>
  <r>
    <x v="20"/>
    <x v="116"/>
    <x v="474"/>
    <m/>
    <m/>
    <m/>
    <n v="0"/>
    <m/>
    <m/>
    <m/>
    <n v="0"/>
    <n v="0"/>
    <m/>
    <m/>
    <m/>
    <m/>
    <m/>
    <m/>
    <m/>
    <m/>
    <m/>
  </r>
  <r>
    <x v="20"/>
    <x v="116"/>
    <x v="420"/>
    <m/>
    <m/>
    <m/>
    <n v="0"/>
    <m/>
    <m/>
    <m/>
    <n v="0"/>
    <n v="0"/>
    <m/>
    <n v="120"/>
    <m/>
    <m/>
    <m/>
    <m/>
    <m/>
    <m/>
    <m/>
  </r>
  <r>
    <x v="20"/>
    <x v="116"/>
    <x v="208"/>
    <m/>
    <m/>
    <m/>
    <m/>
    <m/>
    <m/>
    <m/>
    <m/>
    <m/>
    <m/>
    <m/>
    <m/>
    <m/>
    <n v="900"/>
    <m/>
    <m/>
    <m/>
    <m/>
  </r>
  <r>
    <x v="1"/>
    <x v="10"/>
    <x v="21"/>
    <n v="141694"/>
    <n v="53541"/>
    <n v="2500"/>
    <n v="197735"/>
    <n v="105744"/>
    <n v="53749"/>
    <n v="1000"/>
    <n v="160493"/>
    <n v="-37242"/>
    <n v="72266"/>
    <n v="120"/>
    <n v="0"/>
    <n v="0"/>
    <n v="900"/>
    <n v="0"/>
    <n v="0"/>
    <n v="0"/>
    <n v="0"/>
  </r>
  <r>
    <x v="20"/>
    <x v="117"/>
    <x v="513"/>
    <n v="87688"/>
    <n v="20744"/>
    <n v="74"/>
    <n v="108506"/>
    <n v="78680"/>
    <n v="19765"/>
    <n v="400"/>
    <n v="98845"/>
    <n v="-9661"/>
    <m/>
    <m/>
    <m/>
    <m/>
    <m/>
    <m/>
    <m/>
    <m/>
    <m/>
  </r>
  <r>
    <x v="20"/>
    <x v="117"/>
    <x v="413"/>
    <m/>
    <n v="3462"/>
    <m/>
    <n v="3462"/>
    <m/>
    <n v="3252"/>
    <m/>
    <n v="3252"/>
    <n v="-210"/>
    <n v="948"/>
    <m/>
    <m/>
    <m/>
    <m/>
    <m/>
    <m/>
    <m/>
    <m/>
  </r>
  <r>
    <x v="20"/>
    <x v="117"/>
    <x v="414"/>
    <n v="30603"/>
    <m/>
    <m/>
    <n v="30603"/>
    <n v="5139"/>
    <m/>
    <m/>
    <n v="5139"/>
    <n v="-25464"/>
    <m/>
    <m/>
    <m/>
    <m/>
    <m/>
    <m/>
    <m/>
    <m/>
    <m/>
  </r>
  <r>
    <x v="20"/>
    <x v="117"/>
    <x v="415"/>
    <m/>
    <m/>
    <m/>
    <n v="0"/>
    <m/>
    <m/>
    <m/>
    <n v="0"/>
    <n v="0"/>
    <n v="30182"/>
    <m/>
    <m/>
    <m/>
    <m/>
    <m/>
    <m/>
    <m/>
    <m/>
  </r>
  <r>
    <x v="20"/>
    <x v="117"/>
    <x v="511"/>
    <m/>
    <m/>
    <m/>
    <m/>
    <m/>
    <m/>
    <m/>
    <m/>
    <m/>
    <n v="1632"/>
    <m/>
    <m/>
    <m/>
    <m/>
    <m/>
    <m/>
    <m/>
    <m/>
  </r>
  <r>
    <x v="20"/>
    <x v="117"/>
    <x v="416"/>
    <m/>
    <m/>
    <m/>
    <n v="0"/>
    <m/>
    <m/>
    <m/>
    <n v="0"/>
    <n v="0"/>
    <n v="375"/>
    <m/>
    <m/>
    <m/>
    <m/>
    <m/>
    <m/>
    <m/>
    <m/>
  </r>
  <r>
    <x v="20"/>
    <x v="117"/>
    <x v="512"/>
    <m/>
    <m/>
    <m/>
    <m/>
    <m/>
    <m/>
    <m/>
    <m/>
    <m/>
    <n v="35"/>
    <m/>
    <m/>
    <m/>
    <m/>
    <m/>
    <m/>
    <m/>
    <m/>
  </r>
  <r>
    <x v="20"/>
    <x v="117"/>
    <x v="514"/>
    <m/>
    <m/>
    <m/>
    <m/>
    <m/>
    <m/>
    <m/>
    <m/>
    <m/>
    <n v="2938"/>
    <m/>
    <m/>
    <m/>
    <m/>
    <m/>
    <m/>
    <m/>
    <m/>
  </r>
  <r>
    <x v="20"/>
    <x v="117"/>
    <x v="474"/>
    <m/>
    <m/>
    <m/>
    <n v="0"/>
    <m/>
    <m/>
    <m/>
    <n v="0"/>
    <n v="0"/>
    <m/>
    <m/>
    <m/>
    <m/>
    <m/>
    <m/>
    <m/>
    <m/>
    <m/>
  </r>
  <r>
    <x v="20"/>
    <x v="117"/>
    <x v="420"/>
    <m/>
    <m/>
    <m/>
    <n v="0"/>
    <m/>
    <m/>
    <m/>
    <n v="0"/>
    <n v="0"/>
    <m/>
    <n v="120"/>
    <m/>
    <m/>
    <m/>
    <m/>
    <m/>
    <m/>
    <m/>
  </r>
  <r>
    <x v="1"/>
    <x v="10"/>
    <x v="21"/>
    <n v="118291"/>
    <n v="24206"/>
    <n v="74"/>
    <n v="142571"/>
    <n v="83819"/>
    <n v="23017"/>
    <n v="400"/>
    <n v="107236"/>
    <n v="-35335"/>
    <n v="36110"/>
    <n v="120"/>
    <n v="0"/>
    <n v="0"/>
    <n v="0"/>
    <n v="0"/>
    <n v="0"/>
    <n v="0"/>
    <n v="0"/>
  </r>
  <r>
    <x v="20"/>
    <x v="118"/>
    <x v="515"/>
    <n v="208225"/>
    <n v="45373"/>
    <n v="19592"/>
    <n v="273190"/>
    <n v="172833"/>
    <n v="23536"/>
    <n v="6800"/>
    <n v="203169"/>
    <n v="-70021"/>
    <m/>
    <m/>
    <m/>
    <m/>
    <m/>
    <m/>
    <m/>
    <m/>
    <m/>
  </r>
  <r>
    <x v="20"/>
    <x v="118"/>
    <x v="469"/>
    <m/>
    <n v="149000"/>
    <m/>
    <n v="149000"/>
    <m/>
    <n v="70365"/>
    <m/>
    <n v="70365"/>
    <n v="-78635"/>
    <m/>
    <m/>
    <m/>
    <m/>
    <m/>
    <m/>
    <m/>
    <m/>
    <m/>
  </r>
  <r>
    <x v="20"/>
    <x v="118"/>
    <x v="413"/>
    <m/>
    <n v="36000"/>
    <m/>
    <n v="36000"/>
    <m/>
    <n v="30314"/>
    <m/>
    <n v="30314"/>
    <n v="-5686"/>
    <n v="9596"/>
    <m/>
    <m/>
    <m/>
    <m/>
    <m/>
    <m/>
    <m/>
    <m/>
  </r>
  <r>
    <x v="20"/>
    <x v="118"/>
    <x v="414"/>
    <m/>
    <m/>
    <m/>
    <n v="0"/>
    <n v="12610"/>
    <m/>
    <m/>
    <n v="12610"/>
    <n v="12610"/>
    <m/>
    <m/>
    <m/>
    <m/>
    <m/>
    <m/>
    <m/>
    <m/>
    <m/>
  </r>
  <r>
    <x v="20"/>
    <x v="118"/>
    <x v="514"/>
    <m/>
    <m/>
    <m/>
    <m/>
    <m/>
    <m/>
    <m/>
    <m/>
    <m/>
    <n v="2938"/>
    <m/>
    <m/>
    <m/>
    <m/>
    <m/>
    <m/>
    <m/>
    <m/>
  </r>
  <r>
    <x v="20"/>
    <x v="118"/>
    <x v="415"/>
    <m/>
    <m/>
    <m/>
    <n v="0"/>
    <m/>
    <m/>
    <m/>
    <n v="0"/>
    <n v="0"/>
    <n v="262273"/>
    <m/>
    <m/>
    <m/>
    <m/>
    <m/>
    <m/>
    <m/>
    <m/>
  </r>
  <r>
    <x v="20"/>
    <x v="118"/>
    <x v="416"/>
    <m/>
    <m/>
    <m/>
    <n v="0"/>
    <m/>
    <m/>
    <m/>
    <n v="0"/>
    <n v="0"/>
    <n v="3715"/>
    <m/>
    <m/>
    <m/>
    <m/>
    <m/>
    <m/>
    <m/>
    <m/>
  </r>
  <r>
    <x v="20"/>
    <x v="118"/>
    <x v="471"/>
    <m/>
    <m/>
    <m/>
    <m/>
    <m/>
    <m/>
    <m/>
    <n v="0"/>
    <n v="0"/>
    <m/>
    <n v="400"/>
    <m/>
    <m/>
    <m/>
    <m/>
    <m/>
    <m/>
    <m/>
  </r>
  <r>
    <x v="20"/>
    <x v="118"/>
    <x v="474"/>
    <m/>
    <m/>
    <m/>
    <n v="0"/>
    <m/>
    <m/>
    <m/>
    <n v="0"/>
    <n v="0"/>
    <m/>
    <m/>
    <m/>
    <m/>
    <m/>
    <m/>
    <m/>
    <m/>
    <m/>
  </r>
  <r>
    <x v="20"/>
    <x v="118"/>
    <x v="475"/>
    <m/>
    <n v="1700"/>
    <m/>
    <n v="1700"/>
    <m/>
    <n v="3300"/>
    <m/>
    <n v="3300"/>
    <n v="1600"/>
    <m/>
    <m/>
    <m/>
    <m/>
    <m/>
    <m/>
    <m/>
    <m/>
    <m/>
  </r>
  <r>
    <x v="20"/>
    <x v="118"/>
    <x v="516"/>
    <m/>
    <m/>
    <m/>
    <n v="0"/>
    <m/>
    <m/>
    <m/>
    <n v="0"/>
    <n v="0"/>
    <m/>
    <n v="3500"/>
    <m/>
    <m/>
    <m/>
    <m/>
    <m/>
    <m/>
    <m/>
  </r>
  <r>
    <x v="20"/>
    <x v="118"/>
    <x v="517"/>
    <m/>
    <n v="50000"/>
    <m/>
    <n v="50000"/>
    <m/>
    <m/>
    <m/>
    <n v="0"/>
    <n v="-50000"/>
    <m/>
    <n v="8000"/>
    <m/>
    <m/>
    <m/>
    <m/>
    <m/>
    <m/>
    <m/>
  </r>
  <r>
    <x v="1"/>
    <x v="10"/>
    <x v="21"/>
    <n v="208225"/>
    <n v="282073"/>
    <n v="19592"/>
    <n v="509890"/>
    <n v="185443"/>
    <n v="127515"/>
    <n v="6800"/>
    <n v="319758"/>
    <n v="-190132"/>
    <n v="278522"/>
    <n v="11900"/>
    <n v="0"/>
    <n v="0"/>
    <n v="0"/>
    <n v="0"/>
    <n v="0"/>
    <n v="0"/>
    <n v="0"/>
  </r>
  <r>
    <x v="1"/>
    <x v="10"/>
    <x v="518"/>
    <n v="1748471"/>
    <n v="1244302"/>
    <n v="118930"/>
    <n v="3111703"/>
    <n v="1712345"/>
    <n v="988175"/>
    <n v="31198"/>
    <n v="2731718"/>
    <n v="-379985"/>
    <n v="2176423"/>
    <n v="60295"/>
    <n v="65628"/>
    <n v="51930"/>
    <n v="17350"/>
    <n v="116620"/>
    <n v="27202"/>
    <n v="89418"/>
    <n v="0"/>
  </r>
  <r>
    <x v="21"/>
    <x v="119"/>
    <x v="519"/>
    <n v="49872"/>
    <n v="34148"/>
    <n v="7052"/>
    <n v="91072"/>
    <n v="56344"/>
    <n v="41409"/>
    <n v="4270"/>
    <n v="102023"/>
    <n v="10951"/>
    <m/>
    <m/>
    <m/>
    <m/>
    <m/>
    <m/>
    <m/>
    <m/>
    <m/>
  </r>
  <r>
    <x v="21"/>
    <x v="119"/>
    <x v="413"/>
    <m/>
    <n v="5882"/>
    <m/>
    <m/>
    <m/>
    <n v="7344"/>
    <m/>
    <n v="7344"/>
    <n v="7344"/>
    <n v="10427"/>
    <m/>
    <m/>
    <m/>
    <m/>
    <m/>
    <m/>
    <m/>
    <m/>
  </r>
  <r>
    <x v="21"/>
    <x v="119"/>
    <x v="414"/>
    <n v="61356"/>
    <m/>
    <m/>
    <n v="61356"/>
    <n v="70753"/>
    <m/>
    <m/>
    <n v="70753"/>
    <n v="9397"/>
    <m/>
    <m/>
    <m/>
    <m/>
    <m/>
    <m/>
    <m/>
    <m/>
    <m/>
  </r>
  <r>
    <x v="21"/>
    <x v="119"/>
    <x v="520"/>
    <m/>
    <m/>
    <m/>
    <n v="0"/>
    <m/>
    <m/>
    <m/>
    <n v="0"/>
    <n v="0"/>
    <n v="99376"/>
    <m/>
    <m/>
    <m/>
    <m/>
    <m/>
    <m/>
    <m/>
    <m/>
  </r>
  <r>
    <x v="21"/>
    <x v="119"/>
    <x v="521"/>
    <m/>
    <m/>
    <m/>
    <m/>
    <m/>
    <m/>
    <m/>
    <m/>
    <m/>
    <n v="213862"/>
    <m/>
    <m/>
    <m/>
    <m/>
    <m/>
    <m/>
    <m/>
    <m/>
  </r>
  <r>
    <x v="21"/>
    <x v="119"/>
    <x v="416"/>
    <m/>
    <m/>
    <m/>
    <n v="0"/>
    <m/>
    <m/>
    <m/>
    <n v="0"/>
    <n v="0"/>
    <n v="1554"/>
    <m/>
    <m/>
    <m/>
    <m/>
    <m/>
    <m/>
    <m/>
    <m/>
  </r>
  <r>
    <x v="21"/>
    <x v="119"/>
    <x v="474"/>
    <m/>
    <m/>
    <m/>
    <n v="0"/>
    <m/>
    <m/>
    <m/>
    <n v="0"/>
    <n v="0"/>
    <m/>
    <m/>
    <m/>
    <m/>
    <m/>
    <m/>
    <m/>
    <m/>
    <m/>
  </r>
  <r>
    <x v="21"/>
    <x v="119"/>
    <x v="522"/>
    <m/>
    <m/>
    <m/>
    <m/>
    <m/>
    <m/>
    <m/>
    <n v="0"/>
    <n v="0"/>
    <m/>
    <n v="4600"/>
    <m/>
    <m/>
    <m/>
    <m/>
    <m/>
    <m/>
    <m/>
  </r>
  <r>
    <x v="21"/>
    <x v="119"/>
    <x v="523"/>
    <m/>
    <n v="600"/>
    <m/>
    <n v="600"/>
    <m/>
    <n v="600"/>
    <m/>
    <n v="600"/>
    <n v="0"/>
    <m/>
    <m/>
    <m/>
    <m/>
    <m/>
    <m/>
    <m/>
    <m/>
    <m/>
  </r>
  <r>
    <x v="21"/>
    <x v="119"/>
    <x v="524"/>
    <m/>
    <m/>
    <m/>
    <n v="0"/>
    <m/>
    <m/>
    <m/>
    <n v="0"/>
    <n v="0"/>
    <m/>
    <m/>
    <m/>
    <m/>
    <m/>
    <m/>
    <m/>
    <m/>
    <m/>
  </r>
  <r>
    <x v="21"/>
    <x v="119"/>
    <x v="525"/>
    <m/>
    <n v="7574"/>
    <m/>
    <n v="7574"/>
    <m/>
    <m/>
    <m/>
    <n v="0"/>
    <n v="-7574"/>
    <m/>
    <m/>
    <m/>
    <m/>
    <m/>
    <m/>
    <m/>
    <m/>
    <m/>
  </r>
  <r>
    <x v="21"/>
    <x v="119"/>
    <x v="526"/>
    <m/>
    <m/>
    <m/>
    <n v="0"/>
    <m/>
    <m/>
    <m/>
    <n v="0"/>
    <n v="0"/>
    <m/>
    <n v="1690"/>
    <m/>
    <n v="1690"/>
    <m/>
    <m/>
    <m/>
    <m/>
    <m/>
  </r>
  <r>
    <x v="21"/>
    <x v="119"/>
    <x v="527"/>
    <m/>
    <m/>
    <m/>
    <n v="0"/>
    <m/>
    <m/>
    <m/>
    <n v="0"/>
    <n v="0"/>
    <m/>
    <m/>
    <m/>
    <n v="8012"/>
    <m/>
    <m/>
    <m/>
    <m/>
    <m/>
  </r>
  <r>
    <x v="21"/>
    <x v="119"/>
    <x v="346"/>
    <m/>
    <n v="500"/>
    <n v="8794"/>
    <n v="9294"/>
    <m/>
    <m/>
    <m/>
    <n v="0"/>
    <n v="-9294"/>
    <m/>
    <m/>
    <m/>
    <m/>
    <m/>
    <m/>
    <m/>
    <m/>
    <m/>
  </r>
  <r>
    <x v="21"/>
    <x v="119"/>
    <x v="528"/>
    <m/>
    <m/>
    <m/>
    <m/>
    <m/>
    <m/>
    <m/>
    <m/>
    <m/>
    <m/>
    <n v="4200"/>
    <m/>
    <m/>
    <n v="4200"/>
    <m/>
    <m/>
    <m/>
    <m/>
  </r>
  <r>
    <x v="21"/>
    <x v="119"/>
    <x v="529"/>
    <m/>
    <m/>
    <m/>
    <m/>
    <m/>
    <m/>
    <m/>
    <m/>
    <m/>
    <m/>
    <m/>
    <m/>
    <m/>
    <n v="3620"/>
    <m/>
    <m/>
    <m/>
    <m/>
  </r>
  <r>
    <x v="21"/>
    <x v="119"/>
    <x v="530"/>
    <m/>
    <m/>
    <m/>
    <m/>
    <m/>
    <m/>
    <m/>
    <m/>
    <m/>
    <m/>
    <m/>
    <m/>
    <m/>
    <n v="14890"/>
    <m/>
    <m/>
    <m/>
    <m/>
  </r>
  <r>
    <x v="21"/>
    <x v="119"/>
    <x v="531"/>
    <m/>
    <m/>
    <m/>
    <m/>
    <m/>
    <m/>
    <m/>
    <m/>
    <m/>
    <m/>
    <m/>
    <m/>
    <m/>
    <n v="3150"/>
    <m/>
    <m/>
    <m/>
    <m/>
  </r>
  <r>
    <x v="1"/>
    <x v="10"/>
    <x v="21"/>
    <n v="111228"/>
    <n v="48704"/>
    <n v="15846"/>
    <n v="175778"/>
    <n v="127097"/>
    <n v="49353"/>
    <n v="4270"/>
    <n v="180720"/>
    <n v="4942"/>
    <n v="325219"/>
    <n v="10490"/>
    <n v="0"/>
    <n v="9702"/>
    <n v="25860"/>
    <n v="0"/>
    <n v="0"/>
    <n v="0"/>
    <n v="0"/>
  </r>
  <r>
    <x v="21"/>
    <x v="120"/>
    <x v="532"/>
    <n v="39979"/>
    <n v="34717"/>
    <n v="6150"/>
    <n v="80846"/>
    <n v="43523"/>
    <n v="42085"/>
    <n v="300"/>
    <n v="85908"/>
    <n v="5062"/>
    <m/>
    <m/>
    <m/>
    <m/>
    <m/>
    <m/>
    <m/>
    <m/>
    <m/>
  </r>
  <r>
    <x v="21"/>
    <x v="120"/>
    <x v="414"/>
    <n v="55615"/>
    <m/>
    <m/>
    <n v="55615"/>
    <n v="69505"/>
    <m/>
    <m/>
    <n v="69505"/>
    <n v="13890"/>
    <m/>
    <m/>
    <m/>
    <m/>
    <m/>
    <m/>
    <m/>
    <m/>
    <m/>
  </r>
  <r>
    <x v="21"/>
    <x v="120"/>
    <x v="521"/>
    <m/>
    <m/>
    <m/>
    <n v="0"/>
    <m/>
    <m/>
    <m/>
    <n v="0"/>
    <n v="0"/>
    <n v="70025"/>
    <m/>
    <m/>
    <m/>
    <m/>
    <m/>
    <m/>
    <m/>
    <m/>
  </r>
  <r>
    <x v="21"/>
    <x v="120"/>
    <x v="346"/>
    <m/>
    <m/>
    <m/>
    <m/>
    <m/>
    <m/>
    <m/>
    <n v="0"/>
    <n v="0"/>
    <m/>
    <n v="10700"/>
    <m/>
    <m/>
    <m/>
    <m/>
    <m/>
    <m/>
    <m/>
  </r>
  <r>
    <x v="21"/>
    <x v="120"/>
    <x v="533"/>
    <m/>
    <m/>
    <m/>
    <n v="0"/>
    <m/>
    <m/>
    <m/>
    <n v="0"/>
    <n v="0"/>
    <m/>
    <m/>
    <m/>
    <m/>
    <m/>
    <n v="21308"/>
    <n v="16764"/>
    <n v="4544"/>
    <m/>
  </r>
  <r>
    <x v="21"/>
    <x v="120"/>
    <x v="534"/>
    <m/>
    <m/>
    <n v="908"/>
    <n v="908"/>
    <m/>
    <m/>
    <m/>
    <n v="0"/>
    <n v="-908"/>
    <m/>
    <m/>
    <m/>
    <m/>
    <m/>
    <m/>
    <m/>
    <m/>
    <m/>
  </r>
  <r>
    <x v="1"/>
    <x v="10"/>
    <x v="21"/>
    <n v="95594"/>
    <n v="34717"/>
    <n v="7058"/>
    <n v="137369"/>
    <n v="113028"/>
    <n v="42085"/>
    <n v="300"/>
    <n v="155413"/>
    <n v="18044"/>
    <n v="70025"/>
    <n v="10700"/>
    <n v="0"/>
    <n v="0"/>
    <n v="0"/>
    <n v="21308"/>
    <n v="16764"/>
    <n v="4544"/>
    <n v="0"/>
  </r>
  <r>
    <x v="21"/>
    <x v="121"/>
    <x v="535"/>
    <n v="41920"/>
    <n v="29883"/>
    <n v="1500"/>
    <n v="73303"/>
    <n v="43569"/>
    <n v="30584"/>
    <n v="1000"/>
    <n v="75153"/>
    <n v="1850"/>
    <m/>
    <m/>
    <m/>
    <m/>
    <m/>
    <m/>
    <m/>
    <m/>
    <m/>
  </r>
  <r>
    <x v="21"/>
    <x v="121"/>
    <x v="414"/>
    <n v="38621"/>
    <m/>
    <m/>
    <n v="38621"/>
    <n v="34068"/>
    <m/>
    <m/>
    <n v="34068"/>
    <n v="-4553"/>
    <m/>
    <m/>
    <m/>
    <m/>
    <m/>
    <m/>
    <m/>
    <m/>
    <m/>
  </r>
  <r>
    <x v="21"/>
    <x v="121"/>
    <x v="415"/>
    <m/>
    <m/>
    <m/>
    <n v="0"/>
    <m/>
    <m/>
    <m/>
    <n v="0"/>
    <n v="0"/>
    <n v="3836"/>
    <m/>
    <m/>
    <m/>
    <m/>
    <m/>
    <m/>
    <m/>
    <m/>
  </r>
  <r>
    <x v="21"/>
    <x v="121"/>
    <x v="521"/>
    <m/>
    <m/>
    <m/>
    <n v="0"/>
    <m/>
    <m/>
    <m/>
    <n v="0"/>
    <n v="0"/>
    <n v="174289"/>
    <m/>
    <m/>
    <m/>
    <m/>
    <m/>
    <m/>
    <m/>
    <m/>
  </r>
  <r>
    <x v="21"/>
    <x v="121"/>
    <x v="522"/>
    <m/>
    <m/>
    <m/>
    <n v="0"/>
    <m/>
    <m/>
    <m/>
    <n v="0"/>
    <n v="0"/>
    <m/>
    <n v="6000"/>
    <m/>
    <m/>
    <m/>
    <m/>
    <m/>
    <m/>
    <m/>
  </r>
  <r>
    <x v="1"/>
    <x v="10"/>
    <x v="21"/>
    <n v="80541"/>
    <n v="29883"/>
    <n v="1500"/>
    <n v="111924"/>
    <n v="77637"/>
    <n v="30584"/>
    <n v="1000"/>
    <n v="109221"/>
    <n v="-2703"/>
    <n v="178125"/>
    <n v="6000"/>
    <n v="0"/>
    <n v="0"/>
    <n v="0"/>
    <n v="0"/>
    <n v="0"/>
    <n v="0"/>
    <n v="0"/>
  </r>
  <r>
    <x v="21"/>
    <x v="122"/>
    <x v="536"/>
    <n v="51523"/>
    <n v="3398"/>
    <n v="1000"/>
    <n v="55921"/>
    <n v="23360"/>
    <n v="5027"/>
    <m/>
    <n v="28387"/>
    <n v="-27534"/>
    <m/>
    <m/>
    <m/>
    <m/>
    <m/>
    <m/>
    <m/>
    <m/>
    <m/>
  </r>
  <r>
    <x v="21"/>
    <x v="122"/>
    <x v="537"/>
    <m/>
    <n v="7560"/>
    <m/>
    <n v="7560"/>
    <m/>
    <n v="10113"/>
    <m/>
    <n v="10113"/>
    <n v="2553"/>
    <m/>
    <m/>
    <m/>
    <m/>
    <m/>
    <m/>
    <m/>
    <m/>
    <m/>
  </r>
  <r>
    <x v="21"/>
    <x v="122"/>
    <x v="414"/>
    <m/>
    <m/>
    <m/>
    <n v="0"/>
    <n v="29903"/>
    <m/>
    <m/>
    <n v="29903"/>
    <n v="29903"/>
    <m/>
    <m/>
    <m/>
    <m/>
    <m/>
    <m/>
    <m/>
    <m/>
    <m/>
  </r>
  <r>
    <x v="21"/>
    <x v="122"/>
    <x v="521"/>
    <m/>
    <m/>
    <m/>
    <n v="0"/>
    <m/>
    <m/>
    <m/>
    <n v="0"/>
    <n v="0"/>
    <n v="66516"/>
    <m/>
    <m/>
    <m/>
    <m/>
    <m/>
    <m/>
    <m/>
    <m/>
  </r>
  <r>
    <x v="21"/>
    <x v="122"/>
    <x v="533"/>
    <m/>
    <m/>
    <m/>
    <n v="0"/>
    <m/>
    <m/>
    <m/>
    <n v="0"/>
    <n v="0"/>
    <m/>
    <m/>
    <m/>
    <m/>
    <m/>
    <m/>
    <m/>
    <m/>
    <m/>
  </r>
  <r>
    <x v="21"/>
    <x v="122"/>
    <x v="534"/>
    <m/>
    <m/>
    <m/>
    <n v="0"/>
    <m/>
    <m/>
    <m/>
    <n v="0"/>
    <n v="0"/>
    <m/>
    <m/>
    <m/>
    <m/>
    <m/>
    <m/>
    <m/>
    <m/>
    <m/>
  </r>
  <r>
    <x v="1"/>
    <x v="10"/>
    <x v="24"/>
    <n v="51523"/>
    <n v="10958"/>
    <n v="1000"/>
    <n v="63481"/>
    <n v="53263"/>
    <n v="15140"/>
    <n v="0"/>
    <n v="68403"/>
    <n v="4922"/>
    <n v="66516"/>
    <n v="0"/>
    <n v="0"/>
    <n v="0"/>
    <n v="0"/>
    <n v="0"/>
    <n v="0"/>
    <n v="0"/>
    <n v="0"/>
  </r>
  <r>
    <x v="21"/>
    <x v="123"/>
    <x v="538"/>
    <n v="66670"/>
    <n v="86289"/>
    <m/>
    <n v="152959"/>
    <n v="97479"/>
    <n v="95632"/>
    <n v="5400"/>
    <n v="198511"/>
    <n v="45552"/>
    <m/>
    <m/>
    <m/>
    <m/>
    <m/>
    <m/>
    <m/>
    <m/>
    <m/>
  </r>
  <r>
    <x v="21"/>
    <x v="123"/>
    <x v="414"/>
    <n v="47073"/>
    <m/>
    <m/>
    <n v="47073"/>
    <n v="97532"/>
    <m/>
    <m/>
    <n v="97532"/>
    <n v="50459"/>
    <m/>
    <m/>
    <m/>
    <m/>
    <m/>
    <m/>
    <m/>
    <m/>
    <m/>
  </r>
  <r>
    <x v="21"/>
    <x v="123"/>
    <x v="539"/>
    <m/>
    <m/>
    <m/>
    <n v="0"/>
    <m/>
    <m/>
    <m/>
    <n v="0"/>
    <n v="0"/>
    <n v="1641"/>
    <m/>
    <m/>
    <m/>
    <m/>
    <m/>
    <m/>
    <m/>
    <m/>
  </r>
  <r>
    <x v="21"/>
    <x v="123"/>
    <x v="539"/>
    <m/>
    <m/>
    <m/>
    <m/>
    <m/>
    <m/>
    <m/>
    <m/>
    <m/>
    <n v="229666"/>
    <m/>
    <m/>
    <m/>
    <m/>
    <m/>
    <m/>
    <m/>
    <m/>
  </r>
  <r>
    <x v="21"/>
    <x v="123"/>
    <x v="540"/>
    <m/>
    <n v="2132"/>
    <n v="3200"/>
    <n v="5332"/>
    <m/>
    <m/>
    <m/>
    <n v="0"/>
    <n v="-5332"/>
    <m/>
    <m/>
    <m/>
    <m/>
    <m/>
    <m/>
    <m/>
    <m/>
    <m/>
  </r>
  <r>
    <x v="21"/>
    <x v="123"/>
    <x v="541"/>
    <m/>
    <m/>
    <n v="20000"/>
    <n v="20000"/>
    <m/>
    <m/>
    <m/>
    <n v="0"/>
    <n v="-20000"/>
    <m/>
    <m/>
    <n v="21780"/>
    <m/>
    <m/>
    <m/>
    <m/>
    <m/>
    <m/>
  </r>
  <r>
    <x v="21"/>
    <x v="123"/>
    <x v="542"/>
    <m/>
    <m/>
    <m/>
    <n v="0"/>
    <m/>
    <m/>
    <m/>
    <n v="0"/>
    <n v="0"/>
    <m/>
    <m/>
    <n v="8289"/>
    <m/>
    <m/>
    <m/>
    <m/>
    <m/>
    <m/>
  </r>
  <r>
    <x v="21"/>
    <x v="123"/>
    <x v="543"/>
    <m/>
    <m/>
    <m/>
    <m/>
    <m/>
    <m/>
    <m/>
    <n v="0"/>
    <n v="0"/>
    <m/>
    <n v="20000"/>
    <m/>
    <m/>
    <m/>
    <m/>
    <m/>
    <m/>
    <m/>
  </r>
  <r>
    <x v="21"/>
    <x v="123"/>
    <x v="544"/>
    <m/>
    <m/>
    <m/>
    <m/>
    <m/>
    <m/>
    <m/>
    <n v="0"/>
    <n v="0"/>
    <m/>
    <m/>
    <m/>
    <m/>
    <n v="30000"/>
    <m/>
    <m/>
    <m/>
    <m/>
  </r>
  <r>
    <x v="1"/>
    <x v="10"/>
    <x v="24"/>
    <m/>
    <m/>
    <m/>
    <n v="0"/>
    <m/>
    <m/>
    <m/>
    <n v="0"/>
    <n v="0"/>
    <m/>
    <m/>
    <m/>
    <m/>
    <m/>
    <m/>
    <m/>
    <m/>
    <m/>
  </r>
  <r>
    <x v="1"/>
    <x v="10"/>
    <x v="24"/>
    <n v="113743"/>
    <n v="88421"/>
    <n v="23200"/>
    <n v="225364"/>
    <n v="195011"/>
    <n v="95632"/>
    <n v="5400"/>
    <n v="296043"/>
    <n v="70679"/>
    <n v="231307"/>
    <n v="20000"/>
    <n v="30069"/>
    <n v="0"/>
    <n v="30000"/>
    <n v="0"/>
    <n v="0"/>
    <n v="0"/>
    <n v="0"/>
  </r>
  <r>
    <x v="21"/>
    <x v="124"/>
    <x v="545"/>
    <n v="35649"/>
    <n v="71383"/>
    <n v="7500"/>
    <n v="114532"/>
    <n v="49112"/>
    <n v="76438"/>
    <n v="7500"/>
    <n v="133050"/>
    <n v="18518"/>
    <m/>
    <m/>
    <m/>
    <m/>
    <m/>
    <m/>
    <m/>
    <m/>
    <m/>
  </r>
  <r>
    <x v="21"/>
    <x v="124"/>
    <x v="414"/>
    <n v="58148"/>
    <m/>
    <m/>
    <n v="58148"/>
    <n v="60554"/>
    <m/>
    <m/>
    <n v="60554"/>
    <n v="2406"/>
    <m/>
    <m/>
    <m/>
    <m/>
    <m/>
    <m/>
    <m/>
    <m/>
    <m/>
  </r>
  <r>
    <x v="21"/>
    <x v="124"/>
    <x v="415"/>
    <m/>
    <m/>
    <m/>
    <n v="0"/>
    <m/>
    <m/>
    <m/>
    <n v="0"/>
    <n v="0"/>
    <n v="55735"/>
    <m/>
    <m/>
    <m/>
    <m/>
    <m/>
    <m/>
    <m/>
    <m/>
  </r>
  <r>
    <x v="1"/>
    <x v="10"/>
    <x v="24"/>
    <m/>
    <m/>
    <m/>
    <n v="0"/>
    <m/>
    <m/>
    <m/>
    <n v="0"/>
    <n v="0"/>
    <m/>
    <m/>
    <m/>
    <m/>
    <m/>
    <m/>
    <m/>
    <m/>
    <m/>
  </r>
  <r>
    <x v="21"/>
    <x v="124"/>
    <x v="546"/>
    <m/>
    <m/>
    <m/>
    <n v="0"/>
    <m/>
    <m/>
    <m/>
    <n v="0"/>
    <n v="0"/>
    <m/>
    <m/>
    <m/>
    <m/>
    <m/>
    <n v="7775"/>
    <m/>
    <n v="7775"/>
    <m/>
  </r>
  <r>
    <x v="21"/>
    <x v="124"/>
    <x v="547"/>
    <m/>
    <m/>
    <m/>
    <n v="0"/>
    <m/>
    <m/>
    <m/>
    <n v="0"/>
    <n v="0"/>
    <m/>
    <m/>
    <m/>
    <m/>
    <m/>
    <n v="137239"/>
    <m/>
    <n v="137239"/>
    <m/>
  </r>
  <r>
    <x v="1"/>
    <x v="10"/>
    <x v="24"/>
    <n v="93797"/>
    <n v="71383"/>
    <n v="7500"/>
    <n v="172680"/>
    <n v="109666"/>
    <n v="76438"/>
    <n v="7500"/>
    <n v="193604"/>
    <n v="20924"/>
    <n v="55735"/>
    <n v="0"/>
    <n v="0"/>
    <n v="0"/>
    <n v="0"/>
    <n v="145014"/>
    <n v="0"/>
    <n v="145014"/>
    <n v="0"/>
  </r>
  <r>
    <x v="1"/>
    <x v="10"/>
    <x v="24"/>
    <n v="554000"/>
    <n v="284066"/>
    <n v="63678"/>
    <n v="886596"/>
    <n v="675702"/>
    <n v="309232"/>
    <n v="18470"/>
    <n v="1003404"/>
    <n v="116808"/>
    <m/>
    <m/>
    <m/>
    <m/>
    <m/>
    <m/>
    <m/>
    <m/>
    <m/>
  </r>
  <r>
    <x v="1"/>
    <x v="10"/>
    <x v="24"/>
    <m/>
    <m/>
    <m/>
    <m/>
    <m/>
    <m/>
    <m/>
    <m/>
    <m/>
    <m/>
    <m/>
    <m/>
    <m/>
    <m/>
    <m/>
    <m/>
    <m/>
    <m/>
  </r>
  <r>
    <x v="22"/>
    <x v="125"/>
    <x v="548"/>
    <n v="114465"/>
    <n v="74057"/>
    <m/>
    <n v="188522"/>
    <n v="176812"/>
    <n v="188384"/>
    <m/>
    <n v="365196"/>
    <n v="176674"/>
    <m/>
    <m/>
    <m/>
    <m/>
    <m/>
    <m/>
    <m/>
    <m/>
    <m/>
  </r>
  <r>
    <x v="22"/>
    <x v="126"/>
    <x v="549"/>
    <n v="21593"/>
    <n v="34532"/>
    <n v="600"/>
    <n v="56725"/>
    <n v="32283"/>
    <n v="33989"/>
    <m/>
    <n v="66272"/>
    <n v="9547"/>
    <m/>
    <m/>
    <m/>
    <m/>
    <m/>
    <m/>
    <m/>
    <m/>
    <m/>
  </r>
  <r>
    <x v="22"/>
    <x v="127"/>
    <x v="550"/>
    <n v="48210"/>
    <n v="43740"/>
    <m/>
    <n v="91950"/>
    <n v="45877"/>
    <n v="43864"/>
    <m/>
    <n v="89741"/>
    <n v="-2209"/>
    <m/>
    <m/>
    <m/>
    <m/>
    <m/>
    <m/>
    <m/>
    <m/>
    <m/>
  </r>
  <r>
    <x v="22"/>
    <x v="128"/>
    <x v="551"/>
    <m/>
    <m/>
    <m/>
    <n v="0"/>
    <m/>
    <n v="2190"/>
    <m/>
    <n v="2190"/>
    <n v="2190"/>
    <m/>
    <m/>
    <m/>
    <m/>
    <m/>
    <m/>
    <m/>
    <m/>
    <m/>
  </r>
  <r>
    <x v="22"/>
    <x v="129"/>
    <x v="552"/>
    <m/>
    <m/>
    <m/>
    <m/>
    <m/>
    <n v="3428"/>
    <m/>
    <n v="3428"/>
    <n v="3428"/>
    <m/>
    <m/>
    <m/>
    <m/>
    <m/>
    <m/>
    <m/>
    <m/>
    <m/>
  </r>
  <r>
    <x v="1"/>
    <x v="10"/>
    <x v="24"/>
    <n v="184268"/>
    <n v="152329"/>
    <n v="600"/>
    <n v="337197"/>
    <n v="254972"/>
    <n v="271855"/>
    <n v="0"/>
    <n v="526827"/>
    <n v="189630"/>
    <n v="0"/>
    <n v="0"/>
    <n v="0"/>
    <n v="0"/>
    <n v="0"/>
    <n v="0"/>
    <n v="0"/>
    <n v="0"/>
    <n v="0"/>
  </r>
  <r>
    <x v="23"/>
    <x v="130"/>
    <x v="553"/>
    <n v="87535"/>
    <n v="11881"/>
    <n v="3958"/>
    <n v="103374"/>
    <n v="184680"/>
    <n v="26663"/>
    <m/>
    <n v="211343"/>
    <n v="107969"/>
    <m/>
    <m/>
    <m/>
    <m/>
    <m/>
    <m/>
    <m/>
    <m/>
    <m/>
  </r>
  <r>
    <x v="23"/>
    <x v="130"/>
    <x v="554"/>
    <n v="8874"/>
    <m/>
    <m/>
    <n v="8874"/>
    <m/>
    <m/>
    <m/>
    <n v="0"/>
    <n v="-8874"/>
    <m/>
    <m/>
    <m/>
    <m/>
    <m/>
    <m/>
    <m/>
    <m/>
    <m/>
  </r>
  <r>
    <x v="23"/>
    <x v="130"/>
    <x v="24"/>
    <m/>
    <m/>
    <m/>
    <n v="0"/>
    <m/>
    <m/>
    <m/>
    <n v="0"/>
    <n v="0"/>
    <m/>
    <m/>
    <m/>
    <m/>
    <m/>
    <m/>
    <m/>
    <m/>
    <m/>
  </r>
  <r>
    <x v="23"/>
    <x v="130"/>
    <x v="555"/>
    <m/>
    <m/>
    <m/>
    <n v="0"/>
    <m/>
    <m/>
    <m/>
    <n v="0"/>
    <n v="0"/>
    <m/>
    <m/>
    <m/>
    <m/>
    <m/>
    <n v="66"/>
    <m/>
    <n v="66"/>
    <m/>
  </r>
  <r>
    <x v="23"/>
    <x v="130"/>
    <x v="556"/>
    <m/>
    <m/>
    <m/>
    <n v="0"/>
    <m/>
    <m/>
    <m/>
    <n v="0"/>
    <n v="0"/>
    <m/>
    <m/>
    <m/>
    <m/>
    <m/>
    <n v="10755"/>
    <m/>
    <n v="10755"/>
    <m/>
  </r>
  <r>
    <x v="23"/>
    <x v="130"/>
    <x v="557"/>
    <m/>
    <m/>
    <m/>
    <n v="0"/>
    <m/>
    <m/>
    <m/>
    <n v="0"/>
    <n v="0"/>
    <m/>
    <m/>
    <m/>
    <m/>
    <m/>
    <n v="42491"/>
    <m/>
    <n v="42491"/>
    <m/>
  </r>
  <r>
    <x v="23"/>
    <x v="130"/>
    <x v="558"/>
    <m/>
    <m/>
    <m/>
    <n v="0"/>
    <m/>
    <m/>
    <m/>
    <n v="0"/>
    <n v="0"/>
    <m/>
    <m/>
    <m/>
    <m/>
    <m/>
    <n v="89"/>
    <m/>
    <n v="89"/>
    <m/>
  </r>
  <r>
    <x v="1"/>
    <x v="10"/>
    <x v="24"/>
    <m/>
    <m/>
    <m/>
    <m/>
    <m/>
    <m/>
    <m/>
    <m/>
    <m/>
    <m/>
    <m/>
    <m/>
    <m/>
    <m/>
    <m/>
    <m/>
    <m/>
    <m/>
  </r>
  <r>
    <x v="1"/>
    <x v="10"/>
    <x v="24"/>
    <n v="96409"/>
    <n v="11881"/>
    <n v="3958"/>
    <n v="112248"/>
    <n v="184680"/>
    <n v="26663"/>
    <n v="0"/>
    <n v="211343"/>
    <n v="99095"/>
    <n v="0"/>
    <n v="0"/>
    <n v="0"/>
    <n v="0"/>
    <n v="0"/>
    <n v="53401"/>
    <n v="0"/>
    <n v="53401"/>
    <n v="0"/>
  </r>
  <r>
    <x v="24"/>
    <x v="131"/>
    <x v="559"/>
    <m/>
    <n v="338047"/>
    <m/>
    <n v="338047"/>
    <m/>
    <n v="232000"/>
    <m/>
    <n v="232000"/>
    <n v="-106047"/>
    <m/>
    <m/>
    <m/>
    <m/>
    <m/>
    <m/>
    <m/>
    <m/>
    <m/>
  </r>
  <r>
    <x v="1"/>
    <x v="10"/>
    <x v="560"/>
    <m/>
    <m/>
    <m/>
    <m/>
    <m/>
    <m/>
    <m/>
    <m/>
    <n v="0"/>
    <m/>
    <m/>
    <m/>
    <m/>
    <m/>
    <m/>
    <m/>
    <m/>
    <m/>
  </r>
  <r>
    <x v="25"/>
    <x v="132"/>
    <x v="561"/>
    <n v="400387"/>
    <n v="166753"/>
    <m/>
    <n v="567140"/>
    <m/>
    <m/>
    <m/>
    <n v="0"/>
    <n v="-567140"/>
    <n v="828696"/>
    <m/>
    <m/>
    <m/>
    <m/>
    <m/>
    <m/>
    <m/>
    <m/>
  </r>
  <r>
    <x v="25"/>
    <x v="133"/>
    <x v="562"/>
    <n v="119293"/>
    <n v="148466"/>
    <m/>
    <n v="267759"/>
    <n v="112252"/>
    <n v="158185"/>
    <m/>
    <n v="270437"/>
    <n v="2678"/>
    <m/>
    <m/>
    <m/>
    <m/>
    <m/>
    <m/>
    <m/>
    <m/>
    <m/>
  </r>
  <r>
    <x v="25"/>
    <x v="133"/>
    <x v="563"/>
    <m/>
    <m/>
    <m/>
    <m/>
    <m/>
    <m/>
    <m/>
    <m/>
    <m/>
    <m/>
    <m/>
    <n v="15300"/>
    <m/>
    <m/>
    <m/>
    <m/>
    <m/>
    <m/>
  </r>
  <r>
    <x v="25"/>
    <x v="133"/>
    <x v="564"/>
    <n v="19434"/>
    <n v="7970"/>
    <m/>
    <n v="27404"/>
    <n v="22375"/>
    <n v="5795"/>
    <m/>
    <n v="28170"/>
    <n v="766"/>
    <m/>
    <m/>
    <m/>
    <m/>
    <m/>
    <m/>
    <m/>
    <m/>
    <m/>
  </r>
  <r>
    <x v="25"/>
    <x v="134"/>
    <x v="565"/>
    <n v="83454"/>
    <n v="13134"/>
    <n v="599"/>
    <n v="97187"/>
    <m/>
    <n v="150"/>
    <m/>
    <n v="150"/>
    <n v="-97037"/>
    <m/>
    <m/>
    <m/>
    <m/>
    <m/>
    <n v="95177"/>
    <m/>
    <n v="95177"/>
    <m/>
  </r>
  <r>
    <x v="25"/>
    <x v="134"/>
    <x v="566"/>
    <n v="27187"/>
    <n v="5942"/>
    <n v="4228"/>
    <n v="37357"/>
    <m/>
    <m/>
    <m/>
    <n v="0"/>
    <n v="-37357"/>
    <m/>
    <m/>
    <m/>
    <m/>
    <m/>
    <n v="67018"/>
    <m/>
    <n v="67018"/>
    <m/>
  </r>
  <r>
    <x v="25"/>
    <x v="135"/>
    <x v="567"/>
    <n v="264546"/>
    <n v="79815"/>
    <n v="1350"/>
    <n v="345711"/>
    <n v="294965"/>
    <n v="80781"/>
    <m/>
    <n v="375746"/>
    <n v="30035"/>
    <n v="6360"/>
    <m/>
    <m/>
    <m/>
    <m/>
    <m/>
    <m/>
    <m/>
    <m/>
  </r>
  <r>
    <x v="25"/>
    <x v="135"/>
    <x v="568"/>
    <m/>
    <n v="9000"/>
    <m/>
    <n v="9000"/>
    <m/>
    <m/>
    <m/>
    <n v="0"/>
    <n v="-9000"/>
    <m/>
    <m/>
    <m/>
    <m/>
    <m/>
    <m/>
    <m/>
    <m/>
    <m/>
  </r>
  <r>
    <x v="25"/>
    <x v="135"/>
    <x v="569"/>
    <m/>
    <m/>
    <m/>
    <n v="0"/>
    <m/>
    <m/>
    <m/>
    <n v="0"/>
    <n v="0"/>
    <m/>
    <n v="13000"/>
    <m/>
    <m/>
    <m/>
    <m/>
    <m/>
    <m/>
    <m/>
  </r>
  <r>
    <x v="25"/>
    <x v="136"/>
    <x v="570"/>
    <n v="195868"/>
    <n v="62795"/>
    <n v="4520"/>
    <n v="263183"/>
    <n v="203034"/>
    <n v="78707"/>
    <m/>
    <n v="281741"/>
    <n v="18558"/>
    <m/>
    <m/>
    <m/>
    <m/>
    <m/>
    <m/>
    <m/>
    <m/>
    <m/>
  </r>
  <r>
    <x v="25"/>
    <x v="136"/>
    <x v="571"/>
    <m/>
    <n v="4000"/>
    <m/>
    <n v="4000"/>
    <m/>
    <m/>
    <m/>
    <n v="0"/>
    <n v="-4000"/>
    <m/>
    <m/>
    <m/>
    <m/>
    <m/>
    <m/>
    <m/>
    <m/>
    <m/>
  </r>
  <r>
    <x v="25"/>
    <x v="136"/>
    <x v="572"/>
    <m/>
    <n v="2000"/>
    <m/>
    <n v="2000"/>
    <m/>
    <m/>
    <m/>
    <n v="0"/>
    <n v="-2000"/>
    <m/>
    <m/>
    <m/>
    <m/>
    <m/>
    <m/>
    <m/>
    <m/>
    <m/>
  </r>
  <r>
    <x v="25"/>
    <x v="136"/>
    <x v="573"/>
    <m/>
    <n v="10000"/>
    <m/>
    <n v="10000"/>
    <m/>
    <m/>
    <m/>
    <n v="0"/>
    <n v="-10000"/>
    <m/>
    <m/>
    <m/>
    <m/>
    <m/>
    <m/>
    <m/>
    <m/>
    <m/>
  </r>
  <r>
    <x v="25"/>
    <x v="136"/>
    <x v="574"/>
    <m/>
    <m/>
    <m/>
    <n v="0"/>
    <m/>
    <m/>
    <m/>
    <n v="0"/>
    <n v="0"/>
    <m/>
    <m/>
    <m/>
    <m/>
    <n v="25000"/>
    <m/>
    <m/>
    <m/>
    <m/>
  </r>
  <r>
    <x v="25"/>
    <x v="136"/>
    <x v="575"/>
    <m/>
    <m/>
    <m/>
    <n v="0"/>
    <m/>
    <m/>
    <m/>
    <n v="0"/>
    <n v="0"/>
    <m/>
    <m/>
    <m/>
    <m/>
    <n v="12000"/>
    <m/>
    <m/>
    <m/>
    <m/>
  </r>
  <r>
    <x v="25"/>
    <x v="136"/>
    <x v="576"/>
    <m/>
    <m/>
    <m/>
    <m/>
    <m/>
    <m/>
    <m/>
    <m/>
    <m/>
    <m/>
    <m/>
    <m/>
    <m/>
    <m/>
    <n v="10000"/>
    <n v="10000"/>
    <m/>
    <m/>
  </r>
  <r>
    <x v="25"/>
    <x v="136"/>
    <x v="577"/>
    <m/>
    <m/>
    <m/>
    <n v="0"/>
    <m/>
    <m/>
    <m/>
    <n v="0"/>
    <n v="0"/>
    <m/>
    <n v="4000"/>
    <m/>
    <m/>
    <m/>
    <m/>
    <m/>
    <m/>
    <m/>
  </r>
  <r>
    <x v="25"/>
    <x v="137"/>
    <x v="578"/>
    <n v="143532"/>
    <n v="68695"/>
    <m/>
    <n v="212227"/>
    <n v="158594"/>
    <n v="72924"/>
    <m/>
    <n v="231518"/>
    <n v="19291"/>
    <m/>
    <m/>
    <m/>
    <m/>
    <m/>
    <m/>
    <m/>
    <m/>
    <m/>
  </r>
  <r>
    <x v="25"/>
    <x v="137"/>
    <x v="465"/>
    <m/>
    <m/>
    <m/>
    <n v="0"/>
    <m/>
    <m/>
    <m/>
    <n v="0"/>
    <n v="0"/>
    <m/>
    <n v="6000"/>
    <m/>
    <m/>
    <m/>
    <m/>
    <m/>
    <m/>
    <m/>
  </r>
  <r>
    <x v="25"/>
    <x v="138"/>
    <x v="579"/>
    <m/>
    <m/>
    <m/>
    <n v="0"/>
    <m/>
    <m/>
    <m/>
    <n v="0"/>
    <n v="0"/>
    <n v="675144"/>
    <m/>
    <m/>
    <m/>
    <m/>
    <m/>
    <m/>
    <m/>
    <m/>
  </r>
  <r>
    <x v="25"/>
    <x v="139"/>
    <x v="580"/>
    <m/>
    <n v="128950"/>
    <m/>
    <n v="128950"/>
    <m/>
    <n v="245450"/>
    <m/>
    <n v="245450"/>
    <n v="116500"/>
    <m/>
    <m/>
    <m/>
    <m/>
    <m/>
    <m/>
    <m/>
    <m/>
    <m/>
  </r>
  <r>
    <x v="25"/>
    <x v="139"/>
    <x v="581"/>
    <m/>
    <n v="51453"/>
    <m/>
    <n v="51453"/>
    <m/>
    <n v="114100"/>
    <m/>
    <n v="114100"/>
    <n v="62647"/>
    <m/>
    <m/>
    <m/>
    <m/>
    <m/>
    <m/>
    <m/>
    <m/>
    <m/>
  </r>
  <r>
    <x v="25"/>
    <x v="139"/>
    <x v="582"/>
    <m/>
    <n v="19492"/>
    <m/>
    <n v="19492"/>
    <m/>
    <n v="19492"/>
    <m/>
    <n v="19492"/>
    <n v="0"/>
    <m/>
    <m/>
    <m/>
    <m/>
    <m/>
    <m/>
    <m/>
    <m/>
    <m/>
  </r>
  <r>
    <x v="25"/>
    <x v="139"/>
    <x v="583"/>
    <m/>
    <n v="289460"/>
    <m/>
    <n v="289460"/>
    <m/>
    <n v="370000"/>
    <m/>
    <n v="370000"/>
    <n v="80540"/>
    <m/>
    <m/>
    <m/>
    <m/>
    <m/>
    <m/>
    <m/>
    <m/>
    <m/>
  </r>
  <r>
    <x v="25"/>
    <x v="139"/>
    <x v="584"/>
    <m/>
    <n v="416104"/>
    <m/>
    <n v="416104"/>
    <m/>
    <n v="466103"/>
    <m/>
    <n v="466103"/>
    <n v="49999"/>
    <m/>
    <m/>
    <m/>
    <m/>
    <m/>
    <m/>
    <m/>
    <m/>
    <m/>
  </r>
  <r>
    <x v="25"/>
    <x v="139"/>
    <x v="585"/>
    <m/>
    <n v="338250"/>
    <m/>
    <n v="338250"/>
    <m/>
    <n v="350000"/>
    <m/>
    <n v="350000"/>
    <n v="11750"/>
    <m/>
    <m/>
    <m/>
    <m/>
    <m/>
    <m/>
    <m/>
    <m/>
    <m/>
  </r>
  <r>
    <x v="25"/>
    <x v="140"/>
    <x v="586"/>
    <n v="241905"/>
    <n v="19713"/>
    <n v="1350"/>
    <n v="262968"/>
    <n v="295781"/>
    <n v="19100"/>
    <n v="9200"/>
    <n v="324081"/>
    <n v="61113"/>
    <m/>
    <m/>
    <m/>
    <m/>
    <m/>
    <m/>
    <m/>
    <m/>
    <m/>
  </r>
  <r>
    <x v="25"/>
    <x v="141"/>
    <x v="587"/>
    <n v="510261"/>
    <n v="50650"/>
    <n v="5437"/>
    <n v="566348"/>
    <n v="567176"/>
    <n v="45328"/>
    <n v="8237"/>
    <n v="620741"/>
    <n v="54393"/>
    <m/>
    <m/>
    <m/>
    <m/>
    <m/>
    <m/>
    <m/>
    <m/>
    <m/>
  </r>
  <r>
    <x v="25"/>
    <x v="141"/>
    <x v="588"/>
    <n v="17060"/>
    <m/>
    <m/>
    <m/>
    <m/>
    <m/>
    <m/>
    <n v="0"/>
    <n v="0"/>
    <n v="38640"/>
    <m/>
    <m/>
    <m/>
    <m/>
    <m/>
    <m/>
    <m/>
    <m/>
  </r>
  <r>
    <x v="25"/>
    <x v="141"/>
    <x v="589"/>
    <n v="12112"/>
    <n v="10540"/>
    <m/>
    <n v="22652"/>
    <m/>
    <m/>
    <m/>
    <n v="0"/>
    <n v="-22652"/>
    <m/>
    <m/>
    <m/>
    <m/>
    <m/>
    <n v="30000"/>
    <m/>
    <n v="30000"/>
    <m/>
  </r>
  <r>
    <x v="25"/>
    <x v="141"/>
    <x v="590"/>
    <n v="14599"/>
    <n v="241"/>
    <m/>
    <n v="14840"/>
    <m/>
    <m/>
    <m/>
    <n v="0"/>
    <n v="-14840"/>
    <n v="15632"/>
    <m/>
    <m/>
    <m/>
    <m/>
    <m/>
    <m/>
    <m/>
    <m/>
  </r>
  <r>
    <x v="1"/>
    <x v="10"/>
    <x v="24"/>
    <n v="2049638"/>
    <n v="1903423"/>
    <n v="17484"/>
    <e v="#REF!"/>
    <n v="1654177"/>
    <n v="2026115"/>
    <n v="17437"/>
    <n v="3697729"/>
    <n v="-255756"/>
    <n v="1564472"/>
    <n v="23000"/>
    <n v="15300"/>
    <n v="0"/>
    <n v="37000"/>
    <n v="202195"/>
    <n v="10000"/>
    <n v="192195"/>
    <n v="0"/>
  </r>
  <r>
    <x v="26"/>
    <x v="142"/>
    <x v="591"/>
    <n v="70000"/>
    <m/>
    <m/>
    <n v="70000"/>
    <m/>
    <n v="70000"/>
    <m/>
    <n v="70000"/>
    <n v="0"/>
    <m/>
    <m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2" cacheId="0" applyNumberFormats="0" applyBorderFormats="0" applyFontFormats="0" applyPatternFormats="0" applyAlignmentFormats="0" applyWidthHeightFormats="1" dataCaption="Values" updatedVersion="8" itemPrintTitles="1" createdVersion="7" indent="0" outline="1" outlineData="1">
  <location ref="A3:P174" firstHeaderRow="0" firstDataRow="1" firstDataCol="1"/>
  <pivotFields count="22">
    <pivotField axis="axisRow" showAll="0">
      <items count="55">
        <item x="18"/>
        <item x="8"/>
        <item m="1" x="35"/>
        <item m="1" x="37"/>
        <item m="1" x="53"/>
        <item m="1" x="38"/>
        <item x="7"/>
        <item m="1" x="51"/>
        <item x="15"/>
        <item m="1" x="36"/>
        <item m="1" x="43"/>
        <item x="19"/>
        <item m="1" x="27"/>
        <item m="1" x="28"/>
        <item m="1" x="29"/>
        <item x="4"/>
        <item m="1" x="34"/>
        <item m="1" x="42"/>
        <item m="1" x="31"/>
        <item m="1" x="46"/>
        <item m="1" x="45"/>
        <item x="11"/>
        <item m="1" x="33"/>
        <item m="1" x="30"/>
        <item x="5"/>
        <item x="0"/>
        <item m="1" x="41"/>
        <item x="17"/>
        <item m="1" x="48"/>
        <item m="1" x="44"/>
        <item m="1" x="52"/>
        <item x="6"/>
        <item m="1" x="47"/>
        <item x="13"/>
        <item x="16"/>
        <item x="12"/>
        <item x="9"/>
        <item x="14"/>
        <item m="1" x="49"/>
        <item x="10"/>
        <item m="1" x="32"/>
        <item m="1" x="39"/>
        <item m="1" x="40"/>
        <item x="1"/>
        <item x="2"/>
        <item x="3"/>
        <item m="1" x="50"/>
        <item x="21"/>
        <item x="22"/>
        <item x="23"/>
        <item x="24"/>
        <item x="25"/>
        <item x="26"/>
        <item x="20"/>
        <item t="default"/>
      </items>
    </pivotField>
    <pivotField axis="axisRow" showAll="0" sortType="descending">
      <items count="153">
        <item sd="0" x="0"/>
        <item sd="0" x="8"/>
        <item sd="0" x="6"/>
        <item sd="0" x="1"/>
        <item sd="0" x="4"/>
        <item sd="0" x="5"/>
        <item sd="0" x="7"/>
        <item sd="0" x="3"/>
        <item sd="0" x="2"/>
        <item sd="0" x="9"/>
        <item sd="0" x="10"/>
        <item sd="0" x="11"/>
        <item sd="0" x="12"/>
        <item sd="0" x="13"/>
        <item sd="0" x="14"/>
        <item sd="0" x="15"/>
        <item sd="0" x="16"/>
        <item sd="0" x="17"/>
        <item sd="0" x="18"/>
        <item sd="0" x="19"/>
        <item sd="0" x="20"/>
        <item sd="0" x="21"/>
        <item sd="0" x="22"/>
        <item sd="0" x="23"/>
        <item sd="0" x="24"/>
        <item sd="0" x="25"/>
        <item sd="0" x="26"/>
        <item sd="0" x="27"/>
        <item sd="0" x="28"/>
        <item sd="0" x="29"/>
        <item sd="0" x="30"/>
        <item sd="0" x="31"/>
        <item sd="0" x="32"/>
        <item sd="0" x="33"/>
        <item sd="0" x="34"/>
        <item sd="0" x="35"/>
        <item sd="0" x="36"/>
        <item sd="0" x="37"/>
        <item sd="0" x="38"/>
        <item sd="0" x="39"/>
        <item sd="0" x="40"/>
        <item sd="0" x="41"/>
        <item sd="0" m="1" x="145"/>
        <item sd="0" x="43"/>
        <item sd="0" x="44"/>
        <item sd="0" m="1" x="146"/>
        <item sd="0" m="1" x="144"/>
        <item sd="0" m="1" x="143"/>
        <item sd="0" m="1" x="147"/>
        <item sd="0" x="49"/>
        <item sd="0" x="52"/>
        <item sd="0" x="42"/>
        <item sd="0" x="45"/>
        <item sd="0" x="46"/>
        <item sd="0" x="47"/>
        <item sd="0" x="48"/>
        <item sd="0" x="50"/>
        <item sd="0" x="51"/>
        <item sd="0" x="53"/>
        <item sd="0" x="54"/>
        <item sd="0" x="55"/>
        <item sd="0" x="56"/>
        <item sd="0" x="57"/>
        <item sd="0" x="58"/>
        <item sd="0" x="59"/>
        <item sd="0" x="60"/>
        <item sd="0" x="61"/>
        <item sd="0" x="62"/>
        <item sd="0" x="63"/>
        <item sd="0" x="64"/>
        <item sd="0" x="65"/>
        <item sd="0" x="66"/>
        <item sd="0" x="67"/>
        <item sd="0" x="68"/>
        <item sd="0" x="69"/>
        <item sd="0" x="70"/>
        <item sd="0" x="71"/>
        <item sd="0" x="72"/>
        <item sd="0" x="73"/>
        <item sd="0" x="74"/>
        <item sd="0" x="75"/>
        <item sd="0" x="76"/>
        <item sd="0" x="77"/>
        <item sd="0" x="78"/>
        <item sd="0" x="79"/>
        <item sd="0" x="80"/>
        <item sd="0" x="81"/>
        <item sd="0" x="82"/>
        <item sd="0" x="83"/>
        <item sd="0" x="84"/>
        <item sd="0" x="85"/>
        <item sd="0" x="86"/>
        <item sd="0" x="87"/>
        <item sd="0" x="88"/>
        <item sd="0" x="89"/>
        <item sd="0" x="90"/>
        <item sd="0" x="91"/>
        <item sd="0" x="92"/>
        <item sd="0" x="93"/>
        <item sd="0" x="94"/>
        <item sd="0" x="95"/>
        <item sd="0" x="96"/>
        <item sd="0" x="97"/>
        <item sd="0" x="98"/>
        <item sd="0" x="99"/>
        <item sd="0" x="100"/>
        <item sd="0" x="101"/>
        <item sd="0" x="102"/>
        <item sd="0" x="103"/>
        <item sd="0" x="104"/>
        <item sd="0" x="105"/>
        <item sd="0" x="106"/>
        <item sd="0" x="107"/>
        <item sd="0" x="108"/>
        <item sd="0" x="109"/>
        <item sd="0" x="110"/>
        <item sd="0" x="111"/>
        <item sd="0" x="112"/>
        <item sd="0" x="113"/>
        <item sd="0" x="114"/>
        <item sd="0" x="115"/>
        <item sd="0" x="116"/>
        <item sd="0" x="117"/>
        <item sd="0" x="118"/>
        <item sd="0" x="119"/>
        <item sd="0" x="120"/>
        <item sd="0" x="121"/>
        <item sd="0" x="122"/>
        <item sd="0" x="123"/>
        <item sd="0" x="124"/>
        <item sd="0" x="125"/>
        <item sd="0" x="126"/>
        <item sd="0" x="127"/>
        <item sd="0" x="128"/>
        <item sd="0" x="129"/>
        <item sd="0" x="130"/>
        <item sd="0" x="131"/>
        <item sd="0" x="132"/>
        <item sd="0" x="133"/>
        <item sd="0" m="1" x="151"/>
        <item sd="0" m="1" x="148"/>
        <item sd="0" m="1" x="149"/>
        <item sd="0" x="135"/>
        <item sd="0" x="136"/>
        <item sd="0" x="137"/>
        <item sd="0" x="139"/>
        <item sd="0" x="140"/>
        <item sd="0" x="141"/>
        <item sd="0" x="142"/>
        <item sd="0" x="138"/>
        <item sd="0" x="134"/>
        <item sd="0" m="1" x="150"/>
        <item t="default"/>
      </items>
      <autoSortScope>
        <pivotArea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Row" showAll="0">
      <items count="607">
        <item h="1" m="1" x="596"/>
        <item x="436"/>
        <item x="217"/>
        <item x="508"/>
        <item x="526"/>
        <item x="543"/>
        <item x="496"/>
        <item x="528"/>
        <item x="509"/>
        <item x="441"/>
        <item x="563"/>
        <item x="423"/>
        <item x="471"/>
        <item x="507"/>
        <item x="438"/>
        <item x="489"/>
        <item x="0"/>
        <item x="569"/>
        <item x="568"/>
        <item x="522"/>
        <item x="372"/>
        <item x="240"/>
        <item x="402"/>
        <item x="96"/>
        <item x="63"/>
        <item x="301"/>
        <item x="306"/>
        <item x="155"/>
        <item x="98"/>
        <item x="2"/>
        <item x="390"/>
        <item x="272"/>
        <item x="514"/>
        <item x="417"/>
        <item x="579"/>
        <item x="405"/>
        <item x="580"/>
        <item x="581"/>
        <item x="392"/>
        <item m="1" x="597"/>
        <item x="500"/>
        <item x="109"/>
        <item x="330"/>
        <item x="233"/>
        <item m="1" x="600"/>
        <item x="37"/>
        <item x="92"/>
        <item x="138"/>
        <item x="296"/>
        <item x="16"/>
        <item x="66"/>
        <item x="175"/>
        <item x="249"/>
        <item x="230"/>
        <item m="1" x="604"/>
        <item x="257"/>
        <item x="281"/>
        <item x="399"/>
        <item x="340"/>
        <item x="586"/>
        <item x="467"/>
        <item x="446"/>
        <item x="545"/>
        <item x="452"/>
        <item x="129"/>
        <item x="77"/>
        <item x="88"/>
        <item x="167"/>
        <item x="198"/>
        <item x="311"/>
        <item x="582"/>
        <item x="127"/>
        <item x="451"/>
        <item x="26"/>
        <item x="25"/>
        <item x="442"/>
        <item x="534"/>
        <item x="335"/>
        <item x="328"/>
        <item x="14"/>
        <item x="139"/>
        <item x="143"/>
        <item x="141"/>
        <item x="453"/>
        <item x="341"/>
        <item x="497"/>
        <item x="132"/>
        <item x="44"/>
        <item x="41"/>
        <item x="287"/>
        <item x="424"/>
        <item x="17"/>
        <item x="9"/>
        <item x="588"/>
        <item x="448"/>
        <item x="72"/>
        <item x="346"/>
        <item x="136"/>
        <item x="137"/>
        <item x="161"/>
        <item x="540"/>
        <item x="502"/>
        <item x="187"/>
        <item x="260"/>
        <item x="566"/>
        <item x="565"/>
        <item x="239"/>
        <item x="4"/>
        <item x="5"/>
        <item x="589"/>
        <item x="443"/>
        <item x="444"/>
        <item x="445"/>
        <item x="466"/>
        <item x="457"/>
        <item x="53"/>
        <item x="433"/>
        <item x="69"/>
        <item x="291"/>
        <item x="282"/>
        <item x="166"/>
        <item x="12"/>
        <item x="3"/>
        <item x="42"/>
        <item x="114"/>
        <item x="61"/>
        <item x="31"/>
        <item x="170"/>
        <item x="30"/>
        <item x="151"/>
        <item m="1" x="595"/>
        <item x="354"/>
        <item x="356"/>
        <item x="386"/>
        <item x="440"/>
        <item x="546"/>
        <item x="476"/>
        <item x="477"/>
        <item x="426"/>
        <item x="459"/>
        <item x="413"/>
        <item x="575"/>
        <item x="574"/>
        <item x="454"/>
        <item x="332"/>
        <item x="491"/>
        <item x="490"/>
        <item x="432"/>
        <item x="45"/>
        <item x="144"/>
        <item x="264"/>
        <item x="13"/>
        <item x="406"/>
        <item x="376"/>
        <item x="48"/>
        <item x="131"/>
        <item x="64"/>
        <item x="146"/>
        <item x="38"/>
        <item x="370"/>
        <item x="342"/>
        <item x="126"/>
        <item x="336"/>
        <item x="585"/>
        <item x="163"/>
        <item x="165"/>
        <item x="164"/>
        <item x="162"/>
        <item x="145"/>
        <item x="188"/>
        <item x="407"/>
        <item x="410"/>
        <item x="313"/>
        <item x="480"/>
        <item x="429"/>
        <item x="196"/>
        <item x="492"/>
        <item x="87"/>
        <item x="388"/>
        <item x="71"/>
        <item x="461"/>
        <item x="35"/>
        <item x="91"/>
        <item x="29"/>
        <item x="303"/>
        <item x="299"/>
        <item x="305"/>
        <item x="214"/>
        <item x="403"/>
        <item x="147"/>
        <item x="267"/>
        <item x="15"/>
        <item x="488"/>
        <item x="484"/>
        <item x="487"/>
        <item x="89"/>
        <item x="495"/>
        <item x="178"/>
        <item x="52"/>
        <item x="46"/>
        <item x="197"/>
        <item x="57"/>
        <item x="55"/>
        <item x="59"/>
        <item x="58"/>
        <item x="62"/>
        <item x="60"/>
        <item x="67"/>
        <item x="447"/>
        <item x="391"/>
        <item x="300"/>
        <item x="351"/>
        <item x="411"/>
        <item x="553"/>
        <item x="368"/>
        <item x="377"/>
        <item x="532"/>
        <item x="232"/>
        <item x="54"/>
        <item x="140"/>
        <item x="117"/>
        <item x="150"/>
        <item x="152"/>
        <item x="11"/>
        <item m="1" x="593"/>
        <item x="103"/>
        <item x="120"/>
        <item x="224"/>
        <item x="134"/>
        <item x="307"/>
        <item x="255"/>
        <item x="316"/>
        <item x="110"/>
        <item x="381"/>
        <item m="1" x="594"/>
        <item x="349"/>
        <item x="535"/>
        <item x="455"/>
        <item x="22"/>
        <item x="383"/>
        <item x="503"/>
        <item x="517"/>
        <item x="1"/>
        <item x="355"/>
        <item x="379"/>
        <item x="312"/>
        <item x="268"/>
        <item x="7"/>
        <item x="469"/>
        <item x="279"/>
        <item x="331"/>
        <item x="234"/>
        <item x="235"/>
        <item x="21"/>
        <item x="530"/>
        <item x="218"/>
        <item x="237"/>
        <item x="238"/>
        <item x="207"/>
        <item x="363"/>
        <item x="49"/>
        <item x="149"/>
        <item x="404"/>
        <item x="474"/>
        <item x="211"/>
        <item x="212"/>
        <item x="213"/>
        <item x="209"/>
        <item x="81"/>
        <item x="108"/>
        <item m="1" x="602"/>
        <item x="317"/>
        <item x="318"/>
        <item x="206"/>
        <item x="271"/>
        <item x="292"/>
        <item x="573"/>
        <item x="236"/>
        <item x="153"/>
        <item x="385"/>
        <item x="576"/>
        <item x="302"/>
        <item x="215"/>
        <item x="430"/>
        <item x="68"/>
        <item x="159"/>
        <item x="258"/>
        <item x="262"/>
        <item x="486"/>
        <item x="493"/>
        <item x="359"/>
        <item x="519"/>
        <item x="538"/>
        <item x="473"/>
        <item x="485"/>
        <item x="378"/>
        <item x="210"/>
        <item x="228"/>
        <item x="102"/>
        <item x="577"/>
        <item x="171"/>
        <item x="173"/>
        <item x="172"/>
        <item x="169"/>
        <item x="464"/>
        <item x="200"/>
        <item x="375"/>
        <item x="216"/>
        <item x="245"/>
        <item x="253"/>
        <item x="419"/>
        <item x="416"/>
        <item x="512"/>
        <item x="562"/>
        <item x="583"/>
        <item x="128"/>
        <item x="142"/>
        <item x="28"/>
        <item x="278"/>
        <item x="290"/>
        <item x="358"/>
        <item x="241"/>
        <item x="182"/>
        <item x="185"/>
        <item x="564"/>
        <item x="183"/>
        <item x="181"/>
        <item x="184"/>
        <item x="506"/>
        <item x="462"/>
        <item x="193"/>
        <item x="195"/>
        <item x="194"/>
        <item x="192"/>
        <item x="510"/>
        <item x="189"/>
        <item x="168"/>
        <item x="157"/>
        <item x="523"/>
        <item x="18"/>
        <item x="315"/>
        <item x="20"/>
        <item x="285"/>
        <item x="19"/>
        <item x="82"/>
        <item x="80"/>
        <item x="83"/>
        <item x="314"/>
        <item x="555"/>
        <item x="439"/>
        <item x="86"/>
        <item x="39"/>
        <item x="111"/>
        <item m="1" x="603"/>
        <item x="47"/>
        <item x="32"/>
        <item x="344"/>
        <item x="338"/>
        <item x="353"/>
        <item x="191"/>
        <item x="93"/>
        <item x="121"/>
        <item x="408"/>
        <item x="584"/>
        <item x="334"/>
        <item x="65"/>
        <item x="225"/>
        <item x="347"/>
        <item x="294"/>
        <item x="572"/>
        <item x="524"/>
        <item x="456"/>
        <item x="56"/>
        <item x="221"/>
        <item x="222"/>
        <item x="220"/>
        <item x="223"/>
        <item x="339"/>
        <item x="280"/>
        <item x="229"/>
        <item m="1" x="599"/>
        <item x="472"/>
        <item x="518"/>
        <item x="43"/>
        <item x="27"/>
        <item x="261"/>
        <item x="8"/>
        <item x="401"/>
        <item x="394"/>
        <item x="395"/>
        <item x="393"/>
        <item x="275"/>
        <item x="421"/>
        <item x="6"/>
        <item x="179"/>
        <item x="50"/>
        <item x="51"/>
        <item x="554"/>
        <item x="521"/>
        <item x="539"/>
        <item x="415"/>
        <item x="511"/>
        <item x="520"/>
        <item x="414"/>
        <item x="418"/>
        <item x="400"/>
        <item x="412"/>
        <item x="95"/>
        <item x="494"/>
        <item x="450"/>
        <item x="309"/>
        <item x="327"/>
        <item x="382"/>
        <item x="397"/>
        <item x="396"/>
        <item x="398"/>
        <item x="366"/>
        <item x="343"/>
        <item x="449"/>
        <item x="310"/>
        <item x="90"/>
        <item x="70"/>
        <item x="125"/>
        <item x="219"/>
        <item x="365"/>
        <item x="321"/>
        <item x="319"/>
        <item x="208"/>
        <item x="529"/>
        <item x="558"/>
        <item x="243"/>
        <item x="337"/>
        <item x="499"/>
        <item x="478"/>
        <item x="265"/>
        <item x="533"/>
        <item x="266"/>
        <item x="348"/>
        <item x="556"/>
        <item x="557"/>
        <item x="323"/>
        <item x="325"/>
        <item x="547"/>
        <item x="362"/>
        <item x="361"/>
        <item x="324"/>
        <item x="590"/>
        <item x="256"/>
        <item x="320"/>
        <item x="104"/>
        <item x="156"/>
        <item x="501"/>
        <item x="248"/>
        <item x="360"/>
        <item x="409"/>
        <item x="251"/>
        <item x="479"/>
        <item x="498"/>
        <item x="100"/>
        <item x="374"/>
        <item x="94"/>
        <item x="119"/>
        <item x="118"/>
        <item x="107"/>
        <item x="231"/>
        <item x="567"/>
        <item x="570"/>
        <item x="578"/>
        <item x="115"/>
        <item x="116"/>
        <item x="288"/>
        <item x="289"/>
        <item x="286"/>
        <item x="273"/>
        <item x="274"/>
        <item x="298"/>
        <item x="371"/>
        <item x="203"/>
        <item x="205"/>
        <item x="204"/>
        <item x="202"/>
        <item x="513"/>
        <item x="537"/>
        <item x="284"/>
        <item x="559"/>
        <item x="531"/>
        <item x="516"/>
        <item x="465"/>
        <item x="180"/>
        <item x="380"/>
        <item x="133"/>
        <item x="160"/>
        <item x="190"/>
        <item x="329"/>
        <item x="420"/>
        <item x="527"/>
        <item x="504"/>
        <item x="389"/>
        <item x="587"/>
        <item x="561"/>
        <item x="560"/>
        <item m="1" x="605"/>
        <item x="373"/>
        <item x="422"/>
        <item x="428"/>
        <item m="1" x="598"/>
        <item x="525"/>
        <item x="481"/>
        <item x="304"/>
        <item x="483"/>
        <item x="541"/>
        <item x="542"/>
        <item x="458"/>
        <item x="475"/>
        <item x="544"/>
        <item x="99"/>
        <item x="130"/>
        <item x="34"/>
        <item x="252"/>
        <item x="244"/>
        <item x="124"/>
        <item x="345"/>
        <item x="174"/>
        <item x="460"/>
        <item x="437"/>
        <item x="470"/>
        <item x="295"/>
        <item x="435"/>
        <item x="113"/>
        <item x="326"/>
        <item x="308"/>
        <item x="333"/>
        <item x="277"/>
        <item x="263"/>
        <item x="250"/>
        <item x="270"/>
        <item x="78"/>
        <item x="79"/>
        <item x="201"/>
        <item x="177"/>
        <item x="364"/>
        <item x="551"/>
        <item x="552"/>
        <item x="550"/>
        <item x="549"/>
        <item x="548"/>
        <item x="186"/>
        <item x="76"/>
        <item x="40"/>
        <item x="269"/>
        <item x="425"/>
        <item x="505"/>
        <item x="74"/>
        <item x="75"/>
        <item x="254"/>
        <item x="247"/>
        <item x="10"/>
        <item x="84"/>
        <item x="101"/>
        <item x="112"/>
        <item x="297"/>
        <item x="176"/>
        <item x="293"/>
        <item x="97"/>
        <item x="73"/>
        <item x="276"/>
        <item x="259"/>
        <item x="571"/>
        <item x="482"/>
        <item x="199"/>
        <item m="1" x="592"/>
        <item x="283"/>
        <item x="33"/>
        <item x="431"/>
        <item x="367"/>
        <item x="369"/>
        <item x="227"/>
        <item x="352"/>
        <item x="106"/>
        <item x="85"/>
        <item x="122"/>
        <item x="135"/>
        <item x="154"/>
        <item x="148"/>
        <item x="36"/>
        <item x="427"/>
        <item x="357"/>
        <item x="434"/>
        <item x="322"/>
        <item x="384"/>
        <item m="1" x="601"/>
        <item x="350"/>
        <item x="536"/>
        <item x="468"/>
        <item x="23"/>
        <item x="387"/>
        <item x="515"/>
        <item x="246"/>
        <item x="242"/>
        <item x="158"/>
        <item x="463"/>
        <item x="105"/>
        <item x="123"/>
        <item x="226"/>
        <item h="1" x="24"/>
        <item x="591"/>
        <item t="default"/>
      </items>
    </pivotField>
    <pivotField showAll="0"/>
    <pivotField showAll="0"/>
    <pivotField showAll="0"/>
    <pivotField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showAll="0"/>
    <pivotField dataField="1" dragToRow="0" dragToCol="0" dragToPage="0" showAll="0" defaultSubtotal="0"/>
  </pivotFields>
  <rowFields count="3">
    <field x="0"/>
    <field x="1"/>
    <field x="2"/>
  </rowFields>
  <rowItems count="171">
    <i>
      <x/>
    </i>
    <i r="1">
      <x v="73"/>
    </i>
    <i r="1">
      <x v="68"/>
    </i>
    <i r="1">
      <x v="75"/>
    </i>
    <i r="1">
      <x v="72"/>
    </i>
    <i r="1">
      <x v="67"/>
    </i>
    <i r="1">
      <x v="77"/>
    </i>
    <i r="1">
      <x v="76"/>
    </i>
    <i r="1">
      <x v="80"/>
    </i>
    <i r="1">
      <x v="85"/>
    </i>
    <i r="1">
      <x v="70"/>
    </i>
    <i r="1">
      <x v="69"/>
    </i>
    <i r="1">
      <x v="74"/>
    </i>
    <i r="1">
      <x v="90"/>
    </i>
    <i r="1">
      <x v="81"/>
    </i>
    <i r="1">
      <x v="71"/>
    </i>
    <i r="1">
      <x v="79"/>
    </i>
    <i r="1">
      <x v="87"/>
    </i>
    <i r="1">
      <x v="86"/>
    </i>
    <i r="1">
      <x v="88"/>
    </i>
    <i r="1">
      <x v="99"/>
    </i>
    <i r="1">
      <x v="91"/>
    </i>
    <i r="1">
      <x v="98"/>
    </i>
    <i r="1">
      <x v="93"/>
    </i>
    <i r="1">
      <x v="95"/>
    </i>
    <i r="1">
      <x v="89"/>
    </i>
    <i r="1">
      <x v="94"/>
    </i>
    <i r="1">
      <x v="78"/>
    </i>
    <i r="1">
      <x v="96"/>
    </i>
    <i r="1">
      <x v="97"/>
    </i>
    <i r="1">
      <x v="84"/>
    </i>
    <i r="1">
      <x v="92"/>
    </i>
    <i r="1">
      <x v="82"/>
    </i>
    <i r="1">
      <x v="83"/>
    </i>
    <i>
      <x v="1"/>
    </i>
    <i r="1">
      <x v="54"/>
    </i>
    <i r="1">
      <x v="44"/>
    </i>
    <i r="1">
      <x v="51"/>
    </i>
    <i r="1">
      <x v="43"/>
    </i>
    <i r="1">
      <x v="55"/>
    </i>
    <i r="1">
      <x v="53"/>
    </i>
    <i r="1">
      <x v="52"/>
    </i>
    <i>
      <x v="6"/>
    </i>
    <i r="1">
      <x v="39"/>
    </i>
    <i r="1">
      <x v="37"/>
    </i>
    <i r="1">
      <x v="41"/>
    </i>
    <i r="1">
      <x v="40"/>
    </i>
    <i r="1">
      <x v="38"/>
    </i>
    <i>
      <x v="8"/>
    </i>
    <i r="1">
      <x v="60"/>
    </i>
    <i r="1">
      <x v="62"/>
    </i>
    <i r="1">
      <x v="61"/>
    </i>
    <i>
      <x v="11"/>
    </i>
    <i r="1">
      <x v="102"/>
    </i>
    <i r="1">
      <x v="101"/>
    </i>
    <i r="1">
      <x v="100"/>
    </i>
    <i r="1">
      <x v="111"/>
    </i>
    <i r="1">
      <x v="108"/>
    </i>
    <i r="1">
      <x v="110"/>
    </i>
    <i r="1">
      <x v="106"/>
    </i>
    <i r="1">
      <x v="103"/>
    </i>
    <i r="1">
      <x v="107"/>
    </i>
    <i r="1">
      <x v="109"/>
    </i>
    <i r="1">
      <x v="105"/>
    </i>
    <i r="1">
      <x v="104"/>
    </i>
    <i>
      <x v="15"/>
    </i>
    <i r="1">
      <x v="34"/>
    </i>
    <i>
      <x v="21"/>
    </i>
    <i r="1">
      <x v="57"/>
    </i>
    <i>
      <x v="24"/>
    </i>
    <i r="1">
      <x v="35"/>
    </i>
    <i>
      <x v="25"/>
    </i>
    <i r="1">
      <x v="5"/>
    </i>
    <i r="1">
      <x/>
    </i>
    <i r="1">
      <x v="3"/>
    </i>
    <i r="1">
      <x v="9"/>
    </i>
    <i r="1">
      <x v="6"/>
    </i>
    <i r="1">
      <x v="1"/>
    </i>
    <i r="1">
      <x v="7"/>
    </i>
    <i r="1">
      <x v="2"/>
    </i>
    <i r="1">
      <x v="8"/>
    </i>
    <i r="1">
      <x v="4"/>
    </i>
    <i>
      <x v="27"/>
    </i>
    <i r="1">
      <x v="66"/>
    </i>
    <i>
      <x v="31"/>
    </i>
    <i r="1">
      <x v="36"/>
    </i>
    <i>
      <x v="33"/>
    </i>
    <i r="1">
      <x v="58"/>
    </i>
    <i>
      <x v="34"/>
    </i>
    <i r="1">
      <x v="63"/>
    </i>
    <i r="1">
      <x v="64"/>
    </i>
    <i r="1">
      <x v="65"/>
    </i>
    <i>
      <x v="35"/>
    </i>
    <i r="1">
      <x v="50"/>
    </i>
    <i>
      <x v="36"/>
    </i>
    <i r="1">
      <x v="49"/>
    </i>
    <i>
      <x v="37"/>
    </i>
    <i r="1">
      <x v="59"/>
    </i>
    <i>
      <x v="39"/>
    </i>
    <i r="1">
      <x v="56"/>
    </i>
    <i>
      <x v="43"/>
    </i>
    <i r="1">
      <x v="10"/>
    </i>
    <i>
      <x v="44"/>
    </i>
    <i r="1">
      <x v="12"/>
    </i>
    <i r="1">
      <x v="11"/>
    </i>
    <i>
      <x v="45"/>
    </i>
    <i r="1">
      <x v="28"/>
    </i>
    <i r="1">
      <x v="23"/>
    </i>
    <i r="1">
      <x v="29"/>
    </i>
    <i r="1">
      <x v="19"/>
    </i>
    <i r="1">
      <x v="15"/>
    </i>
    <i r="1">
      <x v="22"/>
    </i>
    <i r="1">
      <x v="30"/>
    </i>
    <i r="1">
      <x v="31"/>
    </i>
    <i r="1">
      <x v="17"/>
    </i>
    <i r="1">
      <x v="21"/>
    </i>
    <i r="1">
      <x v="16"/>
    </i>
    <i r="1">
      <x v="25"/>
    </i>
    <i r="1">
      <x v="26"/>
    </i>
    <i r="1">
      <x v="27"/>
    </i>
    <i r="1">
      <x v="18"/>
    </i>
    <i r="1">
      <x v="33"/>
    </i>
    <i r="1">
      <x v="14"/>
    </i>
    <i r="1">
      <x v="32"/>
    </i>
    <i r="1">
      <x v="20"/>
    </i>
    <i r="1">
      <x v="13"/>
    </i>
    <i r="1">
      <x v="24"/>
    </i>
    <i>
      <x v="47"/>
    </i>
    <i r="1">
      <x v="128"/>
    </i>
    <i r="1">
      <x v="124"/>
    </i>
    <i r="1">
      <x v="129"/>
    </i>
    <i r="1">
      <x v="126"/>
    </i>
    <i r="1">
      <x v="125"/>
    </i>
    <i r="1">
      <x v="127"/>
    </i>
    <i>
      <x v="48"/>
    </i>
    <i r="1">
      <x v="130"/>
    </i>
    <i r="1">
      <x v="132"/>
    </i>
    <i r="1">
      <x v="131"/>
    </i>
    <i r="1">
      <x v="134"/>
    </i>
    <i r="1">
      <x v="133"/>
    </i>
    <i>
      <x v="49"/>
    </i>
    <i r="1">
      <x v="135"/>
    </i>
    <i>
      <x v="50"/>
    </i>
    <i r="1">
      <x v="136"/>
    </i>
    <i>
      <x v="51"/>
    </i>
    <i r="1">
      <x v="145"/>
    </i>
    <i r="1">
      <x v="137"/>
    </i>
    <i r="1">
      <x v="147"/>
    </i>
    <i r="1">
      <x v="149"/>
    </i>
    <i r="1">
      <x v="142"/>
    </i>
    <i r="1">
      <x v="146"/>
    </i>
    <i r="1">
      <x v="138"/>
    </i>
    <i r="1">
      <x v="143"/>
    </i>
    <i r="1">
      <x v="144"/>
    </i>
    <i r="1">
      <x v="150"/>
    </i>
    <i>
      <x v="52"/>
    </i>
    <i r="1">
      <x v="148"/>
    </i>
    <i>
      <x v="53"/>
    </i>
    <i r="1">
      <x v="114"/>
    </i>
    <i r="1">
      <x v="112"/>
    </i>
    <i r="1">
      <x v="119"/>
    </i>
    <i r="1">
      <x v="123"/>
    </i>
    <i r="1">
      <x v="117"/>
    </i>
    <i r="1">
      <x v="121"/>
    </i>
    <i r="1">
      <x v="113"/>
    </i>
    <i r="1">
      <x v="116"/>
    </i>
    <i r="1">
      <x v="120"/>
    </i>
    <i r="1">
      <x v="118"/>
    </i>
    <i r="1">
      <x v="122"/>
    </i>
    <i r="1">
      <x v="115"/>
    </i>
    <i t="grand">
      <x/>
    </i>
  </rowItems>
  <colFields count="1">
    <field x="-2"/>
  </colFields>
  <colItems count="15">
    <i>
      <x/>
    </i>
    <i i="1">
      <x v="1"/>
    </i>
    <i i="2">
      <x v="2"/>
    </i>
    <i i="3">
      <x v="3"/>
    </i>
    <i i="4">
      <x v="4"/>
    </i>
    <i i="5">
      <x v="5"/>
    </i>
    <i i="6">
      <x v="6"/>
    </i>
    <i i="7">
      <x v="7"/>
    </i>
    <i i="8">
      <x v="8"/>
    </i>
    <i i="9">
      <x v="9"/>
    </i>
    <i i="10">
      <x v="10"/>
    </i>
    <i i="11">
      <x v="11"/>
    </i>
    <i i="12">
      <x v="12"/>
    </i>
    <i i="13">
      <x v="13"/>
    </i>
    <i i="14">
      <x v="14"/>
    </i>
  </colItems>
  <dataFields count="15">
    <dataField name=" viss kopā" fld="21" baseField="0" baseItem="0"/>
    <dataField name=" Atlīdzība bāze" fld="7" baseField="0" baseItem="0"/>
    <dataField name=" Pārējie bāze" fld="8" baseField="0" baseItem="0"/>
    <dataField name=" P/līdz. Bāze" fld="9" baseField="0" baseItem="0"/>
    <dataField name=" Kopā bāze" fld="10" baseField="0" baseItem="0"/>
    <dataField name=" (+;-)" fld="11" baseField="0" baseItem="0"/>
    <dataField name=" Mērķdot." fld="12" baseField="0" baseItem="0"/>
    <dataField name=" Virsbāzes atbalstītie izdevumi" fld="13" baseField="0" baseItem="0"/>
    <dataField name=" Investīcijas" fld="14" baseField="0" baseItem="0"/>
    <dataField name=" neatb.2021.g." fld="15" baseField="0" baseItem="0"/>
    <dataField name=" neatb.2022.g." fld="16" baseField="0" baseItem="0"/>
    <dataField name=" Kopsumma projekti" fld="17" baseField="0" baseItem="0"/>
    <dataField name=" pašv.līdz." fld="18" baseField="0" baseItem="0"/>
    <dataField name=" proj.līdz." fld="19" baseField="0" baseItem="0"/>
    <dataField name=" aizņēmums" fld="20" baseField="0" baseItem="0"/>
  </dataFields>
  <formats count="17">
    <format dxfId="58">
      <pivotArea dataOnly="0" labelOnly="1" outline="0" fieldPosition="0">
        <references count="1">
          <reference field="4294967294" count="1">
            <x v="7"/>
          </reference>
        </references>
      </pivotArea>
    </format>
    <format dxfId="57">
      <pivotArea dataOnly="0" labelOnly="1" outline="0" fieldPosition="0">
        <references count="1">
          <reference field="4294967294" count="4">
            <x v="8"/>
            <x v="9"/>
            <x v="10"/>
            <x v="12"/>
          </reference>
        </references>
      </pivotArea>
    </format>
    <format dxfId="56">
      <pivotArea outline="0" collapsedLevelsAreSubtotals="1" fieldPosition="0">
        <references count="1">
          <reference field="4294967294" count="1" selected="0">
            <x v="5"/>
          </reference>
        </references>
      </pivotArea>
    </format>
    <format dxfId="55">
      <pivotArea dataOnly="0" labelOnly="1" outline="0" fieldPosition="0">
        <references count="1">
          <reference field="4294967294" count="1">
            <x v="5"/>
          </reference>
        </references>
      </pivotArea>
    </format>
    <format dxfId="54">
      <pivotArea outline="0" collapsedLevelsAreSubtotals="1" fieldPosition="0">
        <references count="1">
          <reference field="4294967294" count="2" selected="0">
            <x v="7"/>
            <x v="8"/>
          </reference>
        </references>
      </pivotArea>
    </format>
    <format dxfId="53">
      <pivotArea dataOnly="0" labelOnly="1" outline="0" fieldPosition="0">
        <references count="1">
          <reference field="4294967294" count="2">
            <x v="7"/>
            <x v="8"/>
          </reference>
        </references>
      </pivotArea>
    </format>
    <format dxfId="52">
      <pivotArea outline="0" collapsedLevelsAreSubtotals="1" fieldPosition="0">
        <references count="1">
          <reference field="4294967294" count="2" selected="0">
            <x v="9"/>
            <x v="10"/>
          </reference>
        </references>
      </pivotArea>
    </format>
    <format dxfId="51">
      <pivotArea dataOnly="0" labelOnly="1" outline="0" fieldPosition="0">
        <references count="1">
          <reference field="4294967294" count="2">
            <x v="9"/>
            <x v="10"/>
          </reference>
        </references>
      </pivotArea>
    </format>
    <format dxfId="50">
      <pivotArea outline="0" collapsedLevelsAreSubtotals="1" fieldPosition="0">
        <references count="2">
          <reference field="4294967294" count="4" selected="0">
            <x v="1"/>
            <x v="2"/>
            <x v="3"/>
            <x v="4"/>
          </reference>
          <reference field="0" count="1">
            <x v="0"/>
          </reference>
        </references>
      </pivotArea>
    </format>
    <format dxfId="49">
      <pivotArea dataOnly="0" labelOnly="1" outline="0" fieldPosition="0">
        <references count="1">
          <reference field="4294967294" count="4">
            <x v="1"/>
            <x v="2"/>
            <x v="3"/>
            <x v="4"/>
          </reference>
        </references>
      </pivotArea>
    </format>
    <format dxfId="48">
      <pivotArea outline="0" collapsedLevelsAreSubtotals="1" fieldPosition="0">
        <references count="1">
          <reference field="4294967294" count="1" selected="0">
            <x v="4"/>
          </reference>
        </references>
      </pivotArea>
    </format>
    <format dxfId="47">
      <pivotArea dataOnly="0" labelOnly="1" outline="0" fieldPosition="0">
        <references count="1">
          <reference field="4294967294" count="1">
            <x v="4"/>
          </reference>
        </references>
      </pivotArea>
    </format>
    <format dxfId="46">
      <pivotArea outline="0" collapsedLevelsAreSubtotals="1" fieldPosition="0">
        <references count="1">
          <reference field="4294967294" count="1" selected="0">
            <x v="0"/>
          </reference>
        </references>
      </pivotArea>
    </format>
    <format dxfId="45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44">
      <pivotArea outline="0" collapsedLevelsAreSubtotals="1" fieldPosition="0"/>
    </format>
    <format dxfId="43">
      <pivotArea dataOnly="0" labelOnly="1" outline="0" fieldPosition="0">
        <references count="1">
          <reference field="4294967294" count="14">
            <x v="0"/>
            <x v="1"/>
            <x v="2"/>
            <x v="3"/>
            <x v="4"/>
            <x v="5"/>
            <x v="6"/>
            <x v="7"/>
            <x v="8"/>
            <x v="9"/>
            <x v="10"/>
            <x v="12"/>
            <x v="13"/>
            <x v="14"/>
          </reference>
        </references>
      </pivotArea>
    </format>
    <format dxfId="42">
      <pivotArea dataOnly="0" labelOnly="1" outline="0" fieldPosition="0">
        <references count="1">
          <reference field="4294967294" count="1">
            <x v="11"/>
          </reference>
        </references>
      </pivotArea>
    </format>
  </formats>
  <pivotTableStyleInfo name="PivotStyleLight13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id="2" name="Table13" displayName="Table13" ref="A11:L702" totalsRowShown="0" headerRowDxfId="41" dataDxfId="39" headerRowBorderDxfId="40">
  <autoFilter ref="A11:L702"/>
  <tableColumns count="12">
    <tableColumn id="2" name="Izdevumi" dataDxfId="38"/>
    <tableColumn id="8" name="Atlīdzība bāze 2024" dataDxfId="37"/>
    <tableColumn id="9" name="Pārējie bāze" dataDxfId="36"/>
    <tableColumn id="10" name="PL bāze" dataDxfId="35"/>
    <tableColumn id="11" name="Kopā bāze" dataDxfId="34">
      <calculatedColumnFormula>SUM(B12:D12)</calculatedColumnFormula>
    </tableColumn>
    <tableColumn id="13" name="Mērķdot." dataDxfId="33"/>
    <tableColumn id="14" name="Virsbāzes atbalstītie izdevumi" dataDxfId="32"/>
    <tableColumn id="15" name="Investīcijas" dataDxfId="31"/>
    <tableColumn id="18" name="Kopsumma projekti" dataDxfId="30"/>
    <tableColumn id="19" name="Pašv.līdz." dataDxfId="29"/>
    <tableColumn id="20" name="Proj.līdz." dataDxfId="28"/>
    <tableColumn id="21" name="Aizņēmums" dataDxfId="2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6" name="Table6" displayName="Table6" ref="A2:R133" totalsRowShown="0" headerRowDxfId="26" tableBorderDxfId="25">
  <autoFilter ref="A2:R133"/>
  <tableColumns count="18">
    <tableColumn id="1" name="Kods"/>
    <tableColumn id="2" name="Izdevumi"/>
    <tableColumn id="3" name="2024 gada kopējie plānotie izdevumi"/>
    <tableColumn id="4" name="Tai skaitā atlīdzība 2024"/>
    <tableColumn id="5" name="Atlīdzības izmaiņas 2025 pret 2024"/>
    <tableColumn id="6" name="Atlīdzība bāze 2025"/>
    <tableColumn id="7" name="Pārējie bāze"/>
    <tableColumn id="8" name="PL bāze"/>
    <tableColumn id="9" name="Kopā bāze"/>
    <tableColumn id="10" name="Mērķdot."/>
    <tableColumn id="11" name="Virsbāzes atbalstītie izdevumi"/>
    <tableColumn id="12" name="Virsbāzes neatbalstītie izdevumi"/>
    <tableColumn id="13" name="Atbalstāmie prioritārie izdevumi"/>
    <tableColumn id="14" name="Investīcijas"/>
    <tableColumn id="15" name="Kopsumma projekti"/>
    <tableColumn id="16" name="Pašv.līdz."/>
    <tableColumn id="17" name="Proj.līdz."/>
    <tableColumn id="18" name="Aizņēmums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1" name="Table1" displayName="Table1" ref="A15:X1226" totalsRowShown="0" dataDxfId="24">
  <autoFilter ref="A15:X1226"/>
  <tableColumns count="24">
    <tableColumn id="1" name="iestādes" dataDxfId="23"/>
    <tableColumn id="22" name="Column1" dataDxfId="22"/>
    <tableColumn id="2" name="Izdevumi" dataDxfId="21"/>
    <tableColumn id="3" name="Atlīdzība" dataDxfId="20"/>
    <tableColumn id="4" name="Pārējie" dataDxfId="19"/>
    <tableColumn id="5" name="P/līdzekļi" dataDxfId="18"/>
    <tableColumn id="6" name="Kopā" dataDxfId="17">
      <calculatedColumnFormula>SUM(D16:F16)</calculatedColumnFormula>
    </tableColumn>
    <tableColumn id="23" name="Atlīdzības palielinājums" dataDxfId="16"/>
    <tableColumn id="8" name="Atlīdzība bāze" dataDxfId="15"/>
    <tableColumn id="9" name="Pārējie bāze" dataDxfId="14"/>
    <tableColumn id="10" name="P/līdz. Bāze" dataDxfId="13"/>
    <tableColumn id="11" name="Kopā bāze" dataDxfId="12">
      <calculatedColumnFormula>SUM(I16:K16)</calculatedColumnFormula>
    </tableColumn>
    <tableColumn id="12" name="(+;-)" dataDxfId="11">
      <calculatedColumnFormula>(L16-G16)</calculatedColumnFormula>
    </tableColumn>
    <tableColumn id="13" name="Mērķdot." dataDxfId="10"/>
    <tableColumn id="14" name="Virsbāzes atbalstītie izdevumi" dataDxfId="9"/>
    <tableColumn id="7" name="Virsbāzes neatbalstītie izdevumi" dataDxfId="8"/>
    <tableColumn id="24" name="Atbalstāmie prioritārie izdevumi" dataDxfId="7"/>
    <tableColumn id="15" name="Investīcijas" dataDxfId="6"/>
    <tableColumn id="16" name="neatb.2021.g." dataDxfId="5"/>
    <tableColumn id="17" name="neatb.2022.g." dataDxfId="4"/>
    <tableColumn id="18" name="Kopsumma projekti" dataDxfId="3"/>
    <tableColumn id="19" name="pašv.līdz." dataDxfId="2"/>
    <tableColumn id="20" name="proj.līdz." dataDxfId="1"/>
    <tableColumn id="21" name="aizņēmum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1219"/>
  <sheetViews>
    <sheetView topLeftCell="A3" zoomScale="80" zoomScaleNormal="80" workbookViewId="0">
      <pane ySplit="1" topLeftCell="A4" activePane="bottomLeft" state="frozen"/>
      <selection activeCell="A3" sqref="A3"/>
      <selection pane="bottomLeft" activeCell="G12" sqref="G12"/>
    </sheetView>
  </sheetViews>
  <sheetFormatPr defaultRowHeight="14.25" x14ac:dyDescent="0.2"/>
  <cols>
    <col min="1" max="1" width="48.75" customWidth="1"/>
    <col min="2" max="2" width="14.125" style="66" customWidth="1"/>
    <col min="3" max="4" width="10.25" style="46" customWidth="1"/>
    <col min="5" max="5" width="7.5" style="73" customWidth="1"/>
    <col min="6" max="6" width="10.25" style="70" customWidth="1"/>
    <col min="7" max="7" width="9.625" style="46" customWidth="1"/>
    <col min="8" max="8" width="10" style="71" customWidth="1"/>
    <col min="9" max="9" width="10.5" style="71" customWidth="1"/>
    <col min="10" max="11" width="12.75" style="72" customWidth="1"/>
    <col min="12" max="12" width="12.75" style="46" customWidth="1"/>
    <col min="13" max="13" width="11" style="46" customWidth="1"/>
    <col min="14" max="14" width="9.5" style="46" customWidth="1"/>
    <col min="15" max="15" width="11.5" style="46" bestFit="1" customWidth="1"/>
    <col min="16" max="16" width="9.75" style="46" customWidth="1"/>
  </cols>
  <sheetData>
    <row r="3" spans="1:16" ht="14.25" customHeight="1" x14ac:dyDescent="0.2">
      <c r="A3" t="s">
        <v>0</v>
      </c>
      <c r="B3" s="66" t="s">
        <v>1</v>
      </c>
      <c r="C3" s="67" t="s">
        <v>2</v>
      </c>
      <c r="D3" s="67" t="s">
        <v>3</v>
      </c>
      <c r="E3" s="67" t="s">
        <v>4</v>
      </c>
      <c r="F3" s="68" t="s">
        <v>5</v>
      </c>
      <c r="G3" s="69" t="s">
        <v>6</v>
      </c>
      <c r="H3" s="46" t="s">
        <v>7</v>
      </c>
      <c r="I3" s="311" t="s">
        <v>8</v>
      </c>
      <c r="J3" s="311" t="s">
        <v>9</v>
      </c>
      <c r="K3" s="312" t="s">
        <v>10</v>
      </c>
      <c r="L3" s="312" t="s">
        <v>11</v>
      </c>
      <c r="M3" s="65" t="s">
        <v>12</v>
      </c>
      <c r="N3" s="67" t="s">
        <v>13</v>
      </c>
      <c r="O3" s="46" t="s">
        <v>14</v>
      </c>
      <c r="P3" s="46" t="s">
        <v>15</v>
      </c>
    </row>
    <row r="4" spans="1:16" x14ac:dyDescent="0.2">
      <c r="A4" s="63" t="s">
        <v>16</v>
      </c>
      <c r="B4" s="66">
        <v>1863893</v>
      </c>
      <c r="C4" s="67">
        <v>723014</v>
      </c>
      <c r="D4" s="67">
        <v>530743</v>
      </c>
      <c r="E4" s="67">
        <v>23575</v>
      </c>
      <c r="F4" s="68">
        <v>1277332</v>
      </c>
      <c r="G4" s="69">
        <v>-92180</v>
      </c>
      <c r="H4" s="46"/>
      <c r="I4" s="71">
        <v>40648</v>
      </c>
      <c r="J4" s="71">
        <v>20800</v>
      </c>
      <c r="K4" s="72">
        <v>39498</v>
      </c>
      <c r="L4" s="72">
        <v>59538</v>
      </c>
      <c r="M4" s="46">
        <v>525113</v>
      </c>
      <c r="N4" s="46">
        <v>5786</v>
      </c>
      <c r="O4" s="46">
        <v>250252</v>
      </c>
      <c r="P4" s="46">
        <v>269075</v>
      </c>
    </row>
    <row r="5" spans="1:16" x14ac:dyDescent="0.2">
      <c r="A5" s="64" t="s">
        <v>17</v>
      </c>
      <c r="B5" s="66">
        <v>452552</v>
      </c>
      <c r="C5" s="46">
        <v>6180</v>
      </c>
      <c r="D5" s="46">
        <v>3912</v>
      </c>
      <c r="E5" s="46">
        <v>5000</v>
      </c>
      <c r="F5" s="70">
        <v>15092</v>
      </c>
      <c r="G5" s="69">
        <v>1062</v>
      </c>
      <c r="H5" s="46"/>
      <c r="J5" s="71"/>
      <c r="L5" s="72"/>
      <c r="M5" s="46">
        <v>437460</v>
      </c>
      <c r="O5" s="46">
        <v>168385</v>
      </c>
      <c r="P5" s="46">
        <v>269075</v>
      </c>
    </row>
    <row r="6" spans="1:16" x14ac:dyDescent="0.2">
      <c r="A6" s="64" t="s">
        <v>18</v>
      </c>
      <c r="B6" s="66">
        <v>306960</v>
      </c>
      <c r="C6" s="46">
        <v>170992</v>
      </c>
      <c r="D6" s="46">
        <v>25315</v>
      </c>
      <c r="E6" s="46">
        <v>10000</v>
      </c>
      <c r="F6" s="70">
        <v>206307</v>
      </c>
      <c r="G6" s="69">
        <v>8542</v>
      </c>
      <c r="H6" s="46"/>
      <c r="I6" s="71">
        <v>1000</v>
      </c>
      <c r="J6" s="71">
        <v>12000</v>
      </c>
      <c r="L6" s="72">
        <v>4000</v>
      </c>
      <c r="M6" s="46">
        <v>87653</v>
      </c>
      <c r="N6" s="46">
        <v>5786</v>
      </c>
      <c r="O6" s="46">
        <v>81867</v>
      </c>
    </row>
    <row r="7" spans="1:16" x14ac:dyDescent="0.2">
      <c r="A7" s="64" t="s">
        <v>19</v>
      </c>
      <c r="B7" s="66">
        <v>223050</v>
      </c>
      <c r="C7" s="46">
        <v>152083</v>
      </c>
      <c r="D7" s="46">
        <v>60967</v>
      </c>
      <c r="E7" s="46"/>
      <c r="F7" s="70">
        <v>213050</v>
      </c>
      <c r="G7" s="69">
        <v>34546</v>
      </c>
      <c r="H7" s="46"/>
      <c r="I7" s="71">
        <v>10000</v>
      </c>
      <c r="J7" s="71"/>
      <c r="L7" s="72">
        <v>2540</v>
      </c>
    </row>
    <row r="8" spans="1:16" x14ac:dyDescent="0.2">
      <c r="A8" s="64" t="s">
        <v>20</v>
      </c>
      <c r="B8" s="66">
        <v>175963</v>
      </c>
      <c r="C8" s="46">
        <v>141491</v>
      </c>
      <c r="D8" s="46">
        <v>21359</v>
      </c>
      <c r="E8" s="46">
        <v>4065</v>
      </c>
      <c r="F8" s="70">
        <v>166915</v>
      </c>
      <c r="G8" s="69">
        <v>10260</v>
      </c>
      <c r="H8" s="46"/>
      <c r="I8" s="71">
        <v>9048</v>
      </c>
      <c r="J8" s="71"/>
      <c r="K8" s="72">
        <v>39498</v>
      </c>
      <c r="L8" s="72">
        <v>42498</v>
      </c>
    </row>
    <row r="9" spans="1:16" x14ac:dyDescent="0.2">
      <c r="A9" s="64" t="s">
        <v>21</v>
      </c>
      <c r="B9" s="66">
        <v>145428</v>
      </c>
      <c r="C9" s="46">
        <v>14244</v>
      </c>
      <c r="D9" s="46">
        <v>131184</v>
      </c>
      <c r="E9" s="46"/>
      <c r="F9" s="70">
        <v>145428</v>
      </c>
      <c r="G9" s="69">
        <v>-17252</v>
      </c>
      <c r="H9" s="46"/>
      <c r="J9" s="71"/>
      <c r="L9" s="72"/>
    </row>
    <row r="10" spans="1:16" x14ac:dyDescent="0.2">
      <c r="A10" s="64" t="s">
        <v>22</v>
      </c>
      <c r="B10" s="66">
        <v>111756</v>
      </c>
      <c r="C10" s="46">
        <v>64361</v>
      </c>
      <c r="D10" s="46">
        <v>38395</v>
      </c>
      <c r="E10" s="46"/>
      <c r="F10" s="70">
        <v>102756</v>
      </c>
      <c r="G10" s="69">
        <v>-34367</v>
      </c>
      <c r="H10" s="46"/>
      <c r="I10" s="71">
        <v>9000</v>
      </c>
      <c r="J10" s="71"/>
      <c r="L10" s="72"/>
    </row>
    <row r="11" spans="1:16" x14ac:dyDescent="0.2">
      <c r="A11" s="64" t="s">
        <v>23</v>
      </c>
      <c r="B11" s="66">
        <v>100319</v>
      </c>
      <c r="C11" s="46">
        <v>59411</v>
      </c>
      <c r="D11" s="46">
        <v>34908</v>
      </c>
      <c r="E11" s="46"/>
      <c r="F11" s="70">
        <v>94319</v>
      </c>
      <c r="G11" s="69">
        <v>-43299</v>
      </c>
      <c r="H11" s="46"/>
      <c r="I11" s="71">
        <v>6000</v>
      </c>
      <c r="J11" s="71"/>
      <c r="L11" s="72"/>
    </row>
    <row r="12" spans="1:16" x14ac:dyDescent="0.2">
      <c r="A12" s="64" t="s">
        <v>24</v>
      </c>
      <c r="B12" s="66">
        <v>52396</v>
      </c>
      <c r="D12" s="46">
        <v>52396</v>
      </c>
      <c r="E12" s="46"/>
      <c r="F12" s="70">
        <v>52396</v>
      </c>
      <c r="G12" s="69">
        <v>-2222</v>
      </c>
      <c r="H12" s="46"/>
      <c r="J12" s="71"/>
      <c r="L12" s="72"/>
    </row>
    <row r="13" spans="1:16" x14ac:dyDescent="0.2">
      <c r="A13" s="64" t="s">
        <v>25</v>
      </c>
      <c r="B13" s="66">
        <v>47550</v>
      </c>
      <c r="C13" s="46">
        <v>5837</v>
      </c>
      <c r="D13" s="46">
        <v>41713</v>
      </c>
      <c r="E13" s="46"/>
      <c r="F13" s="70">
        <v>47550</v>
      </c>
      <c r="G13" s="69">
        <v>-6281</v>
      </c>
      <c r="H13" s="46"/>
      <c r="J13" s="71"/>
      <c r="L13" s="72"/>
    </row>
    <row r="14" spans="1:16" x14ac:dyDescent="0.2">
      <c r="A14" s="64" t="s">
        <v>26</v>
      </c>
      <c r="B14" s="66">
        <v>43795</v>
      </c>
      <c r="C14" s="46">
        <v>39551</v>
      </c>
      <c r="D14" s="46">
        <v>2744</v>
      </c>
      <c r="E14" s="46">
        <v>1500</v>
      </c>
      <c r="F14" s="70">
        <v>43795</v>
      </c>
      <c r="G14" s="69">
        <v>-18440</v>
      </c>
      <c r="H14" s="46"/>
      <c r="J14" s="71"/>
      <c r="L14" s="72">
        <v>4000</v>
      </c>
    </row>
    <row r="15" spans="1:16" x14ac:dyDescent="0.2">
      <c r="A15" s="64" t="s">
        <v>27</v>
      </c>
      <c r="B15" s="66">
        <v>42605</v>
      </c>
      <c r="C15" s="46">
        <v>36961</v>
      </c>
      <c r="D15" s="46">
        <v>3484</v>
      </c>
      <c r="E15" s="46">
        <v>2160</v>
      </c>
      <c r="F15" s="70">
        <v>42605</v>
      </c>
      <c r="G15" s="69">
        <v>-13550</v>
      </c>
      <c r="H15" s="46"/>
      <c r="J15" s="71"/>
      <c r="L15" s="72">
        <v>4000</v>
      </c>
    </row>
    <row r="16" spans="1:16" x14ac:dyDescent="0.2">
      <c r="A16" s="64" t="s">
        <v>28</v>
      </c>
      <c r="B16" s="66">
        <v>32851</v>
      </c>
      <c r="C16" s="46">
        <v>20238</v>
      </c>
      <c r="D16" s="46">
        <v>3813</v>
      </c>
      <c r="E16" s="46"/>
      <c r="F16" s="70">
        <v>24051</v>
      </c>
      <c r="G16" s="69">
        <v>13725</v>
      </c>
      <c r="H16" s="46"/>
      <c r="J16" s="71">
        <v>8800</v>
      </c>
      <c r="L16" s="72"/>
    </row>
    <row r="17" spans="1:12" x14ac:dyDescent="0.2">
      <c r="A17" s="64" t="s">
        <v>29</v>
      </c>
      <c r="B17" s="66">
        <v>24000</v>
      </c>
      <c r="D17" s="46">
        <v>24000</v>
      </c>
      <c r="E17" s="46"/>
      <c r="F17" s="70">
        <v>24000</v>
      </c>
      <c r="G17" s="69">
        <v>24000</v>
      </c>
      <c r="H17" s="46"/>
      <c r="J17" s="71"/>
      <c r="L17" s="72"/>
    </row>
    <row r="18" spans="1:12" x14ac:dyDescent="0.2">
      <c r="A18" s="64" t="s">
        <v>30</v>
      </c>
      <c r="B18" s="66">
        <v>19500</v>
      </c>
      <c r="D18" s="46">
        <v>19500</v>
      </c>
      <c r="E18" s="46"/>
      <c r="F18" s="70">
        <v>19500</v>
      </c>
      <c r="G18" s="69">
        <v>-6800</v>
      </c>
      <c r="H18" s="46"/>
      <c r="J18" s="71"/>
      <c r="L18" s="72"/>
    </row>
    <row r="19" spans="1:12" x14ac:dyDescent="0.2">
      <c r="A19" s="64" t="s">
        <v>31</v>
      </c>
      <c r="B19" s="66">
        <v>19332</v>
      </c>
      <c r="C19" s="46">
        <v>11665</v>
      </c>
      <c r="D19" s="46">
        <v>6817</v>
      </c>
      <c r="E19" s="46">
        <v>850</v>
      </c>
      <c r="F19" s="70">
        <v>19332</v>
      </c>
      <c r="G19" s="69">
        <v>-793</v>
      </c>
      <c r="H19" s="46"/>
      <c r="J19" s="71"/>
      <c r="L19" s="72"/>
    </row>
    <row r="20" spans="1:12" x14ac:dyDescent="0.2">
      <c r="A20" s="64" t="s">
        <v>32</v>
      </c>
      <c r="B20" s="66">
        <v>18236</v>
      </c>
      <c r="D20" s="46">
        <v>18236</v>
      </c>
      <c r="E20" s="46"/>
      <c r="F20" s="70">
        <v>18236</v>
      </c>
      <c r="G20" s="69">
        <v>-5337</v>
      </c>
      <c r="H20" s="46"/>
      <c r="J20" s="71"/>
      <c r="L20" s="72"/>
    </row>
    <row r="21" spans="1:12" x14ac:dyDescent="0.2">
      <c r="A21" s="64" t="s">
        <v>33</v>
      </c>
      <c r="B21" s="66">
        <v>16000</v>
      </c>
      <c r="D21" s="46">
        <v>16000</v>
      </c>
      <c r="E21" s="46"/>
      <c r="F21" s="70">
        <v>16000</v>
      </c>
      <c r="G21" s="69">
        <v>-4000</v>
      </c>
      <c r="H21" s="46"/>
      <c r="J21" s="71"/>
      <c r="L21" s="72"/>
    </row>
    <row r="22" spans="1:12" x14ac:dyDescent="0.2">
      <c r="A22" s="64" t="s">
        <v>34</v>
      </c>
      <c r="B22" s="66">
        <v>16000</v>
      </c>
      <c r="D22" s="46">
        <v>16000</v>
      </c>
      <c r="E22" s="46"/>
      <c r="F22" s="70">
        <v>16000</v>
      </c>
      <c r="G22" s="69">
        <v>16000</v>
      </c>
      <c r="H22" s="46"/>
      <c r="J22" s="71"/>
      <c r="L22" s="72"/>
    </row>
    <row r="23" spans="1:12" x14ac:dyDescent="0.2">
      <c r="A23" s="64" t="s">
        <v>35</v>
      </c>
      <c r="B23" s="66">
        <v>10000</v>
      </c>
      <c r="D23" s="46">
        <v>10000</v>
      </c>
      <c r="E23" s="46"/>
      <c r="F23" s="70">
        <v>10000</v>
      </c>
      <c r="G23" s="69">
        <v>0</v>
      </c>
      <c r="H23" s="46"/>
      <c r="J23" s="71"/>
      <c r="L23" s="72"/>
    </row>
    <row r="24" spans="1:12" x14ac:dyDescent="0.2">
      <c r="A24" s="64" t="s">
        <v>36</v>
      </c>
      <c r="B24" s="66">
        <v>2200</v>
      </c>
      <c r="E24" s="46"/>
      <c r="F24" s="70">
        <v>0</v>
      </c>
      <c r="G24" s="69">
        <v>0</v>
      </c>
      <c r="H24" s="46"/>
      <c r="I24" s="71">
        <v>2200</v>
      </c>
      <c r="J24" s="71"/>
      <c r="L24" s="72"/>
    </row>
    <row r="25" spans="1:12" x14ac:dyDescent="0.2">
      <c r="A25" s="64" t="s">
        <v>37</v>
      </c>
      <c r="B25" s="66">
        <v>2000</v>
      </c>
      <c r="E25" s="46"/>
      <c r="F25" s="70">
        <v>0</v>
      </c>
      <c r="G25" s="69">
        <v>0</v>
      </c>
      <c r="H25" s="46"/>
      <c r="I25" s="71">
        <v>2000</v>
      </c>
      <c r="J25" s="71"/>
      <c r="L25" s="72"/>
    </row>
    <row r="26" spans="1:12" x14ac:dyDescent="0.2">
      <c r="A26" s="64" t="s">
        <v>38</v>
      </c>
      <c r="B26" s="66">
        <v>1000</v>
      </c>
      <c r="E26" s="46"/>
      <c r="F26" s="70">
        <v>0</v>
      </c>
      <c r="G26" s="69">
        <v>-1000</v>
      </c>
      <c r="H26" s="46"/>
      <c r="I26" s="71">
        <v>1000</v>
      </c>
      <c r="J26" s="71"/>
      <c r="L26" s="72"/>
    </row>
    <row r="27" spans="1:12" x14ac:dyDescent="0.2">
      <c r="A27" s="64" t="s">
        <v>39</v>
      </c>
      <c r="B27" s="66">
        <v>400</v>
      </c>
      <c r="E27" s="46"/>
      <c r="F27" s="70">
        <v>0</v>
      </c>
      <c r="G27" s="69">
        <v>-150</v>
      </c>
      <c r="H27" s="46"/>
      <c r="I27" s="71">
        <v>400</v>
      </c>
      <c r="J27" s="71"/>
      <c r="L27" s="72"/>
    </row>
    <row r="28" spans="1:12" x14ac:dyDescent="0.2">
      <c r="A28" s="64" t="s">
        <v>40</v>
      </c>
      <c r="B28" s="66">
        <v>0</v>
      </c>
      <c r="E28" s="46"/>
      <c r="F28" s="70">
        <v>0</v>
      </c>
      <c r="G28" s="69">
        <v>-200</v>
      </c>
      <c r="H28" s="46"/>
      <c r="J28" s="71"/>
      <c r="L28" s="72"/>
    </row>
    <row r="29" spans="1:12" x14ac:dyDescent="0.2">
      <c r="A29" s="64" t="s">
        <v>41</v>
      </c>
      <c r="B29" s="66">
        <v>0</v>
      </c>
      <c r="E29" s="46"/>
      <c r="F29" s="70">
        <v>0</v>
      </c>
      <c r="G29" s="69">
        <v>0</v>
      </c>
      <c r="H29" s="46"/>
      <c r="J29" s="71"/>
      <c r="L29" s="72"/>
    </row>
    <row r="30" spans="1:12" x14ac:dyDescent="0.2">
      <c r="A30" s="64" t="s">
        <v>42</v>
      </c>
      <c r="B30" s="66">
        <v>0</v>
      </c>
      <c r="E30" s="46"/>
      <c r="F30" s="70">
        <v>0</v>
      </c>
      <c r="G30" s="69">
        <v>-400</v>
      </c>
      <c r="H30" s="46"/>
      <c r="J30" s="71"/>
      <c r="L30" s="72"/>
    </row>
    <row r="31" spans="1:12" x14ac:dyDescent="0.2">
      <c r="A31" s="64" t="s">
        <v>43</v>
      </c>
      <c r="B31" s="66">
        <v>0</v>
      </c>
      <c r="E31" s="46"/>
      <c r="F31" s="70">
        <v>0</v>
      </c>
      <c r="G31" s="69">
        <v>-3493</v>
      </c>
      <c r="H31" s="46"/>
      <c r="J31" s="71"/>
      <c r="L31" s="72"/>
    </row>
    <row r="32" spans="1:12" x14ac:dyDescent="0.2">
      <c r="A32" s="64" t="s">
        <v>44</v>
      </c>
      <c r="B32" s="66">
        <v>0</v>
      </c>
      <c r="E32" s="46"/>
      <c r="F32" s="70">
        <v>0</v>
      </c>
      <c r="G32" s="69">
        <v>-1458</v>
      </c>
      <c r="H32" s="46"/>
      <c r="J32" s="71"/>
      <c r="L32" s="72"/>
    </row>
    <row r="33" spans="1:16" x14ac:dyDescent="0.2">
      <c r="A33" s="64" t="s">
        <v>45</v>
      </c>
      <c r="B33" s="66">
        <v>0</v>
      </c>
      <c r="E33" s="46"/>
      <c r="F33" s="70">
        <v>0</v>
      </c>
      <c r="G33" s="69">
        <v>-4000</v>
      </c>
      <c r="H33" s="46"/>
      <c r="J33" s="71"/>
      <c r="L33" s="72"/>
    </row>
    <row r="34" spans="1:16" x14ac:dyDescent="0.2">
      <c r="A34" s="64" t="s">
        <v>46</v>
      </c>
      <c r="B34" s="66">
        <v>0</v>
      </c>
      <c r="E34" s="46"/>
      <c r="F34" s="70">
        <v>0</v>
      </c>
      <c r="G34" s="69">
        <v>-17097</v>
      </c>
      <c r="H34" s="46"/>
      <c r="J34" s="71"/>
      <c r="L34" s="72"/>
    </row>
    <row r="35" spans="1:16" x14ac:dyDescent="0.2">
      <c r="A35" s="64" t="s">
        <v>47</v>
      </c>
      <c r="B35" s="66">
        <v>0</v>
      </c>
      <c r="E35" s="46"/>
      <c r="F35" s="70">
        <v>0</v>
      </c>
      <c r="G35" s="69">
        <v>0</v>
      </c>
      <c r="H35" s="46"/>
      <c r="J35" s="71"/>
      <c r="L35" s="72">
        <v>2500</v>
      </c>
    </row>
    <row r="36" spans="1:16" x14ac:dyDescent="0.2">
      <c r="A36" s="64" t="s">
        <v>48</v>
      </c>
      <c r="B36" s="66">
        <v>0</v>
      </c>
      <c r="E36" s="46"/>
      <c r="F36" s="70">
        <v>0</v>
      </c>
      <c r="G36" s="69">
        <v>-12676</v>
      </c>
      <c r="H36" s="46"/>
      <c r="J36" s="71"/>
      <c r="L36" s="72"/>
    </row>
    <row r="37" spans="1:16" x14ac:dyDescent="0.2">
      <c r="A37" s="64" t="s">
        <v>49</v>
      </c>
      <c r="B37" s="66">
        <v>0</v>
      </c>
      <c r="E37" s="46"/>
      <c r="F37" s="70">
        <v>0</v>
      </c>
      <c r="G37" s="69">
        <v>-7500</v>
      </c>
      <c r="H37" s="46"/>
      <c r="J37" s="71"/>
      <c r="L37" s="72"/>
    </row>
    <row r="38" spans="1:16" x14ac:dyDescent="0.2">
      <c r="A38" s="63" t="s">
        <v>50</v>
      </c>
      <c r="B38" s="66">
        <v>1801514</v>
      </c>
      <c r="E38" s="46"/>
      <c r="F38" s="70">
        <v>0</v>
      </c>
      <c r="G38" s="69"/>
      <c r="H38" s="46">
        <v>1546860</v>
      </c>
      <c r="J38" s="71"/>
      <c r="L38" s="72"/>
      <c r="M38" s="46">
        <v>254654</v>
      </c>
      <c r="O38" s="46">
        <v>168426</v>
      </c>
      <c r="P38" s="46">
        <v>86228</v>
      </c>
    </row>
    <row r="39" spans="1:16" x14ac:dyDescent="0.2">
      <c r="A39" s="64" t="s">
        <v>51</v>
      </c>
      <c r="B39" s="66">
        <v>607796</v>
      </c>
      <c r="E39" s="46"/>
      <c r="F39" s="70">
        <v>0</v>
      </c>
      <c r="G39" s="69"/>
      <c r="H39" s="46">
        <v>607796</v>
      </c>
      <c r="J39" s="71"/>
      <c r="L39" s="72"/>
    </row>
    <row r="40" spans="1:16" x14ac:dyDescent="0.2">
      <c r="A40" s="64" t="s">
        <v>52</v>
      </c>
      <c r="B40" s="66">
        <v>443209</v>
      </c>
      <c r="E40" s="46"/>
      <c r="F40" s="70">
        <v>0</v>
      </c>
      <c r="G40" s="69"/>
      <c r="H40" s="46">
        <v>356981</v>
      </c>
      <c r="J40" s="71"/>
      <c r="L40" s="72"/>
      <c r="M40" s="46">
        <v>86228</v>
      </c>
      <c r="P40" s="46">
        <v>86228</v>
      </c>
    </row>
    <row r="41" spans="1:16" x14ac:dyDescent="0.2">
      <c r="A41" s="64" t="s">
        <v>53</v>
      </c>
      <c r="B41" s="66">
        <v>236259</v>
      </c>
      <c r="E41" s="46"/>
      <c r="F41" s="70">
        <v>0</v>
      </c>
      <c r="G41" s="69"/>
      <c r="H41" s="46">
        <v>236259</v>
      </c>
      <c r="J41" s="71"/>
      <c r="L41" s="72"/>
    </row>
    <row r="42" spans="1:16" x14ac:dyDescent="0.2">
      <c r="A42" s="64" t="s">
        <v>54</v>
      </c>
      <c r="B42" s="66">
        <v>193615</v>
      </c>
      <c r="E42" s="46"/>
      <c r="F42" s="70">
        <v>0</v>
      </c>
      <c r="G42" s="69"/>
      <c r="H42" s="46">
        <v>193615</v>
      </c>
      <c r="J42" s="71"/>
      <c r="L42" s="72"/>
    </row>
    <row r="43" spans="1:16" x14ac:dyDescent="0.2">
      <c r="A43" s="64" t="s">
        <v>55</v>
      </c>
      <c r="B43" s="66">
        <v>168426</v>
      </c>
      <c r="E43" s="46"/>
      <c r="G43" s="69"/>
      <c r="H43" s="46"/>
      <c r="J43" s="71"/>
      <c r="L43" s="72"/>
      <c r="M43" s="46">
        <v>168426</v>
      </c>
      <c r="O43" s="46">
        <v>168426</v>
      </c>
    </row>
    <row r="44" spans="1:16" x14ac:dyDescent="0.2">
      <c r="A44" s="64" t="s">
        <v>56</v>
      </c>
      <c r="B44" s="66">
        <v>76370</v>
      </c>
      <c r="E44" s="46"/>
      <c r="F44" s="70">
        <v>0</v>
      </c>
      <c r="G44" s="69"/>
      <c r="H44" s="46">
        <v>76370</v>
      </c>
      <c r="J44" s="71"/>
      <c r="L44" s="72"/>
    </row>
    <row r="45" spans="1:16" x14ac:dyDescent="0.2">
      <c r="A45" s="64" t="s">
        <v>57</v>
      </c>
      <c r="B45" s="66">
        <v>75839</v>
      </c>
      <c r="E45" s="46"/>
      <c r="F45" s="70">
        <v>0</v>
      </c>
      <c r="G45" s="69"/>
      <c r="H45" s="46">
        <v>75839</v>
      </c>
      <c r="J45" s="71"/>
      <c r="L45" s="72"/>
    </row>
    <row r="46" spans="1:16" x14ac:dyDescent="0.2">
      <c r="A46" s="63" t="s">
        <v>58</v>
      </c>
      <c r="B46" s="66">
        <v>3095308</v>
      </c>
      <c r="C46" s="46">
        <v>20000</v>
      </c>
      <c r="D46" s="46">
        <v>32237</v>
      </c>
      <c r="E46" s="46"/>
      <c r="F46" s="70">
        <v>52237</v>
      </c>
      <c r="G46" s="69">
        <v>-69111</v>
      </c>
      <c r="H46" s="46">
        <v>35434</v>
      </c>
      <c r="J46" s="71">
        <v>73493</v>
      </c>
      <c r="L46" s="72">
        <v>6000</v>
      </c>
      <c r="M46" s="46">
        <v>2934144</v>
      </c>
      <c r="O46" s="46">
        <v>1308214</v>
      </c>
      <c r="P46" s="46">
        <v>1625930</v>
      </c>
    </row>
    <row r="47" spans="1:16" x14ac:dyDescent="0.2">
      <c r="A47" s="64" t="s">
        <v>59</v>
      </c>
      <c r="B47" s="66">
        <v>3029874</v>
      </c>
      <c r="D47" s="46">
        <v>22237</v>
      </c>
      <c r="E47" s="46"/>
      <c r="F47" s="70">
        <v>22237</v>
      </c>
      <c r="G47" s="69">
        <v>-14463</v>
      </c>
      <c r="H47" s="46"/>
      <c r="J47" s="71">
        <v>73493</v>
      </c>
      <c r="L47" s="72"/>
      <c r="M47" s="46">
        <v>2934144</v>
      </c>
      <c r="O47" s="46">
        <v>1308214</v>
      </c>
      <c r="P47" s="46">
        <v>1625930</v>
      </c>
    </row>
    <row r="48" spans="1:16" x14ac:dyDescent="0.2">
      <c r="A48" s="64" t="s">
        <v>60</v>
      </c>
      <c r="B48" s="66">
        <v>40000</v>
      </c>
      <c r="C48" s="46">
        <v>20000</v>
      </c>
      <c r="E48" s="46"/>
      <c r="F48" s="70">
        <v>20000</v>
      </c>
      <c r="G48" s="69">
        <v>-30334</v>
      </c>
      <c r="H48" s="46">
        <v>20000</v>
      </c>
      <c r="J48" s="71"/>
      <c r="L48" s="72"/>
    </row>
    <row r="49" spans="1:12" x14ac:dyDescent="0.2">
      <c r="A49" s="64" t="s">
        <v>61</v>
      </c>
      <c r="B49" s="66">
        <v>13714</v>
      </c>
      <c r="E49" s="46"/>
      <c r="F49" s="70">
        <v>0</v>
      </c>
      <c r="G49" s="69">
        <v>-27464</v>
      </c>
      <c r="H49" s="46">
        <v>13714</v>
      </c>
      <c r="J49" s="71"/>
      <c r="L49" s="72">
        <v>6000</v>
      </c>
    </row>
    <row r="50" spans="1:12" x14ac:dyDescent="0.2">
      <c r="A50" s="64" t="s">
        <v>62</v>
      </c>
      <c r="B50" s="66">
        <v>10000</v>
      </c>
      <c r="D50" s="46">
        <v>10000</v>
      </c>
      <c r="E50" s="46"/>
      <c r="F50" s="70">
        <v>10000</v>
      </c>
      <c r="G50" s="69">
        <v>3150</v>
      </c>
      <c r="H50" s="46"/>
      <c r="J50" s="71"/>
      <c r="L50" s="72"/>
    </row>
    <row r="51" spans="1:12" x14ac:dyDescent="0.2">
      <c r="A51" s="64" t="s">
        <v>63</v>
      </c>
      <c r="B51" s="66">
        <v>1720</v>
      </c>
      <c r="E51" s="46"/>
      <c r="G51" s="69"/>
      <c r="H51" s="46">
        <v>1720</v>
      </c>
      <c r="J51" s="71"/>
      <c r="L51" s="72"/>
    </row>
    <row r="52" spans="1:12" x14ac:dyDescent="0.2">
      <c r="A52" s="63" t="s">
        <v>64</v>
      </c>
      <c r="B52" s="66">
        <v>308236</v>
      </c>
      <c r="D52" s="46">
        <v>228236</v>
      </c>
      <c r="E52" s="46"/>
      <c r="F52" s="70">
        <v>228236</v>
      </c>
      <c r="G52" s="69">
        <v>-57632</v>
      </c>
      <c r="H52" s="46"/>
      <c r="J52" s="71">
        <v>80000</v>
      </c>
      <c r="L52" s="72"/>
    </row>
    <row r="53" spans="1:12" x14ac:dyDescent="0.2">
      <c r="A53" s="64" t="s">
        <v>65</v>
      </c>
      <c r="B53" s="66">
        <v>228953</v>
      </c>
      <c r="D53" s="46">
        <v>148953</v>
      </c>
      <c r="E53" s="46"/>
      <c r="F53" s="70">
        <v>148953</v>
      </c>
      <c r="G53" s="69">
        <v>16673</v>
      </c>
      <c r="H53" s="46"/>
      <c r="J53" s="71">
        <v>80000</v>
      </c>
      <c r="L53" s="72"/>
    </row>
    <row r="54" spans="1:12" x14ac:dyDescent="0.2">
      <c r="A54" s="64" t="s">
        <v>66</v>
      </c>
      <c r="B54" s="66">
        <v>48278</v>
      </c>
      <c r="D54" s="46">
        <v>48278</v>
      </c>
      <c r="E54" s="46"/>
      <c r="F54" s="70">
        <v>48278</v>
      </c>
      <c r="G54" s="69">
        <v>-86042</v>
      </c>
      <c r="H54" s="46"/>
      <c r="J54" s="71"/>
      <c r="L54" s="72"/>
    </row>
    <row r="55" spans="1:12" x14ac:dyDescent="0.2">
      <c r="A55" s="64" t="s">
        <v>67</v>
      </c>
      <c r="B55" s="66">
        <v>31005</v>
      </c>
      <c r="D55" s="46">
        <v>31005</v>
      </c>
      <c r="E55" s="46"/>
      <c r="F55" s="70">
        <v>31005</v>
      </c>
      <c r="G55" s="69">
        <v>11737</v>
      </c>
      <c r="H55" s="46"/>
      <c r="J55" s="71"/>
      <c r="L55" s="72"/>
    </row>
    <row r="56" spans="1:12" x14ac:dyDescent="0.2">
      <c r="A56" s="63" t="s">
        <v>68</v>
      </c>
      <c r="B56" s="66">
        <v>2926450</v>
      </c>
      <c r="C56" s="46">
        <v>2078479</v>
      </c>
      <c r="D56" s="46">
        <v>451882</v>
      </c>
      <c r="E56" s="46">
        <v>12950</v>
      </c>
      <c r="F56" s="70">
        <v>2543311</v>
      </c>
      <c r="G56" s="69">
        <v>155878</v>
      </c>
      <c r="H56" s="46">
        <v>348527</v>
      </c>
      <c r="I56" s="71">
        <v>34612</v>
      </c>
      <c r="J56" s="71"/>
      <c r="K56" s="72">
        <v>100107</v>
      </c>
      <c r="L56" s="72">
        <v>132691</v>
      </c>
    </row>
    <row r="57" spans="1:12" x14ac:dyDescent="0.2">
      <c r="A57" s="64" t="s">
        <v>69</v>
      </c>
      <c r="B57" s="66">
        <v>683454</v>
      </c>
      <c r="C57" s="46">
        <v>498746</v>
      </c>
      <c r="D57" s="46">
        <v>118423</v>
      </c>
      <c r="E57" s="46">
        <v>5450</v>
      </c>
      <c r="F57" s="70">
        <v>622619</v>
      </c>
      <c r="G57" s="69">
        <v>117401</v>
      </c>
      <c r="H57" s="46">
        <v>60715</v>
      </c>
      <c r="I57" s="71">
        <v>120</v>
      </c>
      <c r="J57" s="71"/>
      <c r="K57" s="72">
        <v>7900</v>
      </c>
      <c r="L57" s="72">
        <v>10000</v>
      </c>
    </row>
    <row r="58" spans="1:12" x14ac:dyDescent="0.2">
      <c r="A58" s="64" t="s">
        <v>70</v>
      </c>
      <c r="B58" s="66">
        <v>405439</v>
      </c>
      <c r="C58" s="46">
        <v>303517</v>
      </c>
      <c r="D58" s="46">
        <v>63829</v>
      </c>
      <c r="E58" s="46">
        <v>3200</v>
      </c>
      <c r="F58" s="70">
        <v>370546</v>
      </c>
      <c r="G58" s="69">
        <v>60154</v>
      </c>
      <c r="H58" s="46">
        <v>30815</v>
      </c>
      <c r="I58" s="71">
        <v>4078</v>
      </c>
      <c r="J58" s="71"/>
      <c r="K58" s="72">
        <v>74346</v>
      </c>
      <c r="L58" s="72">
        <v>101881</v>
      </c>
    </row>
    <row r="59" spans="1:12" x14ac:dyDescent="0.2">
      <c r="A59" s="64" t="s">
        <v>71</v>
      </c>
      <c r="B59" s="66">
        <v>357861</v>
      </c>
      <c r="C59" s="46">
        <v>174583</v>
      </c>
      <c r="D59" s="46">
        <v>49682</v>
      </c>
      <c r="E59" s="46"/>
      <c r="F59" s="70">
        <v>224265</v>
      </c>
      <c r="G59" s="69">
        <v>26502</v>
      </c>
      <c r="H59" s="46">
        <v>128976</v>
      </c>
      <c r="I59" s="71">
        <v>4620</v>
      </c>
      <c r="J59" s="71"/>
      <c r="K59" s="72">
        <v>5024</v>
      </c>
      <c r="L59" s="72"/>
    </row>
    <row r="60" spans="1:12" x14ac:dyDescent="0.2">
      <c r="A60" s="64" t="s">
        <v>72</v>
      </c>
      <c r="B60" s="66">
        <v>257162</v>
      </c>
      <c r="C60" s="46">
        <v>191726</v>
      </c>
      <c r="D60" s="46">
        <v>37817</v>
      </c>
      <c r="E60" s="46">
        <v>700</v>
      </c>
      <c r="F60" s="70">
        <v>230243</v>
      </c>
      <c r="G60" s="69">
        <v>-48397</v>
      </c>
      <c r="H60" s="46">
        <v>26519</v>
      </c>
      <c r="I60" s="71">
        <v>400</v>
      </c>
      <c r="J60" s="71"/>
      <c r="L60" s="72"/>
    </row>
    <row r="61" spans="1:12" x14ac:dyDescent="0.2">
      <c r="A61" s="64" t="s">
        <v>73</v>
      </c>
      <c r="B61" s="66">
        <v>225987</v>
      </c>
      <c r="C61" s="46">
        <v>161589</v>
      </c>
      <c r="D61" s="46">
        <v>36432</v>
      </c>
      <c r="E61" s="46"/>
      <c r="F61" s="70">
        <v>198021</v>
      </c>
      <c r="G61" s="69">
        <v>8915</v>
      </c>
      <c r="H61" s="46">
        <v>22646</v>
      </c>
      <c r="I61" s="71">
        <v>5320</v>
      </c>
      <c r="J61" s="71"/>
      <c r="L61" s="72"/>
    </row>
    <row r="62" spans="1:12" x14ac:dyDescent="0.2">
      <c r="A62" s="64" t="s">
        <v>74</v>
      </c>
      <c r="B62" s="66">
        <v>206160</v>
      </c>
      <c r="C62" s="46">
        <v>138565</v>
      </c>
      <c r="D62" s="46">
        <v>35796</v>
      </c>
      <c r="E62" s="46"/>
      <c r="F62" s="70">
        <v>174361</v>
      </c>
      <c r="G62" s="69">
        <v>15975</v>
      </c>
      <c r="H62" s="46">
        <v>17480</v>
      </c>
      <c r="I62" s="71">
        <v>14319</v>
      </c>
      <c r="J62" s="71"/>
      <c r="L62" s="72"/>
    </row>
    <row r="63" spans="1:12" x14ac:dyDescent="0.2">
      <c r="A63" s="64" t="s">
        <v>75</v>
      </c>
      <c r="B63" s="66">
        <v>187156</v>
      </c>
      <c r="C63" s="46">
        <v>142853</v>
      </c>
      <c r="D63" s="46">
        <v>25218</v>
      </c>
      <c r="E63" s="46"/>
      <c r="F63" s="70">
        <v>168071</v>
      </c>
      <c r="G63" s="69">
        <v>-46064</v>
      </c>
      <c r="H63" s="46">
        <v>18965</v>
      </c>
      <c r="I63" s="71">
        <v>120</v>
      </c>
      <c r="J63" s="71"/>
      <c r="L63" s="72">
        <v>8910</v>
      </c>
    </row>
    <row r="64" spans="1:12" x14ac:dyDescent="0.2">
      <c r="A64" s="64" t="s">
        <v>76</v>
      </c>
      <c r="B64" s="66">
        <v>163829</v>
      </c>
      <c r="C64" s="46">
        <v>125826</v>
      </c>
      <c r="D64" s="46">
        <v>24733</v>
      </c>
      <c r="E64" s="46">
        <v>2400</v>
      </c>
      <c r="F64" s="70">
        <v>152959</v>
      </c>
      <c r="G64" s="69">
        <v>31326</v>
      </c>
      <c r="H64" s="46">
        <v>10870</v>
      </c>
      <c r="J64" s="71"/>
      <c r="K64" s="72">
        <v>12837</v>
      </c>
      <c r="L64" s="72">
        <v>9500</v>
      </c>
    </row>
    <row r="65" spans="1:12" x14ac:dyDescent="0.2">
      <c r="A65" s="64" t="s">
        <v>77</v>
      </c>
      <c r="B65" s="66">
        <v>155141</v>
      </c>
      <c r="C65" s="46">
        <v>120789</v>
      </c>
      <c r="D65" s="46">
        <v>19357</v>
      </c>
      <c r="E65" s="46"/>
      <c r="F65" s="70">
        <v>140146</v>
      </c>
      <c r="G65" s="69">
        <v>-17509</v>
      </c>
      <c r="H65" s="46">
        <v>9480</v>
      </c>
      <c r="I65" s="71">
        <v>5515</v>
      </c>
      <c r="J65" s="71"/>
      <c r="L65" s="72"/>
    </row>
    <row r="66" spans="1:12" x14ac:dyDescent="0.2">
      <c r="A66" s="64" t="s">
        <v>78</v>
      </c>
      <c r="B66" s="66">
        <v>116368</v>
      </c>
      <c r="C66" s="46">
        <v>95552</v>
      </c>
      <c r="D66" s="46">
        <v>14034</v>
      </c>
      <c r="E66" s="46"/>
      <c r="F66" s="70">
        <v>109586</v>
      </c>
      <c r="G66" s="69">
        <v>11850</v>
      </c>
      <c r="H66" s="46">
        <v>6662</v>
      </c>
      <c r="I66" s="71">
        <v>120</v>
      </c>
      <c r="J66" s="71"/>
      <c r="L66" s="72"/>
    </row>
    <row r="67" spans="1:12" x14ac:dyDescent="0.2">
      <c r="A67" s="64" t="s">
        <v>79</v>
      </c>
      <c r="B67" s="66">
        <v>92063</v>
      </c>
      <c r="C67" s="46">
        <v>68776</v>
      </c>
      <c r="D67" s="46">
        <v>11217</v>
      </c>
      <c r="E67" s="46">
        <v>1200</v>
      </c>
      <c r="F67" s="70">
        <v>81193</v>
      </c>
      <c r="G67" s="69">
        <v>-10782</v>
      </c>
      <c r="H67" s="46">
        <v>10870</v>
      </c>
      <c r="J67" s="71"/>
      <c r="L67" s="72"/>
    </row>
    <row r="68" spans="1:12" x14ac:dyDescent="0.2">
      <c r="A68" s="64" t="s">
        <v>80</v>
      </c>
      <c r="B68" s="66">
        <v>75830</v>
      </c>
      <c r="C68" s="46">
        <v>55957</v>
      </c>
      <c r="D68" s="46">
        <v>15344</v>
      </c>
      <c r="E68" s="46"/>
      <c r="F68" s="70">
        <v>71301</v>
      </c>
      <c r="G68" s="69">
        <v>6507</v>
      </c>
      <c r="H68" s="46">
        <v>4529</v>
      </c>
      <c r="J68" s="71"/>
      <c r="L68" s="72">
        <v>2400</v>
      </c>
    </row>
    <row r="69" spans="1:12" x14ac:dyDescent="0.2">
      <c r="A69" s="63" t="s">
        <v>81</v>
      </c>
      <c r="B69" s="66">
        <v>59000</v>
      </c>
      <c r="D69" s="46">
        <v>59000</v>
      </c>
      <c r="E69" s="46"/>
      <c r="F69" s="70">
        <v>59000</v>
      </c>
      <c r="G69" s="69">
        <v>-16158</v>
      </c>
      <c r="H69" s="46"/>
      <c r="J69" s="71"/>
      <c r="L69" s="72"/>
    </row>
    <row r="70" spans="1:12" x14ac:dyDescent="0.2">
      <c r="A70" s="64" t="s">
        <v>81</v>
      </c>
      <c r="B70" s="66">
        <v>59000</v>
      </c>
      <c r="D70" s="46">
        <v>59000</v>
      </c>
      <c r="E70" s="46"/>
      <c r="F70" s="70">
        <v>59000</v>
      </c>
      <c r="G70" s="69">
        <v>-16158</v>
      </c>
      <c r="H70" s="46"/>
      <c r="J70" s="71"/>
      <c r="L70" s="72"/>
    </row>
    <row r="71" spans="1:12" x14ac:dyDescent="0.2">
      <c r="A71" s="63" t="s">
        <v>82</v>
      </c>
      <c r="B71" s="66">
        <v>102523</v>
      </c>
      <c r="D71" s="46">
        <v>2523</v>
      </c>
      <c r="E71" s="46"/>
      <c r="F71" s="70">
        <v>2523</v>
      </c>
      <c r="G71" s="69">
        <v>-64235</v>
      </c>
      <c r="H71" s="46">
        <v>40971</v>
      </c>
      <c r="J71" s="71">
        <v>59029</v>
      </c>
      <c r="L71" s="72">
        <v>110000</v>
      </c>
    </row>
    <row r="72" spans="1:12" x14ac:dyDescent="0.2">
      <c r="A72" s="64" t="s">
        <v>82</v>
      </c>
      <c r="B72" s="66">
        <v>102523</v>
      </c>
      <c r="D72" s="46">
        <v>2523</v>
      </c>
      <c r="E72" s="46"/>
      <c r="F72" s="70">
        <v>2523</v>
      </c>
      <c r="G72" s="69">
        <v>-64235</v>
      </c>
      <c r="H72" s="46">
        <v>40971</v>
      </c>
      <c r="J72" s="71">
        <v>59029</v>
      </c>
      <c r="L72" s="72">
        <v>110000</v>
      </c>
    </row>
    <row r="73" spans="1:12" x14ac:dyDescent="0.2">
      <c r="A73" s="63" t="s">
        <v>83</v>
      </c>
      <c r="B73" s="66">
        <v>60792</v>
      </c>
      <c r="C73" s="46">
        <v>45728</v>
      </c>
      <c r="D73" s="46">
        <v>10864</v>
      </c>
      <c r="E73" s="46">
        <v>4200</v>
      </c>
      <c r="F73" s="70">
        <v>60792</v>
      </c>
      <c r="G73" s="69">
        <v>13007</v>
      </c>
      <c r="H73" s="46"/>
      <c r="J73" s="71"/>
      <c r="K73" s="72">
        <v>30000</v>
      </c>
      <c r="L73" s="72"/>
    </row>
    <row r="74" spans="1:12" x14ac:dyDescent="0.2">
      <c r="A74" s="64" t="s">
        <v>83</v>
      </c>
      <c r="B74" s="66">
        <v>60792</v>
      </c>
      <c r="C74" s="46">
        <v>45728</v>
      </c>
      <c r="D74" s="46">
        <v>10864</v>
      </c>
      <c r="E74" s="46">
        <v>4200</v>
      </c>
      <c r="F74" s="70">
        <v>60792</v>
      </c>
      <c r="G74" s="69">
        <v>13007</v>
      </c>
      <c r="H74" s="46"/>
      <c r="J74" s="71"/>
      <c r="K74" s="72">
        <v>30000</v>
      </c>
      <c r="L74" s="72"/>
    </row>
    <row r="75" spans="1:12" x14ac:dyDescent="0.2">
      <c r="A75" s="63" t="s">
        <v>84</v>
      </c>
      <c r="B75" s="66">
        <v>2548418</v>
      </c>
      <c r="C75" s="46">
        <v>1874183</v>
      </c>
      <c r="D75" s="46">
        <v>598325</v>
      </c>
      <c r="E75" s="46">
        <v>20550</v>
      </c>
      <c r="F75" s="70">
        <v>2493058</v>
      </c>
      <c r="G75" s="69">
        <v>358475</v>
      </c>
      <c r="H75" s="46">
        <v>30360</v>
      </c>
      <c r="J75" s="71">
        <v>25000</v>
      </c>
      <c r="K75" s="72">
        <v>25000</v>
      </c>
      <c r="L75" s="72"/>
    </row>
    <row r="76" spans="1:12" x14ac:dyDescent="0.2">
      <c r="A76" s="64" t="s">
        <v>85</v>
      </c>
      <c r="B76" s="66">
        <v>617757</v>
      </c>
      <c r="C76" s="46">
        <v>595596</v>
      </c>
      <c r="D76" s="46">
        <v>17561</v>
      </c>
      <c r="E76" s="46">
        <v>4600</v>
      </c>
      <c r="F76" s="70">
        <v>617757</v>
      </c>
      <c r="G76" s="69">
        <v>-107392</v>
      </c>
      <c r="H76" s="46"/>
      <c r="J76" s="71"/>
      <c r="L76" s="72"/>
    </row>
    <row r="77" spans="1:12" x14ac:dyDescent="0.2">
      <c r="A77" s="64" t="s">
        <v>86</v>
      </c>
      <c r="B77" s="66">
        <v>579992</v>
      </c>
      <c r="C77" s="46">
        <v>260290</v>
      </c>
      <c r="D77" s="46">
        <v>289702</v>
      </c>
      <c r="E77" s="46">
        <v>5000</v>
      </c>
      <c r="F77" s="70">
        <v>554992</v>
      </c>
      <c r="G77" s="69">
        <v>195232</v>
      </c>
      <c r="H77" s="46"/>
      <c r="J77" s="71">
        <v>25000</v>
      </c>
      <c r="K77" s="72">
        <v>25000</v>
      </c>
      <c r="L77" s="72"/>
    </row>
    <row r="78" spans="1:12" x14ac:dyDescent="0.2">
      <c r="A78" s="64" t="s">
        <v>87</v>
      </c>
      <c r="B78" s="66">
        <v>330583</v>
      </c>
      <c r="C78" s="46">
        <v>235903</v>
      </c>
      <c r="D78" s="46">
        <v>94680</v>
      </c>
      <c r="E78" s="46"/>
      <c r="F78" s="70">
        <v>330583</v>
      </c>
      <c r="G78" s="69">
        <v>-56097</v>
      </c>
      <c r="H78" s="46"/>
      <c r="J78" s="71"/>
      <c r="L78" s="72"/>
    </row>
    <row r="79" spans="1:12" x14ac:dyDescent="0.2">
      <c r="A79" s="64" t="s">
        <v>88</v>
      </c>
      <c r="B79" s="66">
        <v>271330</v>
      </c>
      <c r="C79" s="46">
        <v>181887</v>
      </c>
      <c r="D79" s="46">
        <v>89443</v>
      </c>
      <c r="E79" s="46"/>
      <c r="F79" s="70">
        <v>271330</v>
      </c>
      <c r="G79" s="69">
        <v>271330</v>
      </c>
      <c r="H79" s="46"/>
      <c r="J79" s="71"/>
      <c r="L79" s="72"/>
    </row>
    <row r="80" spans="1:12" x14ac:dyDescent="0.2">
      <c r="A80" s="64" t="s">
        <v>89</v>
      </c>
      <c r="B80" s="66">
        <v>188054</v>
      </c>
      <c r="C80" s="46">
        <v>116030</v>
      </c>
      <c r="D80" s="46">
        <v>67274</v>
      </c>
      <c r="E80" s="46">
        <v>4750</v>
      </c>
      <c r="F80" s="70">
        <v>188054</v>
      </c>
      <c r="G80" s="69">
        <v>188054</v>
      </c>
      <c r="H80" s="46"/>
      <c r="J80" s="71"/>
      <c r="L80" s="72"/>
    </row>
    <row r="81" spans="1:15" x14ac:dyDescent="0.2">
      <c r="A81" s="64" t="s">
        <v>90</v>
      </c>
      <c r="B81" s="66">
        <v>186342</v>
      </c>
      <c r="C81" s="46">
        <v>178816</v>
      </c>
      <c r="D81" s="46">
        <v>6526</v>
      </c>
      <c r="E81" s="46">
        <v>1000</v>
      </c>
      <c r="F81" s="70">
        <v>186342</v>
      </c>
      <c r="G81" s="69">
        <v>-175599</v>
      </c>
      <c r="H81" s="46"/>
      <c r="J81" s="71"/>
      <c r="L81" s="72"/>
    </row>
    <row r="82" spans="1:15" x14ac:dyDescent="0.2">
      <c r="A82" s="64" t="s">
        <v>91</v>
      </c>
      <c r="B82" s="66">
        <v>127201</v>
      </c>
      <c r="C82" s="46">
        <v>105354</v>
      </c>
      <c r="D82" s="46">
        <v>19647</v>
      </c>
      <c r="E82" s="46">
        <v>2200</v>
      </c>
      <c r="F82" s="70">
        <v>127201</v>
      </c>
      <c r="G82" s="69">
        <v>50572</v>
      </c>
      <c r="H82" s="46"/>
      <c r="J82" s="71"/>
      <c r="L82" s="72"/>
    </row>
    <row r="83" spans="1:15" x14ac:dyDescent="0.2">
      <c r="A83" s="64" t="s">
        <v>92</v>
      </c>
      <c r="B83" s="66">
        <v>111421</v>
      </c>
      <c r="C83" s="46">
        <v>106111</v>
      </c>
      <c r="D83" s="46">
        <v>4310</v>
      </c>
      <c r="E83" s="46">
        <v>1000</v>
      </c>
      <c r="F83" s="70">
        <v>111421</v>
      </c>
      <c r="G83" s="69">
        <v>20055</v>
      </c>
      <c r="H83" s="46"/>
      <c r="J83" s="71"/>
      <c r="L83" s="72"/>
    </row>
    <row r="84" spans="1:15" x14ac:dyDescent="0.2">
      <c r="A84" s="64" t="s">
        <v>93</v>
      </c>
      <c r="B84" s="66">
        <v>70431</v>
      </c>
      <c r="C84" s="46">
        <v>36111</v>
      </c>
      <c r="D84" s="46">
        <v>3960</v>
      </c>
      <c r="E84" s="46"/>
      <c r="F84" s="70">
        <v>40071</v>
      </c>
      <c r="G84" s="69">
        <v>-35932</v>
      </c>
      <c r="H84" s="46">
        <v>30360</v>
      </c>
      <c r="J84" s="71"/>
      <c r="L84" s="72"/>
    </row>
    <row r="85" spans="1:15" x14ac:dyDescent="0.2">
      <c r="A85" s="64" t="s">
        <v>94</v>
      </c>
      <c r="B85" s="66">
        <v>65307</v>
      </c>
      <c r="C85" s="46">
        <v>58085</v>
      </c>
      <c r="D85" s="46">
        <v>5222</v>
      </c>
      <c r="E85" s="46">
        <v>2000</v>
      </c>
      <c r="F85" s="70">
        <v>65307</v>
      </c>
      <c r="G85" s="69">
        <v>8252</v>
      </c>
      <c r="H85" s="46"/>
      <c r="J85" s="71"/>
      <c r="L85" s="72"/>
    </row>
    <row r="86" spans="1:15" x14ac:dyDescent="0.2">
      <c r="A86" s="63" t="s">
        <v>95</v>
      </c>
      <c r="B86" s="66">
        <v>96143</v>
      </c>
      <c r="E86" s="46"/>
      <c r="G86" s="69"/>
      <c r="H86" s="46"/>
      <c r="J86" s="71"/>
      <c r="L86" s="72"/>
      <c r="M86" s="46">
        <v>96143</v>
      </c>
      <c r="O86" s="46">
        <v>96143</v>
      </c>
    </row>
    <row r="87" spans="1:15" x14ac:dyDescent="0.2">
      <c r="A87" s="64" t="s">
        <v>95</v>
      </c>
      <c r="B87" s="66">
        <v>96143</v>
      </c>
      <c r="E87" s="46"/>
      <c r="G87" s="69"/>
      <c r="H87" s="46"/>
      <c r="J87" s="71"/>
      <c r="L87" s="72"/>
      <c r="M87" s="46">
        <v>96143</v>
      </c>
      <c r="O87" s="46">
        <v>96143</v>
      </c>
    </row>
    <row r="88" spans="1:15" x14ac:dyDescent="0.2">
      <c r="A88" s="63" t="s">
        <v>96</v>
      </c>
      <c r="B88" s="66">
        <v>31464</v>
      </c>
      <c r="D88" s="46">
        <v>26114</v>
      </c>
      <c r="E88" s="46"/>
      <c r="F88" s="70">
        <v>26114</v>
      </c>
      <c r="G88" s="69">
        <v>-5055</v>
      </c>
      <c r="H88" s="46">
        <v>5350</v>
      </c>
      <c r="J88" s="71"/>
      <c r="L88" s="72"/>
    </row>
    <row r="89" spans="1:15" x14ac:dyDescent="0.2">
      <c r="A89" s="64" t="s">
        <v>96</v>
      </c>
      <c r="B89" s="66">
        <v>31464</v>
      </c>
      <c r="D89" s="46">
        <v>26114</v>
      </c>
      <c r="E89" s="46"/>
      <c r="F89" s="70">
        <v>26114</v>
      </c>
      <c r="G89" s="69">
        <v>-5055</v>
      </c>
      <c r="H89" s="46">
        <v>5350</v>
      </c>
      <c r="J89" s="71"/>
      <c r="L89" s="72"/>
    </row>
    <row r="90" spans="1:15" x14ac:dyDescent="0.2">
      <c r="A90" s="63" t="s">
        <v>97</v>
      </c>
      <c r="B90" s="66">
        <v>4866</v>
      </c>
      <c r="E90" s="46">
        <v>4866</v>
      </c>
      <c r="F90" s="70">
        <v>4866</v>
      </c>
      <c r="G90" s="69">
        <v>1077</v>
      </c>
      <c r="H90" s="46"/>
      <c r="J90" s="71"/>
      <c r="L90" s="72"/>
    </row>
    <row r="91" spans="1:15" x14ac:dyDescent="0.2">
      <c r="A91" s="64" t="s">
        <v>97</v>
      </c>
      <c r="B91" s="66">
        <v>4866</v>
      </c>
      <c r="E91" s="46">
        <v>4866</v>
      </c>
      <c r="F91" s="70">
        <v>4866</v>
      </c>
      <c r="G91" s="69">
        <v>1077</v>
      </c>
      <c r="H91" s="46"/>
      <c r="J91" s="71"/>
      <c r="L91" s="72"/>
    </row>
    <row r="92" spans="1:15" x14ac:dyDescent="0.2">
      <c r="A92" s="63" t="s">
        <v>98</v>
      </c>
      <c r="B92" s="66">
        <v>1329926</v>
      </c>
      <c r="C92" s="46">
        <v>186091</v>
      </c>
      <c r="D92" s="46">
        <v>936038</v>
      </c>
      <c r="E92" s="46">
        <v>17900</v>
      </c>
      <c r="F92" s="70">
        <v>1140029</v>
      </c>
      <c r="G92" s="69">
        <v>-361023</v>
      </c>
      <c r="H92" s="46"/>
      <c r="I92" s="71">
        <v>50000</v>
      </c>
      <c r="J92" s="71">
        <v>25314</v>
      </c>
      <c r="L92" s="72">
        <v>38938</v>
      </c>
      <c r="M92" s="46">
        <v>114583</v>
      </c>
      <c r="N92" s="46">
        <v>18988</v>
      </c>
      <c r="O92" s="46">
        <v>95595</v>
      </c>
    </row>
    <row r="93" spans="1:15" x14ac:dyDescent="0.2">
      <c r="A93" s="64" t="s">
        <v>99</v>
      </c>
      <c r="B93" s="66">
        <v>826068</v>
      </c>
      <c r="C93" s="46">
        <v>4734</v>
      </c>
      <c r="D93" s="46">
        <v>646716</v>
      </c>
      <c r="E93" s="46">
        <v>17900</v>
      </c>
      <c r="F93" s="70">
        <v>669350</v>
      </c>
      <c r="G93" s="69">
        <v>-125607</v>
      </c>
      <c r="H93" s="46"/>
      <c r="I93" s="71">
        <v>50000</v>
      </c>
      <c r="J93" s="71"/>
      <c r="L93" s="72"/>
      <c r="M93" s="46">
        <v>106718</v>
      </c>
      <c r="N93" s="46">
        <v>11123</v>
      </c>
      <c r="O93" s="46">
        <v>95595</v>
      </c>
    </row>
    <row r="94" spans="1:15" x14ac:dyDescent="0.2">
      <c r="A94" s="64" t="s">
        <v>100</v>
      </c>
      <c r="B94" s="66">
        <v>281139</v>
      </c>
      <c r="C94" s="46">
        <v>66904</v>
      </c>
      <c r="D94" s="46">
        <v>206185</v>
      </c>
      <c r="E94" s="46"/>
      <c r="F94" s="70">
        <v>273089</v>
      </c>
      <c r="G94" s="69">
        <v>-46381</v>
      </c>
      <c r="H94" s="46"/>
      <c r="J94" s="71">
        <v>2000</v>
      </c>
      <c r="L94" s="72">
        <v>38938</v>
      </c>
      <c r="M94" s="46">
        <v>6050</v>
      </c>
      <c r="N94" s="46">
        <v>6050</v>
      </c>
    </row>
    <row r="95" spans="1:15" x14ac:dyDescent="0.2">
      <c r="A95" s="64" t="s">
        <v>101</v>
      </c>
      <c r="B95" s="66">
        <v>222719</v>
      </c>
      <c r="C95" s="46">
        <v>114453</v>
      </c>
      <c r="D95" s="46">
        <v>83137</v>
      </c>
      <c r="E95" s="46"/>
      <c r="F95" s="70">
        <v>197590</v>
      </c>
      <c r="G95" s="69">
        <v>-189035</v>
      </c>
      <c r="H95" s="46"/>
      <c r="J95" s="71">
        <v>23314</v>
      </c>
      <c r="L95" s="72"/>
      <c r="M95" s="46">
        <v>1815</v>
      </c>
      <c r="N95" s="46">
        <v>1815</v>
      </c>
    </row>
    <row r="96" spans="1:15" x14ac:dyDescent="0.2">
      <c r="A96" s="63" t="s">
        <v>102</v>
      </c>
      <c r="B96" s="66">
        <v>413479</v>
      </c>
      <c r="D96" s="46">
        <v>158479</v>
      </c>
      <c r="E96" s="46"/>
      <c r="F96" s="70">
        <v>158479</v>
      </c>
      <c r="G96" s="69">
        <v>-366301</v>
      </c>
      <c r="H96" s="46"/>
      <c r="J96" s="71">
        <v>255000</v>
      </c>
      <c r="L96" s="72">
        <v>120000</v>
      </c>
    </row>
    <row r="97" spans="1:16" x14ac:dyDescent="0.2">
      <c r="A97" s="64" t="s">
        <v>103</v>
      </c>
      <c r="B97" s="66">
        <v>413479</v>
      </c>
      <c r="D97" s="46">
        <v>158479</v>
      </c>
      <c r="E97" s="46"/>
      <c r="F97" s="70">
        <v>158479</v>
      </c>
      <c r="G97" s="69">
        <v>-366301</v>
      </c>
      <c r="H97" s="46"/>
      <c r="J97" s="71">
        <v>255000</v>
      </c>
      <c r="L97" s="72">
        <v>120000</v>
      </c>
    </row>
    <row r="98" spans="1:16" x14ac:dyDescent="0.2">
      <c r="A98" s="63" t="s">
        <v>104</v>
      </c>
      <c r="B98" s="66">
        <v>100888</v>
      </c>
      <c r="C98" s="46">
        <v>60618</v>
      </c>
      <c r="D98" s="46">
        <v>17080</v>
      </c>
      <c r="E98" s="46"/>
      <c r="F98" s="70">
        <v>77698</v>
      </c>
      <c r="G98" s="69">
        <v>-8593</v>
      </c>
      <c r="H98" s="46"/>
      <c r="J98" s="71"/>
      <c r="K98" s="72">
        <v>12000</v>
      </c>
      <c r="L98" s="72">
        <v>2000</v>
      </c>
      <c r="M98" s="46">
        <v>23190</v>
      </c>
      <c r="N98" s="46">
        <v>926</v>
      </c>
      <c r="O98" s="46">
        <v>22264</v>
      </c>
    </row>
    <row r="99" spans="1:16" x14ac:dyDescent="0.2">
      <c r="A99" s="64" t="s">
        <v>104</v>
      </c>
      <c r="B99" s="66">
        <v>100888</v>
      </c>
      <c r="C99" s="46">
        <v>60618</v>
      </c>
      <c r="D99" s="46">
        <v>17080</v>
      </c>
      <c r="E99" s="46"/>
      <c r="F99" s="70">
        <v>77698</v>
      </c>
      <c r="G99" s="69">
        <v>-8593</v>
      </c>
      <c r="H99" s="46"/>
      <c r="J99" s="71"/>
      <c r="K99" s="72">
        <v>12000</v>
      </c>
      <c r="L99" s="72">
        <v>2000</v>
      </c>
      <c r="M99" s="46">
        <v>23190</v>
      </c>
      <c r="N99" s="46">
        <v>926</v>
      </c>
      <c r="O99" s="46">
        <v>22264</v>
      </c>
    </row>
    <row r="100" spans="1:16" x14ac:dyDescent="0.2">
      <c r="A100" s="63" t="s">
        <v>105</v>
      </c>
      <c r="B100" s="66">
        <v>30000</v>
      </c>
      <c r="E100" s="46"/>
      <c r="F100" s="70">
        <v>0</v>
      </c>
      <c r="G100" s="69">
        <v>-30000</v>
      </c>
      <c r="H100" s="46"/>
      <c r="J100" s="71">
        <v>30000</v>
      </c>
      <c r="L100" s="72"/>
    </row>
    <row r="101" spans="1:16" x14ac:dyDescent="0.2">
      <c r="A101" s="64" t="s">
        <v>105</v>
      </c>
      <c r="B101" s="66">
        <v>30000</v>
      </c>
      <c r="E101" s="46"/>
      <c r="F101" s="70">
        <v>0</v>
      </c>
      <c r="G101" s="69">
        <v>-30000</v>
      </c>
      <c r="H101" s="46"/>
      <c r="J101" s="71">
        <v>30000</v>
      </c>
      <c r="L101" s="72"/>
    </row>
    <row r="102" spans="1:16" x14ac:dyDescent="0.2">
      <c r="A102" s="63" t="s">
        <v>106</v>
      </c>
      <c r="B102" s="66">
        <v>39000</v>
      </c>
      <c r="D102" s="46">
        <v>39000</v>
      </c>
      <c r="E102" s="46"/>
      <c r="F102" s="70">
        <v>39000</v>
      </c>
      <c r="G102" s="69">
        <v>-19192</v>
      </c>
      <c r="H102" s="46"/>
      <c r="J102" s="71"/>
      <c r="L102" s="72"/>
    </row>
    <row r="103" spans="1:16" x14ac:dyDescent="0.2">
      <c r="A103" s="64" t="s">
        <v>106</v>
      </c>
      <c r="B103" s="66">
        <v>39000</v>
      </c>
      <c r="D103" s="46">
        <v>39000</v>
      </c>
      <c r="E103" s="46"/>
      <c r="F103" s="70">
        <v>39000</v>
      </c>
      <c r="G103" s="69">
        <v>-19192</v>
      </c>
      <c r="H103" s="46"/>
      <c r="J103" s="71"/>
      <c r="L103" s="72"/>
    </row>
    <row r="104" spans="1:16" x14ac:dyDescent="0.2">
      <c r="A104" s="63" t="s">
        <v>107</v>
      </c>
      <c r="B104" s="66">
        <v>36503365</v>
      </c>
      <c r="C104" s="46">
        <v>15417707</v>
      </c>
      <c r="D104" s="46">
        <v>7966621</v>
      </c>
      <c r="E104" s="46">
        <v>357197</v>
      </c>
      <c r="F104" s="70">
        <v>23741525</v>
      </c>
      <c r="G104" s="69">
        <v>-1116933</v>
      </c>
      <c r="H104" s="46">
        <v>7422214</v>
      </c>
      <c r="I104" s="71">
        <v>323100</v>
      </c>
      <c r="J104" s="71">
        <v>910294</v>
      </c>
      <c r="K104" s="72">
        <v>384971</v>
      </c>
      <c r="L104" s="72">
        <v>728201</v>
      </c>
      <c r="M104" s="46">
        <v>4106232</v>
      </c>
      <c r="N104" s="46">
        <v>96868</v>
      </c>
      <c r="O104" s="46">
        <v>2028131</v>
      </c>
      <c r="P104" s="46">
        <v>1981233</v>
      </c>
    </row>
    <row r="105" spans="1:16" x14ac:dyDescent="0.2">
      <c r="A105" s="64" t="s">
        <v>107</v>
      </c>
      <c r="B105" s="66">
        <v>36503365</v>
      </c>
      <c r="C105" s="46">
        <v>15417707</v>
      </c>
      <c r="D105" s="46">
        <v>7966621</v>
      </c>
      <c r="E105" s="46">
        <v>357197</v>
      </c>
      <c r="F105" s="70">
        <v>23741525</v>
      </c>
      <c r="G105" s="69">
        <v>-1116933</v>
      </c>
      <c r="H105" s="46">
        <v>7422214</v>
      </c>
      <c r="I105" s="71">
        <v>323100</v>
      </c>
      <c r="J105" s="71">
        <v>910294</v>
      </c>
      <c r="K105" s="72">
        <v>384971</v>
      </c>
      <c r="L105" s="72">
        <v>728201</v>
      </c>
      <c r="M105" s="46">
        <v>4106232</v>
      </c>
      <c r="N105" s="46">
        <v>96868</v>
      </c>
      <c r="O105" s="46">
        <v>2028131</v>
      </c>
      <c r="P105" s="46">
        <v>1981233</v>
      </c>
    </row>
    <row r="106" spans="1:16" x14ac:dyDescent="0.2">
      <c r="A106" s="63" t="s">
        <v>108</v>
      </c>
      <c r="B106" s="66">
        <v>119651</v>
      </c>
      <c r="C106" s="46">
        <v>96995</v>
      </c>
      <c r="D106" s="46">
        <v>22656</v>
      </c>
      <c r="E106" s="46"/>
      <c r="F106" s="70">
        <v>119651</v>
      </c>
      <c r="G106" s="69">
        <v>119651</v>
      </c>
      <c r="H106" s="46"/>
      <c r="J106" s="71"/>
      <c r="L106" s="72"/>
    </row>
    <row r="107" spans="1:16" x14ac:dyDescent="0.2">
      <c r="A107" s="64" t="s">
        <v>109</v>
      </c>
      <c r="B107" s="66">
        <v>68974</v>
      </c>
      <c r="C107" s="46">
        <v>58943</v>
      </c>
      <c r="D107" s="46">
        <v>10031</v>
      </c>
      <c r="E107" s="46"/>
      <c r="F107" s="70">
        <v>68974</v>
      </c>
      <c r="G107" s="69">
        <v>68974</v>
      </c>
      <c r="H107" s="46"/>
      <c r="J107" s="71"/>
      <c r="L107" s="72"/>
    </row>
    <row r="108" spans="1:16" x14ac:dyDescent="0.2">
      <c r="A108" s="64" t="s">
        <v>110</v>
      </c>
      <c r="B108" s="66">
        <v>50677</v>
      </c>
      <c r="C108" s="46">
        <v>38052</v>
      </c>
      <c r="D108" s="46">
        <v>12625</v>
      </c>
      <c r="E108" s="46"/>
      <c r="F108" s="70">
        <v>50677</v>
      </c>
      <c r="G108" s="69">
        <v>50677</v>
      </c>
      <c r="H108" s="46"/>
      <c r="J108" s="71"/>
      <c r="L108" s="72"/>
    </row>
    <row r="109" spans="1:16" x14ac:dyDescent="0.2">
      <c r="A109" s="63" t="s">
        <v>111</v>
      </c>
      <c r="B109" s="66">
        <v>3686459</v>
      </c>
      <c r="C109" s="46">
        <v>2255834</v>
      </c>
      <c r="D109" s="46">
        <v>1151595</v>
      </c>
      <c r="E109" s="46">
        <v>96120</v>
      </c>
      <c r="F109" s="70">
        <v>3502899</v>
      </c>
      <c r="G109" s="69">
        <v>88051</v>
      </c>
      <c r="H109" s="46">
        <v>69985</v>
      </c>
      <c r="I109" s="71">
        <v>7724</v>
      </c>
      <c r="J109" s="71">
        <v>105201</v>
      </c>
      <c r="K109" s="72">
        <v>32402</v>
      </c>
      <c r="L109" s="72">
        <v>99237</v>
      </c>
      <c r="M109" s="46">
        <v>0</v>
      </c>
    </row>
    <row r="110" spans="1:16" x14ac:dyDescent="0.2">
      <c r="A110" s="64" t="s">
        <v>112</v>
      </c>
      <c r="B110" s="66">
        <v>290111</v>
      </c>
      <c r="C110" s="46">
        <v>150662</v>
      </c>
      <c r="D110" s="46">
        <v>116910</v>
      </c>
      <c r="E110" s="46">
        <v>18759</v>
      </c>
      <c r="F110" s="70">
        <v>286331</v>
      </c>
      <c r="G110" s="69">
        <v>31096</v>
      </c>
      <c r="H110" s="46"/>
      <c r="J110" s="71">
        <v>3780</v>
      </c>
      <c r="L110" s="72"/>
    </row>
    <row r="111" spans="1:16" x14ac:dyDescent="0.2">
      <c r="A111" s="64" t="s">
        <v>113</v>
      </c>
      <c r="B111" s="66">
        <v>270071</v>
      </c>
      <c r="C111" s="46">
        <v>167797</v>
      </c>
      <c r="D111" s="46">
        <v>93574</v>
      </c>
      <c r="E111" s="46">
        <v>1700</v>
      </c>
      <c r="F111" s="70">
        <v>263071</v>
      </c>
      <c r="G111" s="69">
        <v>-20067</v>
      </c>
      <c r="H111" s="46"/>
      <c r="J111" s="71">
        <v>7000</v>
      </c>
      <c r="L111" s="72">
        <v>40000</v>
      </c>
    </row>
    <row r="112" spans="1:16" x14ac:dyDescent="0.2">
      <c r="A112" s="64" t="s">
        <v>114</v>
      </c>
      <c r="B112" s="66">
        <v>261157</v>
      </c>
      <c r="C112" s="46">
        <v>155242</v>
      </c>
      <c r="D112" s="46">
        <v>45106</v>
      </c>
      <c r="E112" s="46">
        <v>11564</v>
      </c>
      <c r="F112" s="70">
        <v>211912</v>
      </c>
      <c r="G112" s="69">
        <v>18393</v>
      </c>
      <c r="H112" s="46">
        <v>9998</v>
      </c>
      <c r="J112" s="71">
        <v>39247</v>
      </c>
      <c r="L112" s="72">
        <v>885</v>
      </c>
    </row>
    <row r="113" spans="1:13" x14ac:dyDescent="0.2">
      <c r="A113" s="64" t="s">
        <v>115</v>
      </c>
      <c r="B113" s="66">
        <v>242213</v>
      </c>
      <c r="C113" s="46">
        <v>172725</v>
      </c>
      <c r="D113" s="46">
        <v>57925</v>
      </c>
      <c r="E113" s="46">
        <v>870</v>
      </c>
      <c r="F113" s="70">
        <v>231520</v>
      </c>
      <c r="G113" s="69">
        <v>-14419</v>
      </c>
      <c r="H113" s="46"/>
      <c r="I113" s="71">
        <v>1000</v>
      </c>
      <c r="J113" s="71">
        <v>9693</v>
      </c>
      <c r="L113" s="72">
        <v>3600</v>
      </c>
    </row>
    <row r="114" spans="1:13" x14ac:dyDescent="0.2">
      <c r="A114" s="64" t="s">
        <v>116</v>
      </c>
      <c r="B114" s="66">
        <v>226350</v>
      </c>
      <c r="C114" s="46">
        <v>143704</v>
      </c>
      <c r="D114" s="46">
        <v>60622</v>
      </c>
      <c r="E114" s="46">
        <v>8026</v>
      </c>
      <c r="F114" s="70">
        <v>212352</v>
      </c>
      <c r="G114" s="69">
        <v>47415</v>
      </c>
      <c r="H114" s="46">
        <v>9998</v>
      </c>
      <c r="J114" s="71">
        <v>4000</v>
      </c>
      <c r="K114" s="72">
        <v>9336</v>
      </c>
      <c r="L114" s="72">
        <v>1000</v>
      </c>
    </row>
    <row r="115" spans="1:13" x14ac:dyDescent="0.2">
      <c r="A115" s="64" t="s">
        <v>117</v>
      </c>
      <c r="B115" s="66">
        <v>222723</v>
      </c>
      <c r="C115" s="46">
        <v>138139</v>
      </c>
      <c r="D115" s="46">
        <v>82034</v>
      </c>
      <c r="E115" s="46">
        <v>2050</v>
      </c>
      <c r="F115" s="70">
        <v>222223</v>
      </c>
      <c r="G115" s="69">
        <v>-298703</v>
      </c>
      <c r="H115" s="46"/>
      <c r="J115" s="71">
        <v>500</v>
      </c>
      <c r="L115" s="72">
        <v>11239</v>
      </c>
    </row>
    <row r="116" spans="1:13" x14ac:dyDescent="0.2">
      <c r="A116" s="64" t="s">
        <v>118</v>
      </c>
      <c r="B116" s="66">
        <v>207044</v>
      </c>
      <c r="C116" s="46">
        <v>117380</v>
      </c>
      <c r="D116" s="46">
        <v>68459</v>
      </c>
      <c r="E116" s="46">
        <v>9985</v>
      </c>
      <c r="F116" s="70">
        <v>195824</v>
      </c>
      <c r="G116" s="69">
        <v>17525</v>
      </c>
      <c r="H116" s="46"/>
      <c r="J116" s="71">
        <v>11220</v>
      </c>
      <c r="L116" s="72"/>
    </row>
    <row r="117" spans="1:13" x14ac:dyDescent="0.2">
      <c r="A117" s="64" t="s">
        <v>119</v>
      </c>
      <c r="B117" s="66">
        <v>198708</v>
      </c>
      <c r="C117" s="46">
        <v>140499</v>
      </c>
      <c r="D117" s="46">
        <v>53765</v>
      </c>
      <c r="E117" s="46">
        <v>3694</v>
      </c>
      <c r="F117" s="70">
        <v>197958</v>
      </c>
      <c r="G117" s="69">
        <v>32385</v>
      </c>
      <c r="H117" s="46"/>
      <c r="J117" s="71">
        <v>750</v>
      </c>
      <c r="L117" s="72">
        <v>1500</v>
      </c>
    </row>
    <row r="118" spans="1:13" x14ac:dyDescent="0.2">
      <c r="A118" s="64" t="s">
        <v>120</v>
      </c>
      <c r="B118" s="66">
        <v>194309</v>
      </c>
      <c r="C118" s="46">
        <v>126854</v>
      </c>
      <c r="D118" s="46">
        <v>50607</v>
      </c>
      <c r="E118" s="46">
        <v>850</v>
      </c>
      <c r="F118" s="70">
        <v>178311</v>
      </c>
      <c r="G118" s="69">
        <v>29568</v>
      </c>
      <c r="H118" s="46">
        <v>9998</v>
      </c>
      <c r="J118" s="71">
        <v>6000</v>
      </c>
      <c r="K118" s="72">
        <v>11066</v>
      </c>
      <c r="L118" s="72">
        <v>2000</v>
      </c>
    </row>
    <row r="119" spans="1:13" x14ac:dyDescent="0.2">
      <c r="A119" s="64" t="s">
        <v>121</v>
      </c>
      <c r="B119" s="66">
        <v>173024</v>
      </c>
      <c r="C119" s="46">
        <v>96083</v>
      </c>
      <c r="D119" s="46">
        <v>64120</v>
      </c>
      <c r="E119" s="46">
        <v>5821</v>
      </c>
      <c r="F119" s="70">
        <v>166024</v>
      </c>
      <c r="G119" s="69">
        <v>9006</v>
      </c>
      <c r="H119" s="46"/>
      <c r="I119" s="71">
        <v>1300</v>
      </c>
      <c r="J119" s="71">
        <v>5700</v>
      </c>
      <c r="K119" s="72">
        <v>12000</v>
      </c>
      <c r="L119" s="72"/>
    </row>
    <row r="120" spans="1:13" x14ac:dyDescent="0.2">
      <c r="A120" s="64" t="s">
        <v>122</v>
      </c>
      <c r="B120" s="66">
        <v>160876</v>
      </c>
      <c r="C120" s="46">
        <v>109638</v>
      </c>
      <c r="D120" s="46">
        <v>40962</v>
      </c>
      <c r="E120" s="46">
        <v>2850</v>
      </c>
      <c r="F120" s="70">
        <v>153450</v>
      </c>
      <c r="G120" s="69">
        <v>15922</v>
      </c>
      <c r="H120" s="46"/>
      <c r="J120" s="71">
        <v>7426</v>
      </c>
      <c r="L120" s="72">
        <v>5650</v>
      </c>
    </row>
    <row r="121" spans="1:13" x14ac:dyDescent="0.2">
      <c r="A121" s="64" t="s">
        <v>123</v>
      </c>
      <c r="B121" s="66">
        <v>160135</v>
      </c>
      <c r="C121" s="46">
        <v>91433</v>
      </c>
      <c r="D121" s="46">
        <v>67852</v>
      </c>
      <c r="E121" s="46">
        <v>850</v>
      </c>
      <c r="F121" s="70">
        <v>160135</v>
      </c>
      <c r="G121" s="69">
        <v>-16863</v>
      </c>
      <c r="H121" s="46"/>
      <c r="J121" s="71"/>
      <c r="L121" s="72"/>
    </row>
    <row r="122" spans="1:13" x14ac:dyDescent="0.2">
      <c r="A122" s="64" t="s">
        <v>124</v>
      </c>
      <c r="B122" s="66">
        <v>157100</v>
      </c>
      <c r="C122" s="46">
        <v>82066</v>
      </c>
      <c r="D122" s="46">
        <v>69914</v>
      </c>
      <c r="E122" s="46">
        <v>1620</v>
      </c>
      <c r="F122" s="70">
        <v>153600</v>
      </c>
      <c r="G122" s="69">
        <v>-38963</v>
      </c>
      <c r="H122" s="46"/>
      <c r="J122" s="71">
        <v>3500</v>
      </c>
      <c r="L122" s="72"/>
    </row>
    <row r="123" spans="1:13" x14ac:dyDescent="0.2">
      <c r="A123" s="64" t="s">
        <v>125</v>
      </c>
      <c r="B123" s="66">
        <v>151109</v>
      </c>
      <c r="C123" s="46">
        <v>96153</v>
      </c>
      <c r="D123" s="46">
        <v>46213</v>
      </c>
      <c r="E123" s="46">
        <v>5743</v>
      </c>
      <c r="F123" s="70">
        <v>147459</v>
      </c>
      <c r="G123" s="69">
        <v>22660</v>
      </c>
      <c r="H123" s="46"/>
      <c r="I123" s="71">
        <v>3000</v>
      </c>
      <c r="J123" s="71"/>
      <c r="L123" s="72"/>
    </row>
    <row r="124" spans="1:13" x14ac:dyDescent="0.2">
      <c r="A124" s="64" t="s">
        <v>126</v>
      </c>
      <c r="B124" s="66">
        <v>144924</v>
      </c>
      <c r="C124" s="46">
        <v>88746</v>
      </c>
      <c r="D124" s="46">
        <v>43555</v>
      </c>
      <c r="E124" s="46">
        <v>870</v>
      </c>
      <c r="F124" s="70">
        <v>133171</v>
      </c>
      <c r="G124" s="69">
        <v>-5136</v>
      </c>
      <c r="H124" s="46">
        <v>9998</v>
      </c>
      <c r="J124" s="71">
        <v>1755</v>
      </c>
      <c r="L124" s="72"/>
    </row>
    <row r="125" spans="1:13" x14ac:dyDescent="0.2">
      <c r="A125" s="64" t="s">
        <v>127</v>
      </c>
      <c r="B125" s="66">
        <v>144079</v>
      </c>
      <c r="C125" s="46">
        <v>97439</v>
      </c>
      <c r="D125" s="46">
        <v>35642</v>
      </c>
      <c r="E125" s="46">
        <v>1000</v>
      </c>
      <c r="F125" s="70">
        <v>134081</v>
      </c>
      <c r="G125" s="69">
        <v>134081</v>
      </c>
      <c r="H125" s="46">
        <v>9998</v>
      </c>
      <c r="J125" s="71"/>
      <c r="L125" s="72">
        <v>13875</v>
      </c>
    </row>
    <row r="126" spans="1:13" x14ac:dyDescent="0.2">
      <c r="A126" s="64" t="s">
        <v>128</v>
      </c>
      <c r="B126" s="66">
        <v>132363</v>
      </c>
      <c r="C126" s="46">
        <v>67249</v>
      </c>
      <c r="D126" s="46">
        <v>48351</v>
      </c>
      <c r="E126" s="46">
        <v>4385</v>
      </c>
      <c r="F126" s="70">
        <v>119985</v>
      </c>
      <c r="G126" s="69">
        <v>12727</v>
      </c>
      <c r="H126" s="46">
        <v>9998</v>
      </c>
      <c r="J126" s="71">
        <v>2380</v>
      </c>
      <c r="L126" s="72">
        <v>1938</v>
      </c>
    </row>
    <row r="127" spans="1:13" x14ac:dyDescent="0.2">
      <c r="A127" s="64" t="s">
        <v>129</v>
      </c>
      <c r="B127" s="66">
        <v>103898</v>
      </c>
      <c r="C127" s="46">
        <v>66169</v>
      </c>
      <c r="D127" s="46">
        <v>29029</v>
      </c>
      <c r="E127" s="46">
        <v>5650</v>
      </c>
      <c r="F127" s="70">
        <v>100848</v>
      </c>
      <c r="G127" s="69">
        <v>100848</v>
      </c>
      <c r="H127" s="46"/>
      <c r="I127" s="71">
        <v>1800</v>
      </c>
      <c r="J127" s="71">
        <v>1250</v>
      </c>
      <c r="L127" s="72">
        <v>7900</v>
      </c>
    </row>
    <row r="128" spans="1:13" x14ac:dyDescent="0.2">
      <c r="A128" s="64" t="s">
        <v>130</v>
      </c>
      <c r="B128" s="66">
        <v>101675</v>
      </c>
      <c r="C128" s="46">
        <v>66355</v>
      </c>
      <c r="D128" s="46">
        <v>23829</v>
      </c>
      <c r="E128" s="46">
        <v>870</v>
      </c>
      <c r="F128" s="70">
        <v>91054</v>
      </c>
      <c r="G128" s="69">
        <v>3811</v>
      </c>
      <c r="H128" s="46">
        <v>9997</v>
      </c>
      <c r="I128" s="71">
        <v>624</v>
      </c>
      <c r="J128" s="71"/>
      <c r="L128" s="72"/>
      <c r="M128" s="46">
        <v>0</v>
      </c>
    </row>
    <row r="129" spans="1:15" x14ac:dyDescent="0.2">
      <c r="A129" s="64" t="s">
        <v>131</v>
      </c>
      <c r="B129" s="66">
        <v>93640</v>
      </c>
      <c r="C129" s="46">
        <v>48616</v>
      </c>
      <c r="D129" s="46">
        <v>35911</v>
      </c>
      <c r="E129" s="46">
        <v>8113</v>
      </c>
      <c r="F129" s="70">
        <v>92640</v>
      </c>
      <c r="G129" s="69">
        <v>20900</v>
      </c>
      <c r="H129" s="46"/>
      <c r="J129" s="71">
        <v>1000</v>
      </c>
      <c r="L129" s="72">
        <v>9650</v>
      </c>
    </row>
    <row r="130" spans="1:15" x14ac:dyDescent="0.2">
      <c r="A130" s="64" t="s">
        <v>132</v>
      </c>
      <c r="B130" s="66">
        <v>50950</v>
      </c>
      <c r="C130" s="46">
        <v>32885</v>
      </c>
      <c r="D130" s="46">
        <v>17215</v>
      </c>
      <c r="E130" s="46">
        <v>850</v>
      </c>
      <c r="F130" s="70">
        <v>50950</v>
      </c>
      <c r="G130" s="69">
        <v>-14135</v>
      </c>
      <c r="H130" s="46"/>
      <c r="J130" s="71"/>
      <c r="L130" s="72"/>
    </row>
    <row r="131" spans="1:15" x14ac:dyDescent="0.2">
      <c r="A131" s="63" t="s">
        <v>133</v>
      </c>
      <c r="B131" s="66">
        <v>2173912</v>
      </c>
      <c r="C131" s="46">
        <v>675702</v>
      </c>
      <c r="D131" s="46">
        <v>309232</v>
      </c>
      <c r="E131" s="46">
        <v>18470</v>
      </c>
      <c r="F131" s="70">
        <v>1003404</v>
      </c>
      <c r="G131" s="69">
        <v>122690</v>
      </c>
      <c r="H131" s="46">
        <v>926927</v>
      </c>
      <c r="I131" s="71">
        <v>47190</v>
      </c>
      <c r="J131" s="71">
        <v>30069</v>
      </c>
      <c r="K131" s="72">
        <v>9702</v>
      </c>
      <c r="L131" s="72">
        <v>55860</v>
      </c>
      <c r="M131" s="46">
        <v>166322</v>
      </c>
      <c r="N131" s="46">
        <v>16764</v>
      </c>
      <c r="O131" s="46">
        <v>149558</v>
      </c>
    </row>
    <row r="132" spans="1:15" x14ac:dyDescent="0.2">
      <c r="A132" s="64" t="s">
        <v>134</v>
      </c>
      <c r="B132" s="66">
        <v>577419</v>
      </c>
      <c r="C132" s="46">
        <v>195011</v>
      </c>
      <c r="D132" s="46">
        <v>95632</v>
      </c>
      <c r="E132" s="46">
        <v>5400</v>
      </c>
      <c r="F132" s="70">
        <v>296043</v>
      </c>
      <c r="G132" s="69">
        <v>70679</v>
      </c>
      <c r="H132" s="46">
        <v>231307</v>
      </c>
      <c r="I132" s="71">
        <v>20000</v>
      </c>
      <c r="J132" s="71">
        <v>30069</v>
      </c>
      <c r="L132" s="72">
        <v>30000</v>
      </c>
    </row>
    <row r="133" spans="1:15" x14ac:dyDescent="0.2">
      <c r="A133" s="64" t="s">
        <v>135</v>
      </c>
      <c r="B133" s="66">
        <v>516429</v>
      </c>
      <c r="C133" s="46">
        <v>127097</v>
      </c>
      <c r="D133" s="46">
        <v>49353</v>
      </c>
      <c r="E133" s="46">
        <v>4270</v>
      </c>
      <c r="F133" s="70">
        <v>180720</v>
      </c>
      <c r="G133" s="69">
        <v>10824</v>
      </c>
      <c r="H133" s="46">
        <v>325219</v>
      </c>
      <c r="I133" s="71">
        <v>10490</v>
      </c>
      <c r="J133" s="71"/>
      <c r="K133" s="72">
        <v>9702</v>
      </c>
      <c r="L133" s="72">
        <v>25860</v>
      </c>
    </row>
    <row r="134" spans="1:15" x14ac:dyDescent="0.2">
      <c r="A134" s="64" t="s">
        <v>136</v>
      </c>
      <c r="B134" s="66">
        <v>394353</v>
      </c>
      <c r="C134" s="46">
        <v>109666</v>
      </c>
      <c r="D134" s="46">
        <v>76438</v>
      </c>
      <c r="E134" s="46">
        <v>7500</v>
      </c>
      <c r="F134" s="70">
        <v>193604</v>
      </c>
      <c r="G134" s="69">
        <v>20924</v>
      </c>
      <c r="H134" s="46">
        <v>55735</v>
      </c>
      <c r="J134" s="71"/>
      <c r="L134" s="72"/>
      <c r="M134" s="46">
        <v>145014</v>
      </c>
      <c r="O134" s="46">
        <v>145014</v>
      </c>
    </row>
    <row r="135" spans="1:15" x14ac:dyDescent="0.2">
      <c r="A135" s="64" t="s">
        <v>137</v>
      </c>
      <c r="B135" s="66">
        <v>293346</v>
      </c>
      <c r="C135" s="46">
        <v>77637</v>
      </c>
      <c r="D135" s="46">
        <v>30584</v>
      </c>
      <c r="E135" s="46">
        <v>1000</v>
      </c>
      <c r="F135" s="70">
        <v>109221</v>
      </c>
      <c r="G135" s="69">
        <v>-2703</v>
      </c>
      <c r="H135" s="46">
        <v>178125</v>
      </c>
      <c r="I135" s="71">
        <v>6000</v>
      </c>
      <c r="J135" s="71"/>
      <c r="L135" s="72"/>
    </row>
    <row r="136" spans="1:15" x14ac:dyDescent="0.2">
      <c r="A136" s="64" t="s">
        <v>138</v>
      </c>
      <c r="B136" s="66">
        <v>257446</v>
      </c>
      <c r="C136" s="46">
        <v>113028</v>
      </c>
      <c r="D136" s="46">
        <v>42085</v>
      </c>
      <c r="E136" s="46">
        <v>300</v>
      </c>
      <c r="F136" s="70">
        <v>155413</v>
      </c>
      <c r="G136" s="69">
        <v>18044</v>
      </c>
      <c r="H136" s="46">
        <v>70025</v>
      </c>
      <c r="I136" s="71">
        <v>10700</v>
      </c>
      <c r="J136" s="71"/>
      <c r="L136" s="72"/>
      <c r="M136" s="46">
        <v>21308</v>
      </c>
      <c r="N136" s="46">
        <v>16764</v>
      </c>
      <c r="O136" s="46">
        <v>4544</v>
      </c>
    </row>
    <row r="137" spans="1:15" x14ac:dyDescent="0.2">
      <c r="A137" s="64" t="s">
        <v>139</v>
      </c>
      <c r="B137" s="66">
        <v>134919</v>
      </c>
      <c r="C137" s="46">
        <v>53263</v>
      </c>
      <c r="D137" s="46">
        <v>15140</v>
      </c>
      <c r="E137" s="46"/>
      <c r="F137" s="70">
        <v>68403</v>
      </c>
      <c r="G137" s="69">
        <v>4922</v>
      </c>
      <c r="H137" s="46">
        <v>66516</v>
      </c>
      <c r="J137" s="71"/>
      <c r="L137" s="72"/>
    </row>
    <row r="138" spans="1:15" x14ac:dyDescent="0.2">
      <c r="A138" s="63" t="s">
        <v>140</v>
      </c>
      <c r="B138" s="66">
        <v>526827</v>
      </c>
      <c r="C138" s="46">
        <v>254972</v>
      </c>
      <c r="D138" s="46">
        <v>271855</v>
      </c>
      <c r="E138" s="46"/>
      <c r="F138" s="70">
        <v>526827</v>
      </c>
      <c r="G138" s="69">
        <v>189630</v>
      </c>
      <c r="H138" s="46"/>
      <c r="J138" s="71"/>
      <c r="L138" s="72"/>
    </row>
    <row r="139" spans="1:15" x14ac:dyDescent="0.2">
      <c r="A139" s="64" t="s">
        <v>141</v>
      </c>
      <c r="B139" s="66">
        <v>365196</v>
      </c>
      <c r="C139" s="46">
        <v>176812</v>
      </c>
      <c r="D139" s="46">
        <v>188384</v>
      </c>
      <c r="E139" s="46"/>
      <c r="F139" s="70">
        <v>365196</v>
      </c>
      <c r="G139" s="69">
        <v>176674</v>
      </c>
      <c r="H139" s="46"/>
      <c r="J139" s="71"/>
      <c r="L139" s="72"/>
    </row>
    <row r="140" spans="1:15" x14ac:dyDescent="0.2">
      <c r="A140" s="64" t="s">
        <v>142</v>
      </c>
      <c r="B140" s="66">
        <v>89741</v>
      </c>
      <c r="C140" s="46">
        <v>45877</v>
      </c>
      <c r="D140" s="46">
        <v>43864</v>
      </c>
      <c r="E140" s="46"/>
      <c r="F140" s="70">
        <v>89741</v>
      </c>
      <c r="G140" s="69">
        <v>-2209</v>
      </c>
      <c r="H140" s="46"/>
      <c r="J140" s="71"/>
      <c r="L140" s="72"/>
    </row>
    <row r="141" spans="1:15" x14ac:dyDescent="0.2">
      <c r="A141" s="64" t="s">
        <v>143</v>
      </c>
      <c r="B141" s="66">
        <v>66272</v>
      </c>
      <c r="C141" s="46">
        <v>32283</v>
      </c>
      <c r="D141" s="46">
        <v>33989</v>
      </c>
      <c r="E141" s="46"/>
      <c r="F141" s="70">
        <v>66272</v>
      </c>
      <c r="G141" s="69">
        <v>9547</v>
      </c>
      <c r="H141" s="46"/>
      <c r="J141" s="71"/>
      <c r="L141" s="72"/>
    </row>
    <row r="142" spans="1:15" x14ac:dyDescent="0.2">
      <c r="A142" s="64" t="s">
        <v>144</v>
      </c>
      <c r="B142" s="66">
        <v>3428</v>
      </c>
      <c r="D142" s="46">
        <v>3428</v>
      </c>
      <c r="E142" s="46"/>
      <c r="F142" s="70">
        <v>3428</v>
      </c>
      <c r="G142" s="69">
        <v>3428</v>
      </c>
      <c r="H142" s="46"/>
      <c r="J142" s="71"/>
      <c r="L142" s="72"/>
    </row>
    <row r="143" spans="1:15" x14ac:dyDescent="0.2">
      <c r="A143" s="64" t="s">
        <v>145</v>
      </c>
      <c r="B143" s="66">
        <v>2190</v>
      </c>
      <c r="D143" s="46">
        <v>2190</v>
      </c>
      <c r="E143" s="46"/>
      <c r="F143" s="70">
        <v>2190</v>
      </c>
      <c r="G143" s="69">
        <v>2190</v>
      </c>
      <c r="H143" s="46"/>
      <c r="J143" s="71"/>
      <c r="L143" s="72"/>
    </row>
    <row r="144" spans="1:15" x14ac:dyDescent="0.2">
      <c r="A144" s="63" t="s">
        <v>146</v>
      </c>
      <c r="B144" s="66">
        <v>264744</v>
      </c>
      <c r="C144" s="46">
        <v>184680</v>
      </c>
      <c r="D144" s="46">
        <v>26663</v>
      </c>
      <c r="E144" s="46"/>
      <c r="F144" s="70">
        <v>211343</v>
      </c>
      <c r="G144" s="69">
        <v>99095</v>
      </c>
      <c r="H144" s="46"/>
      <c r="J144" s="71"/>
      <c r="L144" s="72"/>
      <c r="M144" s="46">
        <v>53401</v>
      </c>
      <c r="O144" s="46">
        <v>53401</v>
      </c>
    </row>
    <row r="145" spans="1:15" x14ac:dyDescent="0.2">
      <c r="A145" s="64" t="s">
        <v>146</v>
      </c>
      <c r="B145" s="66">
        <v>264744</v>
      </c>
      <c r="C145" s="46">
        <v>184680</v>
      </c>
      <c r="D145" s="46">
        <v>26663</v>
      </c>
      <c r="E145" s="46"/>
      <c r="F145" s="70">
        <v>211343</v>
      </c>
      <c r="G145" s="69">
        <v>99095</v>
      </c>
      <c r="H145" s="46"/>
      <c r="J145" s="71"/>
      <c r="L145" s="72"/>
      <c r="M145" s="46">
        <v>53401</v>
      </c>
      <c r="O145" s="46">
        <v>53401</v>
      </c>
    </row>
    <row r="146" spans="1:15" x14ac:dyDescent="0.2">
      <c r="A146" s="63" t="s">
        <v>147</v>
      </c>
      <c r="B146" s="66">
        <v>232000</v>
      </c>
      <c r="D146" s="46">
        <v>232000</v>
      </c>
      <c r="E146" s="46"/>
      <c r="F146" s="70">
        <v>232000</v>
      </c>
      <c r="G146" s="69">
        <v>-106047</v>
      </c>
      <c r="H146" s="46"/>
      <c r="J146" s="71"/>
      <c r="L146" s="72"/>
    </row>
    <row r="147" spans="1:15" x14ac:dyDescent="0.2">
      <c r="A147" s="64" t="s">
        <v>147</v>
      </c>
      <c r="B147" s="66">
        <v>232000</v>
      </c>
      <c r="D147" s="46">
        <v>232000</v>
      </c>
      <c r="E147" s="46"/>
      <c r="F147" s="70">
        <v>232000</v>
      </c>
      <c r="G147" s="69">
        <v>-106047</v>
      </c>
      <c r="H147" s="46"/>
      <c r="J147" s="71"/>
      <c r="L147" s="72"/>
    </row>
    <row r="148" spans="1:15" x14ac:dyDescent="0.2">
      <c r="A148" s="63" t="s">
        <v>148</v>
      </c>
      <c r="B148" s="66">
        <v>5502696</v>
      </c>
      <c r="C148" s="46">
        <v>1654177</v>
      </c>
      <c r="D148" s="46">
        <v>2026115</v>
      </c>
      <c r="E148" s="46">
        <v>17437</v>
      </c>
      <c r="F148" s="70">
        <v>3697729</v>
      </c>
      <c r="G148" s="69">
        <v>-255756</v>
      </c>
      <c r="H148" s="46">
        <v>1564472</v>
      </c>
      <c r="I148" s="71">
        <v>23000</v>
      </c>
      <c r="J148" s="71">
        <v>15300</v>
      </c>
      <c r="L148" s="72">
        <v>37000</v>
      </c>
      <c r="M148" s="46">
        <v>202195</v>
      </c>
      <c r="N148" s="46">
        <v>10000</v>
      </c>
      <c r="O148" s="46">
        <v>192195</v>
      </c>
    </row>
    <row r="149" spans="1:15" x14ac:dyDescent="0.2">
      <c r="A149" s="64" t="s">
        <v>149</v>
      </c>
      <c r="B149" s="66">
        <v>1565145</v>
      </c>
      <c r="D149" s="46">
        <v>1565145</v>
      </c>
      <c r="E149" s="46"/>
      <c r="F149" s="70">
        <v>1565145</v>
      </c>
      <c r="G149" s="69">
        <v>321436</v>
      </c>
      <c r="H149" s="46"/>
      <c r="J149" s="71"/>
      <c r="L149" s="72"/>
    </row>
    <row r="150" spans="1:15" x14ac:dyDescent="0.2">
      <c r="A150" s="64" t="s">
        <v>150</v>
      </c>
      <c r="B150" s="66">
        <v>828696</v>
      </c>
      <c r="E150" s="46"/>
      <c r="F150" s="70">
        <v>0</v>
      </c>
      <c r="G150" s="69">
        <v>-567140</v>
      </c>
      <c r="H150" s="46">
        <v>828696</v>
      </c>
      <c r="J150" s="71"/>
      <c r="L150" s="72"/>
    </row>
    <row r="151" spans="1:15" x14ac:dyDescent="0.2">
      <c r="A151" s="64" t="s">
        <v>151</v>
      </c>
      <c r="B151" s="66">
        <v>705013</v>
      </c>
      <c r="C151" s="46">
        <v>567176</v>
      </c>
      <c r="D151" s="46">
        <v>45328</v>
      </c>
      <c r="E151" s="46">
        <v>8237</v>
      </c>
      <c r="F151" s="70">
        <v>620741</v>
      </c>
      <c r="G151" s="69">
        <v>16901</v>
      </c>
      <c r="H151" s="46">
        <v>54272</v>
      </c>
      <c r="J151" s="71"/>
      <c r="L151" s="72"/>
      <c r="M151" s="46">
        <v>30000</v>
      </c>
      <c r="O151" s="46">
        <v>30000</v>
      </c>
    </row>
    <row r="152" spans="1:15" x14ac:dyDescent="0.2">
      <c r="A152" s="64" t="s">
        <v>152</v>
      </c>
      <c r="B152" s="66">
        <v>675144</v>
      </c>
      <c r="E152" s="46"/>
      <c r="F152" s="70">
        <v>0</v>
      </c>
      <c r="G152" s="69">
        <v>0</v>
      </c>
      <c r="H152" s="46">
        <v>675144</v>
      </c>
      <c r="J152" s="71"/>
      <c r="L152" s="72"/>
    </row>
    <row r="153" spans="1:15" x14ac:dyDescent="0.2">
      <c r="A153" s="64" t="s">
        <v>153</v>
      </c>
      <c r="B153" s="66">
        <v>395106</v>
      </c>
      <c r="C153" s="46">
        <v>294965</v>
      </c>
      <c r="D153" s="46">
        <v>80781</v>
      </c>
      <c r="E153" s="46"/>
      <c r="F153" s="70">
        <v>375746</v>
      </c>
      <c r="G153" s="69">
        <v>21035</v>
      </c>
      <c r="H153" s="46">
        <v>6360</v>
      </c>
      <c r="I153" s="71">
        <v>13000</v>
      </c>
      <c r="J153" s="71"/>
      <c r="L153" s="72"/>
    </row>
    <row r="154" spans="1:15" x14ac:dyDescent="0.2">
      <c r="A154" s="64" t="s">
        <v>154</v>
      </c>
      <c r="B154" s="66">
        <v>324081</v>
      </c>
      <c r="C154" s="46">
        <v>295781</v>
      </c>
      <c r="D154" s="46">
        <v>19100</v>
      </c>
      <c r="E154" s="46">
        <v>9200</v>
      </c>
      <c r="F154" s="70">
        <v>324081</v>
      </c>
      <c r="G154" s="69">
        <v>61113</v>
      </c>
      <c r="H154" s="46"/>
      <c r="J154" s="71"/>
      <c r="L154" s="72"/>
    </row>
    <row r="155" spans="1:15" x14ac:dyDescent="0.2">
      <c r="A155" s="64" t="s">
        <v>155</v>
      </c>
      <c r="B155" s="66">
        <v>313907</v>
      </c>
      <c r="C155" s="46">
        <v>134627</v>
      </c>
      <c r="D155" s="46">
        <v>163980</v>
      </c>
      <c r="E155" s="46"/>
      <c r="F155" s="70">
        <v>298607</v>
      </c>
      <c r="G155" s="69">
        <v>3444</v>
      </c>
      <c r="H155" s="46"/>
      <c r="J155" s="71">
        <v>15300</v>
      </c>
      <c r="L155" s="72"/>
    </row>
    <row r="156" spans="1:15" x14ac:dyDescent="0.2">
      <c r="A156" s="64" t="s">
        <v>156</v>
      </c>
      <c r="B156" s="66">
        <v>295741</v>
      </c>
      <c r="C156" s="46">
        <v>203034</v>
      </c>
      <c r="D156" s="46">
        <v>78707</v>
      </c>
      <c r="E156" s="46"/>
      <c r="F156" s="70">
        <v>281741</v>
      </c>
      <c r="G156" s="69">
        <v>2558</v>
      </c>
      <c r="H156" s="46"/>
      <c r="I156" s="71">
        <v>4000</v>
      </c>
      <c r="J156" s="71"/>
      <c r="L156" s="72">
        <v>37000</v>
      </c>
      <c r="M156" s="46">
        <v>10000</v>
      </c>
      <c r="N156" s="46">
        <v>10000</v>
      </c>
    </row>
    <row r="157" spans="1:15" x14ac:dyDescent="0.2">
      <c r="A157" s="64" t="s">
        <v>157</v>
      </c>
      <c r="B157" s="66">
        <v>237518</v>
      </c>
      <c r="C157" s="46">
        <v>158594</v>
      </c>
      <c r="D157" s="46">
        <v>72924</v>
      </c>
      <c r="E157" s="46"/>
      <c r="F157" s="70">
        <v>231518</v>
      </c>
      <c r="G157" s="69">
        <v>19291</v>
      </c>
      <c r="H157" s="46"/>
      <c r="I157" s="71">
        <v>6000</v>
      </c>
      <c r="J157" s="71"/>
      <c r="L157" s="72"/>
    </row>
    <row r="158" spans="1:15" x14ac:dyDescent="0.2">
      <c r="A158" s="64" t="s">
        <v>158</v>
      </c>
      <c r="B158" s="66">
        <v>162345</v>
      </c>
      <c r="D158" s="46">
        <v>150</v>
      </c>
      <c r="E158" s="46"/>
      <c r="F158" s="70">
        <v>150</v>
      </c>
      <c r="G158" s="69">
        <v>-134394</v>
      </c>
      <c r="H158" s="46"/>
      <c r="J158" s="71"/>
      <c r="L158" s="72"/>
      <c r="M158" s="46">
        <v>162195</v>
      </c>
      <c r="O158" s="46">
        <v>162195</v>
      </c>
    </row>
    <row r="159" spans="1:15" x14ac:dyDescent="0.2">
      <c r="A159" s="63" t="s">
        <v>159</v>
      </c>
      <c r="B159" s="66">
        <v>70000</v>
      </c>
      <c r="D159" s="46">
        <v>70000</v>
      </c>
      <c r="E159" s="46"/>
      <c r="F159" s="70">
        <v>70000</v>
      </c>
      <c r="G159" s="69">
        <v>0</v>
      </c>
      <c r="H159" s="46"/>
      <c r="J159" s="71"/>
      <c r="L159" s="72"/>
    </row>
    <row r="160" spans="1:15" x14ac:dyDescent="0.2">
      <c r="A160" s="64" t="s">
        <v>159</v>
      </c>
      <c r="B160" s="66">
        <v>70000</v>
      </c>
      <c r="D160" s="46">
        <v>70000</v>
      </c>
      <c r="E160" s="46"/>
      <c r="F160" s="70">
        <v>70000</v>
      </c>
      <c r="G160" s="69">
        <v>0</v>
      </c>
      <c r="H160" s="46"/>
      <c r="J160" s="71"/>
      <c r="L160" s="72"/>
    </row>
    <row r="161" spans="1:16" x14ac:dyDescent="0.2">
      <c r="A161" s="63" t="s">
        <v>160</v>
      </c>
      <c r="B161" s="66">
        <v>5150684</v>
      </c>
      <c r="C161" s="46">
        <v>1712345</v>
      </c>
      <c r="D161" s="46">
        <v>988175</v>
      </c>
      <c r="E161" s="46">
        <v>31198</v>
      </c>
      <c r="F161" s="70">
        <v>2731718</v>
      </c>
      <c r="G161" s="69">
        <v>-379985</v>
      </c>
      <c r="H161" s="46">
        <v>2176423</v>
      </c>
      <c r="I161" s="71">
        <v>60295</v>
      </c>
      <c r="J161" s="71">
        <v>65628</v>
      </c>
      <c r="K161" s="72">
        <v>51930</v>
      </c>
      <c r="L161" s="72">
        <v>17350</v>
      </c>
      <c r="M161" s="46">
        <v>116620</v>
      </c>
      <c r="N161" s="46">
        <v>27202</v>
      </c>
      <c r="O161" s="46">
        <v>89418</v>
      </c>
    </row>
    <row r="162" spans="1:16" x14ac:dyDescent="0.2">
      <c r="A162" s="64" t="s">
        <v>161</v>
      </c>
      <c r="B162" s="66">
        <v>1117095</v>
      </c>
      <c r="C162" s="46">
        <v>342775</v>
      </c>
      <c r="D162" s="46">
        <v>186553</v>
      </c>
      <c r="E162" s="46"/>
      <c r="F162" s="70">
        <v>529328</v>
      </c>
      <c r="G162" s="69">
        <v>16426</v>
      </c>
      <c r="H162" s="46">
        <v>549472</v>
      </c>
      <c r="I162" s="71">
        <v>38295</v>
      </c>
      <c r="J162" s="71"/>
      <c r="L162" s="72">
        <v>6000</v>
      </c>
    </row>
    <row r="163" spans="1:16" x14ac:dyDescent="0.2">
      <c r="A163" s="64" t="s">
        <v>162</v>
      </c>
      <c r="B163" s="66">
        <v>1090666</v>
      </c>
      <c r="C163" s="46">
        <v>289923</v>
      </c>
      <c r="D163" s="46">
        <v>165321</v>
      </c>
      <c r="E163" s="46">
        <v>13400</v>
      </c>
      <c r="F163" s="70">
        <v>468644</v>
      </c>
      <c r="G163" s="69">
        <v>6740</v>
      </c>
      <c r="H163" s="46">
        <v>555515</v>
      </c>
      <c r="J163" s="71"/>
      <c r="K163" s="72">
        <v>51930</v>
      </c>
      <c r="L163" s="72"/>
      <c r="M163" s="46">
        <v>66507</v>
      </c>
      <c r="N163" s="46">
        <v>27202</v>
      </c>
      <c r="O163" s="46">
        <v>39305</v>
      </c>
    </row>
    <row r="164" spans="1:16" x14ac:dyDescent="0.2">
      <c r="A164" s="64" t="s">
        <v>163</v>
      </c>
      <c r="B164" s="66">
        <v>828634</v>
      </c>
      <c r="C164" s="46">
        <v>253652</v>
      </c>
      <c r="D164" s="46">
        <v>174682</v>
      </c>
      <c r="E164" s="46">
        <v>4573</v>
      </c>
      <c r="F164" s="70">
        <v>432907</v>
      </c>
      <c r="G164" s="69">
        <v>-30732</v>
      </c>
      <c r="H164" s="46">
        <v>330099</v>
      </c>
      <c r="J164" s="71">
        <v>65628</v>
      </c>
      <c r="L164" s="72"/>
    </row>
    <row r="165" spans="1:16" x14ac:dyDescent="0.2">
      <c r="A165" s="64" t="s">
        <v>164</v>
      </c>
      <c r="B165" s="66">
        <v>610180</v>
      </c>
      <c r="C165" s="46">
        <v>185443</v>
      </c>
      <c r="D165" s="46">
        <v>127515</v>
      </c>
      <c r="E165" s="46">
        <v>6800</v>
      </c>
      <c r="F165" s="70">
        <v>319758</v>
      </c>
      <c r="G165" s="69">
        <v>-190132</v>
      </c>
      <c r="H165" s="46">
        <v>278522</v>
      </c>
      <c r="I165" s="71">
        <v>11900</v>
      </c>
      <c r="J165" s="71"/>
      <c r="L165" s="72"/>
    </row>
    <row r="166" spans="1:16" x14ac:dyDescent="0.2">
      <c r="A166" s="64" t="s">
        <v>165</v>
      </c>
      <c r="B166" s="66">
        <v>386201</v>
      </c>
      <c r="C166" s="46">
        <v>119306</v>
      </c>
      <c r="D166" s="46">
        <v>56916</v>
      </c>
      <c r="E166" s="46">
        <v>500</v>
      </c>
      <c r="F166" s="70">
        <v>176722</v>
      </c>
      <c r="G166" s="69">
        <v>-75475</v>
      </c>
      <c r="H166" s="46">
        <v>157966</v>
      </c>
      <c r="I166" s="71">
        <v>1400</v>
      </c>
      <c r="J166" s="71"/>
      <c r="L166" s="72"/>
      <c r="M166" s="46">
        <v>50113</v>
      </c>
      <c r="O166" s="46">
        <v>50113</v>
      </c>
    </row>
    <row r="167" spans="1:16" x14ac:dyDescent="0.2">
      <c r="A167" s="64" t="s">
        <v>166</v>
      </c>
      <c r="B167" s="66">
        <v>232879</v>
      </c>
      <c r="C167" s="46">
        <v>105744</v>
      </c>
      <c r="D167" s="46">
        <v>53749</v>
      </c>
      <c r="E167" s="46">
        <v>1000</v>
      </c>
      <c r="F167" s="70">
        <v>160493</v>
      </c>
      <c r="G167" s="69">
        <v>-37242</v>
      </c>
      <c r="H167" s="46">
        <v>72266</v>
      </c>
      <c r="I167" s="71">
        <v>120</v>
      </c>
      <c r="J167" s="71"/>
      <c r="L167" s="72">
        <v>900</v>
      </c>
    </row>
    <row r="168" spans="1:16" x14ac:dyDescent="0.2">
      <c r="A168" s="64" t="s">
        <v>167</v>
      </c>
      <c r="B168" s="66">
        <v>197705</v>
      </c>
      <c r="C168" s="46">
        <v>84292</v>
      </c>
      <c r="D168" s="46">
        <v>113413</v>
      </c>
      <c r="E168" s="46"/>
      <c r="F168" s="70">
        <v>197705</v>
      </c>
      <c r="G168" s="69">
        <v>7324</v>
      </c>
      <c r="H168" s="46"/>
      <c r="J168" s="71"/>
      <c r="L168" s="72"/>
    </row>
    <row r="169" spans="1:16" x14ac:dyDescent="0.2">
      <c r="A169" s="64" t="s">
        <v>168</v>
      </c>
      <c r="B169" s="66">
        <v>194221</v>
      </c>
      <c r="C169" s="46">
        <v>77257</v>
      </c>
      <c r="D169" s="46">
        <v>18405</v>
      </c>
      <c r="E169" s="46">
        <v>4025</v>
      </c>
      <c r="F169" s="70">
        <v>99687</v>
      </c>
      <c r="G169" s="69">
        <v>6953</v>
      </c>
      <c r="H169" s="46">
        <v>91114</v>
      </c>
      <c r="I169" s="71">
        <v>3420</v>
      </c>
      <c r="J169" s="71"/>
      <c r="L169" s="72"/>
    </row>
    <row r="170" spans="1:16" x14ac:dyDescent="0.2">
      <c r="A170" s="64" t="s">
        <v>169</v>
      </c>
      <c r="B170" s="66">
        <v>159711</v>
      </c>
      <c r="C170" s="46">
        <v>75301</v>
      </c>
      <c r="D170" s="46">
        <v>23883</v>
      </c>
      <c r="E170" s="46"/>
      <c r="F170" s="70">
        <v>99184</v>
      </c>
      <c r="G170" s="69">
        <v>-16101</v>
      </c>
      <c r="H170" s="46">
        <v>55607</v>
      </c>
      <c r="I170" s="71">
        <v>4920</v>
      </c>
      <c r="J170" s="71"/>
      <c r="L170" s="72">
        <v>4800</v>
      </c>
    </row>
    <row r="171" spans="1:16" x14ac:dyDescent="0.2">
      <c r="A171" s="64" t="s">
        <v>170</v>
      </c>
      <c r="B171" s="66">
        <v>147711</v>
      </c>
      <c r="C171" s="46">
        <v>66388</v>
      </c>
      <c r="D171" s="46">
        <v>30951</v>
      </c>
      <c r="E171" s="46">
        <v>500</v>
      </c>
      <c r="F171" s="70">
        <v>97839</v>
      </c>
      <c r="G171" s="69">
        <v>-31995</v>
      </c>
      <c r="H171" s="46">
        <v>49752</v>
      </c>
      <c r="I171" s="71">
        <v>120</v>
      </c>
      <c r="J171" s="71"/>
      <c r="L171" s="72">
        <v>5650</v>
      </c>
    </row>
    <row r="172" spans="1:16" x14ac:dyDescent="0.2">
      <c r="A172" s="64" t="s">
        <v>171</v>
      </c>
      <c r="B172" s="66">
        <v>143466</v>
      </c>
      <c r="C172" s="46">
        <v>83819</v>
      </c>
      <c r="D172" s="46">
        <v>23017</v>
      </c>
      <c r="E172" s="46">
        <v>400</v>
      </c>
      <c r="F172" s="70">
        <v>107236</v>
      </c>
      <c r="G172" s="69">
        <v>-35335</v>
      </c>
      <c r="H172" s="46">
        <v>36110</v>
      </c>
      <c r="I172" s="71">
        <v>120</v>
      </c>
      <c r="J172" s="71"/>
      <c r="L172" s="72"/>
    </row>
    <row r="173" spans="1:16" x14ac:dyDescent="0.2">
      <c r="A173" s="64" t="s">
        <v>172</v>
      </c>
      <c r="B173" s="66">
        <v>42215</v>
      </c>
      <c r="C173" s="46">
        <v>28445</v>
      </c>
      <c r="D173" s="46">
        <v>13770</v>
      </c>
      <c r="E173" s="46"/>
      <c r="F173" s="70">
        <v>42215</v>
      </c>
      <c r="G173" s="69">
        <v>-416</v>
      </c>
      <c r="H173" s="46"/>
      <c r="J173" s="71"/>
      <c r="L173" s="72"/>
    </row>
    <row r="174" spans="1:16" x14ac:dyDescent="0.2">
      <c r="A174" s="63" t="s">
        <v>173</v>
      </c>
      <c r="B174" s="66">
        <v>69042238</v>
      </c>
      <c r="C174" s="46">
        <v>27240525</v>
      </c>
      <c r="D174" s="46">
        <v>16155433</v>
      </c>
      <c r="E174" s="46">
        <v>604463</v>
      </c>
      <c r="F174" s="70">
        <v>43999771</v>
      </c>
      <c r="G174" s="69">
        <v>-1800647</v>
      </c>
      <c r="H174" s="46">
        <v>14167523</v>
      </c>
      <c r="I174" s="71">
        <v>586569</v>
      </c>
      <c r="J174" s="71">
        <v>1695128</v>
      </c>
      <c r="K174" s="72">
        <v>685610</v>
      </c>
      <c r="L174" s="72">
        <v>1406815</v>
      </c>
      <c r="M174" s="46">
        <v>8592597</v>
      </c>
      <c r="N174" s="46">
        <v>176534</v>
      </c>
      <c r="O174" s="46">
        <v>4453597</v>
      </c>
      <c r="P174" s="46">
        <v>3962466</v>
      </c>
    </row>
    <row r="175" spans="1:16" x14ac:dyDescent="0.2"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</row>
    <row r="176" spans="1:16" x14ac:dyDescent="0.2"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</row>
    <row r="177" customFormat="1" x14ac:dyDescent="0.2"/>
    <row r="178" customFormat="1" x14ac:dyDescent="0.2"/>
    <row r="179" customFormat="1" x14ac:dyDescent="0.2"/>
    <row r="180" customFormat="1" x14ac:dyDescent="0.2"/>
    <row r="181" customFormat="1" x14ac:dyDescent="0.2"/>
    <row r="182" customFormat="1" x14ac:dyDescent="0.2"/>
    <row r="183" customFormat="1" x14ac:dyDescent="0.2"/>
    <row r="184" customFormat="1" x14ac:dyDescent="0.2"/>
    <row r="185" customFormat="1" x14ac:dyDescent="0.2"/>
    <row r="186" customFormat="1" x14ac:dyDescent="0.2"/>
    <row r="187" customFormat="1" x14ac:dyDescent="0.2"/>
    <row r="188" customFormat="1" x14ac:dyDescent="0.2"/>
    <row r="189" customFormat="1" x14ac:dyDescent="0.2"/>
    <row r="190" customFormat="1" x14ac:dyDescent="0.2"/>
    <row r="191" customFormat="1" x14ac:dyDescent="0.2"/>
    <row r="192" customFormat="1" x14ac:dyDescent="0.2"/>
    <row r="193" customFormat="1" x14ac:dyDescent="0.2"/>
    <row r="194" customFormat="1" x14ac:dyDescent="0.2"/>
    <row r="195" customFormat="1" x14ac:dyDescent="0.2"/>
    <row r="196" customFormat="1" x14ac:dyDescent="0.2"/>
    <row r="197" customFormat="1" x14ac:dyDescent="0.2"/>
    <row r="198" customFormat="1" x14ac:dyDescent="0.2"/>
    <row r="199" customFormat="1" x14ac:dyDescent="0.2"/>
    <row r="200" customFormat="1" x14ac:dyDescent="0.2"/>
    <row r="201" customFormat="1" x14ac:dyDescent="0.2"/>
    <row r="202" customFormat="1" x14ac:dyDescent="0.2"/>
    <row r="203" customFormat="1" x14ac:dyDescent="0.2"/>
    <row r="204" customFormat="1" x14ac:dyDescent="0.2"/>
    <row r="205" customFormat="1" x14ac:dyDescent="0.2"/>
    <row r="206" customFormat="1" x14ac:dyDescent="0.2"/>
    <row r="207" customFormat="1" x14ac:dyDescent="0.2"/>
    <row r="208" customFormat="1" x14ac:dyDescent="0.2"/>
    <row r="209" customFormat="1" x14ac:dyDescent="0.2"/>
    <row r="210" customFormat="1" x14ac:dyDescent="0.2"/>
    <row r="211" customFormat="1" x14ac:dyDescent="0.2"/>
    <row r="212" customFormat="1" x14ac:dyDescent="0.2"/>
    <row r="213" customFormat="1" x14ac:dyDescent="0.2"/>
    <row r="214" customFormat="1" x14ac:dyDescent="0.2"/>
    <row r="215" customFormat="1" x14ac:dyDescent="0.2"/>
    <row r="216" customFormat="1" x14ac:dyDescent="0.2"/>
    <row r="217" customFormat="1" x14ac:dyDescent="0.2"/>
    <row r="218" customFormat="1" x14ac:dyDescent="0.2"/>
    <row r="219" customFormat="1" x14ac:dyDescent="0.2"/>
    <row r="220" customFormat="1" x14ac:dyDescent="0.2"/>
    <row r="221" customFormat="1" x14ac:dyDescent="0.2"/>
    <row r="222" customFormat="1" x14ac:dyDescent="0.2"/>
    <row r="223" customFormat="1" x14ac:dyDescent="0.2"/>
    <row r="224" customFormat="1" x14ac:dyDescent="0.2"/>
    <row r="225" customFormat="1" x14ac:dyDescent="0.2"/>
    <row r="226" customFormat="1" x14ac:dyDescent="0.2"/>
    <row r="227" customFormat="1" x14ac:dyDescent="0.2"/>
    <row r="228" customFormat="1" x14ac:dyDescent="0.2"/>
    <row r="229" customFormat="1" x14ac:dyDescent="0.2"/>
    <row r="230" customFormat="1" x14ac:dyDescent="0.2"/>
    <row r="231" customFormat="1" x14ac:dyDescent="0.2"/>
    <row r="232" customFormat="1" x14ac:dyDescent="0.2"/>
    <row r="233" customFormat="1" x14ac:dyDescent="0.2"/>
    <row r="234" customFormat="1" x14ac:dyDescent="0.2"/>
    <row r="235" customFormat="1" x14ac:dyDescent="0.2"/>
    <row r="236" customFormat="1" x14ac:dyDescent="0.2"/>
    <row r="237" customFormat="1" x14ac:dyDescent="0.2"/>
    <row r="238" customFormat="1" x14ac:dyDescent="0.2"/>
    <row r="239" customFormat="1" x14ac:dyDescent="0.2"/>
    <row r="240" customFormat="1" x14ac:dyDescent="0.2"/>
    <row r="241" customFormat="1" x14ac:dyDescent="0.2"/>
    <row r="242" customFormat="1" x14ac:dyDescent="0.2"/>
    <row r="243" customFormat="1" x14ac:dyDescent="0.2"/>
    <row r="244" customFormat="1" x14ac:dyDescent="0.2"/>
    <row r="245" customFormat="1" x14ac:dyDescent="0.2"/>
    <row r="246" customFormat="1" x14ac:dyDescent="0.2"/>
    <row r="247" customFormat="1" x14ac:dyDescent="0.2"/>
    <row r="248" customFormat="1" x14ac:dyDescent="0.2"/>
    <row r="249" customFormat="1" x14ac:dyDescent="0.2"/>
    <row r="250" customFormat="1" x14ac:dyDescent="0.2"/>
    <row r="251" customFormat="1" x14ac:dyDescent="0.2"/>
    <row r="252" customFormat="1" x14ac:dyDescent="0.2"/>
    <row r="253" customFormat="1" x14ac:dyDescent="0.2"/>
    <row r="254" customFormat="1" x14ac:dyDescent="0.2"/>
    <row r="255" customFormat="1" x14ac:dyDescent="0.2"/>
    <row r="256" customFormat="1" x14ac:dyDescent="0.2"/>
    <row r="257" customFormat="1" x14ac:dyDescent="0.2"/>
    <row r="258" customFormat="1" x14ac:dyDescent="0.2"/>
    <row r="259" customFormat="1" x14ac:dyDescent="0.2"/>
    <row r="260" customFormat="1" x14ac:dyDescent="0.2"/>
    <row r="261" customFormat="1" x14ac:dyDescent="0.2"/>
    <row r="262" customFormat="1" x14ac:dyDescent="0.2"/>
    <row r="263" customFormat="1" x14ac:dyDescent="0.2"/>
    <row r="264" customFormat="1" x14ac:dyDescent="0.2"/>
    <row r="265" customFormat="1" x14ac:dyDescent="0.2"/>
    <row r="266" customFormat="1" x14ac:dyDescent="0.2"/>
    <row r="267" customFormat="1" x14ac:dyDescent="0.2"/>
    <row r="268" customFormat="1" x14ac:dyDescent="0.2"/>
    <row r="269" customFormat="1" x14ac:dyDescent="0.2"/>
    <row r="270" customFormat="1" x14ac:dyDescent="0.2"/>
    <row r="271" customFormat="1" x14ac:dyDescent="0.2"/>
    <row r="272" customFormat="1" x14ac:dyDescent="0.2"/>
    <row r="273" customFormat="1" x14ac:dyDescent="0.2"/>
    <row r="274" customFormat="1" x14ac:dyDescent="0.2"/>
    <row r="275" customFormat="1" x14ac:dyDescent="0.2"/>
    <row r="276" customFormat="1" x14ac:dyDescent="0.2"/>
    <row r="277" customFormat="1" x14ac:dyDescent="0.2"/>
    <row r="278" customFormat="1" x14ac:dyDescent="0.2"/>
    <row r="279" customFormat="1" x14ac:dyDescent="0.2"/>
    <row r="280" customFormat="1" x14ac:dyDescent="0.2"/>
    <row r="281" customFormat="1" x14ac:dyDescent="0.2"/>
    <row r="282" customFormat="1" x14ac:dyDescent="0.2"/>
    <row r="283" customFormat="1" x14ac:dyDescent="0.2"/>
    <row r="284" customFormat="1" x14ac:dyDescent="0.2"/>
    <row r="285" customFormat="1" x14ac:dyDescent="0.2"/>
    <row r="286" customFormat="1" x14ac:dyDescent="0.2"/>
    <row r="287" customFormat="1" x14ac:dyDescent="0.2"/>
    <row r="288" customFormat="1" x14ac:dyDescent="0.2"/>
    <row r="289" customFormat="1" x14ac:dyDescent="0.2"/>
    <row r="290" customFormat="1" x14ac:dyDescent="0.2"/>
    <row r="291" customFormat="1" x14ac:dyDescent="0.2"/>
    <row r="292" customFormat="1" x14ac:dyDescent="0.2"/>
    <row r="293" customFormat="1" x14ac:dyDescent="0.2"/>
    <row r="294" customFormat="1" x14ac:dyDescent="0.2"/>
    <row r="295" customFormat="1" x14ac:dyDescent="0.2"/>
    <row r="296" customFormat="1" x14ac:dyDescent="0.2"/>
    <row r="297" customFormat="1" x14ac:dyDescent="0.2"/>
    <row r="298" customFormat="1" x14ac:dyDescent="0.2"/>
    <row r="299" customFormat="1" x14ac:dyDescent="0.2"/>
    <row r="300" customFormat="1" x14ac:dyDescent="0.2"/>
    <row r="301" customFormat="1" x14ac:dyDescent="0.2"/>
    <row r="302" customFormat="1" x14ac:dyDescent="0.2"/>
    <row r="303" customFormat="1" x14ac:dyDescent="0.2"/>
    <row r="304" customFormat="1" x14ac:dyDescent="0.2"/>
    <row r="305" customFormat="1" x14ac:dyDescent="0.2"/>
    <row r="306" customFormat="1" x14ac:dyDescent="0.2"/>
    <row r="307" customFormat="1" x14ac:dyDescent="0.2"/>
    <row r="308" customFormat="1" x14ac:dyDescent="0.2"/>
    <row r="309" customFormat="1" x14ac:dyDescent="0.2"/>
    <row r="310" customFormat="1" x14ac:dyDescent="0.2"/>
    <row r="311" customFormat="1" x14ac:dyDescent="0.2"/>
    <row r="312" customFormat="1" x14ac:dyDescent="0.2"/>
    <row r="313" customFormat="1" x14ac:dyDescent="0.2"/>
    <row r="314" customFormat="1" x14ac:dyDescent="0.2"/>
    <row r="315" customFormat="1" x14ac:dyDescent="0.2"/>
    <row r="316" customFormat="1" x14ac:dyDescent="0.2"/>
    <row r="317" customFormat="1" x14ac:dyDescent="0.2"/>
    <row r="318" customFormat="1" x14ac:dyDescent="0.2"/>
    <row r="319" customFormat="1" x14ac:dyDescent="0.2"/>
    <row r="320" customFormat="1" x14ac:dyDescent="0.2"/>
    <row r="321" customFormat="1" x14ac:dyDescent="0.2"/>
    <row r="322" customFormat="1" x14ac:dyDescent="0.2"/>
    <row r="323" customFormat="1" x14ac:dyDescent="0.2"/>
    <row r="324" customFormat="1" x14ac:dyDescent="0.2"/>
    <row r="325" customFormat="1" x14ac:dyDescent="0.2"/>
    <row r="326" customFormat="1" x14ac:dyDescent="0.2"/>
    <row r="327" customFormat="1" x14ac:dyDescent="0.2"/>
    <row r="328" customFormat="1" x14ac:dyDescent="0.2"/>
    <row r="329" customFormat="1" x14ac:dyDescent="0.2"/>
    <row r="330" customFormat="1" x14ac:dyDescent="0.2"/>
    <row r="331" customFormat="1" x14ac:dyDescent="0.2"/>
    <row r="332" customFormat="1" x14ac:dyDescent="0.2"/>
    <row r="333" customFormat="1" x14ac:dyDescent="0.2"/>
    <row r="334" customFormat="1" x14ac:dyDescent="0.2"/>
    <row r="335" customFormat="1" x14ac:dyDescent="0.2"/>
    <row r="336" customFormat="1" x14ac:dyDescent="0.2"/>
    <row r="337" customFormat="1" x14ac:dyDescent="0.2"/>
    <row r="338" customFormat="1" x14ac:dyDescent="0.2"/>
    <row r="339" customFormat="1" x14ac:dyDescent="0.2"/>
    <row r="340" customFormat="1" x14ac:dyDescent="0.2"/>
    <row r="341" customFormat="1" x14ac:dyDescent="0.2"/>
    <row r="342" customFormat="1" x14ac:dyDescent="0.2"/>
    <row r="343" customFormat="1" x14ac:dyDescent="0.2"/>
    <row r="344" customFormat="1" x14ac:dyDescent="0.2"/>
    <row r="345" customFormat="1" x14ac:dyDescent="0.2"/>
    <row r="346" customFormat="1" x14ac:dyDescent="0.2"/>
    <row r="347" customFormat="1" x14ac:dyDescent="0.2"/>
    <row r="348" customFormat="1" x14ac:dyDescent="0.2"/>
    <row r="349" customFormat="1" x14ac:dyDescent="0.2"/>
    <row r="350" customFormat="1" x14ac:dyDescent="0.2"/>
    <row r="351" customFormat="1" x14ac:dyDescent="0.2"/>
    <row r="352" customFormat="1" x14ac:dyDescent="0.2"/>
    <row r="353" customFormat="1" x14ac:dyDescent="0.2"/>
    <row r="354" customFormat="1" x14ac:dyDescent="0.2"/>
    <row r="355" customFormat="1" x14ac:dyDescent="0.2"/>
    <row r="356" customFormat="1" x14ac:dyDescent="0.2"/>
    <row r="357" customFormat="1" x14ac:dyDescent="0.2"/>
    <row r="358" customFormat="1" x14ac:dyDescent="0.2"/>
    <row r="359" customFormat="1" x14ac:dyDescent="0.2"/>
    <row r="360" customFormat="1" x14ac:dyDescent="0.2"/>
    <row r="361" customFormat="1" x14ac:dyDescent="0.2"/>
    <row r="362" customFormat="1" x14ac:dyDescent="0.2"/>
    <row r="363" customFormat="1" x14ac:dyDescent="0.2"/>
    <row r="364" customFormat="1" x14ac:dyDescent="0.2"/>
    <row r="365" customFormat="1" x14ac:dyDescent="0.2"/>
    <row r="366" customFormat="1" x14ac:dyDescent="0.2"/>
    <row r="367" customFormat="1" x14ac:dyDescent="0.2"/>
    <row r="368" customFormat="1" x14ac:dyDescent="0.2"/>
    <row r="369" customFormat="1" x14ac:dyDescent="0.2"/>
    <row r="370" customFormat="1" x14ac:dyDescent="0.2"/>
    <row r="371" customFormat="1" x14ac:dyDescent="0.2"/>
    <row r="372" customFormat="1" x14ac:dyDescent="0.2"/>
    <row r="373" customFormat="1" x14ac:dyDescent="0.2"/>
    <row r="374" customFormat="1" x14ac:dyDescent="0.2"/>
    <row r="375" customFormat="1" x14ac:dyDescent="0.2"/>
    <row r="376" customFormat="1" x14ac:dyDescent="0.2"/>
    <row r="377" customFormat="1" x14ac:dyDescent="0.2"/>
    <row r="378" customFormat="1" x14ac:dyDescent="0.2"/>
    <row r="379" customFormat="1" x14ac:dyDescent="0.2"/>
    <row r="380" customFormat="1" x14ac:dyDescent="0.2"/>
    <row r="381" customFormat="1" x14ac:dyDescent="0.2"/>
    <row r="382" customFormat="1" x14ac:dyDescent="0.2"/>
    <row r="383" customFormat="1" x14ac:dyDescent="0.2"/>
    <row r="384" customFormat="1" x14ac:dyDescent="0.2"/>
    <row r="385" customFormat="1" x14ac:dyDescent="0.2"/>
    <row r="386" customFormat="1" x14ac:dyDescent="0.2"/>
    <row r="387" customFormat="1" x14ac:dyDescent="0.2"/>
    <row r="388" customFormat="1" x14ac:dyDescent="0.2"/>
    <row r="389" customFormat="1" x14ac:dyDescent="0.2"/>
    <row r="390" customFormat="1" x14ac:dyDescent="0.2"/>
    <row r="391" customFormat="1" x14ac:dyDescent="0.2"/>
    <row r="392" customFormat="1" x14ac:dyDescent="0.2"/>
    <row r="393" customFormat="1" x14ac:dyDescent="0.2"/>
    <row r="394" customFormat="1" x14ac:dyDescent="0.2"/>
    <row r="395" customFormat="1" x14ac:dyDescent="0.2"/>
    <row r="396" customFormat="1" x14ac:dyDescent="0.2"/>
    <row r="397" customFormat="1" x14ac:dyDescent="0.2"/>
    <row r="398" customFormat="1" x14ac:dyDescent="0.2"/>
    <row r="399" customFormat="1" x14ac:dyDescent="0.2"/>
    <row r="400" customFormat="1" x14ac:dyDescent="0.2"/>
    <row r="401" customFormat="1" x14ac:dyDescent="0.2"/>
    <row r="402" customFormat="1" x14ac:dyDescent="0.2"/>
    <row r="403" customFormat="1" x14ac:dyDescent="0.2"/>
    <row r="404" customFormat="1" x14ac:dyDescent="0.2"/>
    <row r="405" customFormat="1" x14ac:dyDescent="0.2"/>
    <row r="406" customFormat="1" x14ac:dyDescent="0.2"/>
    <row r="407" customFormat="1" x14ac:dyDescent="0.2"/>
    <row r="408" customFormat="1" x14ac:dyDescent="0.2"/>
    <row r="409" customFormat="1" x14ac:dyDescent="0.2"/>
    <row r="410" customFormat="1" x14ac:dyDescent="0.2"/>
    <row r="411" customFormat="1" x14ac:dyDescent="0.2"/>
    <row r="412" customFormat="1" x14ac:dyDescent="0.2"/>
    <row r="413" customFormat="1" x14ac:dyDescent="0.2"/>
    <row r="414" customFormat="1" x14ac:dyDescent="0.2"/>
    <row r="415" customFormat="1" x14ac:dyDescent="0.2"/>
    <row r="416" customFormat="1" x14ac:dyDescent="0.2"/>
    <row r="417" customFormat="1" x14ac:dyDescent="0.2"/>
    <row r="418" customFormat="1" x14ac:dyDescent="0.2"/>
    <row r="419" customFormat="1" x14ac:dyDescent="0.2"/>
    <row r="420" customFormat="1" x14ac:dyDescent="0.2"/>
    <row r="421" customFormat="1" x14ac:dyDescent="0.2"/>
    <row r="422" customFormat="1" x14ac:dyDescent="0.2"/>
    <row r="423" customFormat="1" x14ac:dyDescent="0.2"/>
    <row r="424" customFormat="1" x14ac:dyDescent="0.2"/>
    <row r="425" customFormat="1" x14ac:dyDescent="0.2"/>
    <row r="426" customFormat="1" x14ac:dyDescent="0.2"/>
    <row r="427" customFormat="1" x14ac:dyDescent="0.2"/>
    <row r="428" customFormat="1" x14ac:dyDescent="0.2"/>
    <row r="429" customFormat="1" x14ac:dyDescent="0.2"/>
    <row r="430" customFormat="1" x14ac:dyDescent="0.2"/>
    <row r="431" customFormat="1" x14ac:dyDescent="0.2"/>
    <row r="432" customFormat="1" x14ac:dyDescent="0.2"/>
    <row r="433" customFormat="1" x14ac:dyDescent="0.2"/>
    <row r="434" customFormat="1" x14ac:dyDescent="0.2"/>
    <row r="435" customFormat="1" x14ac:dyDescent="0.2"/>
    <row r="436" customFormat="1" x14ac:dyDescent="0.2"/>
    <row r="437" customFormat="1" x14ac:dyDescent="0.2"/>
    <row r="438" customFormat="1" x14ac:dyDescent="0.2"/>
    <row r="439" customFormat="1" x14ac:dyDescent="0.2"/>
    <row r="440" customFormat="1" x14ac:dyDescent="0.2"/>
    <row r="441" customFormat="1" x14ac:dyDescent="0.2"/>
    <row r="442" customFormat="1" x14ac:dyDescent="0.2"/>
    <row r="443" customFormat="1" x14ac:dyDescent="0.2"/>
    <row r="444" customFormat="1" x14ac:dyDescent="0.2"/>
    <row r="445" customFormat="1" x14ac:dyDescent="0.2"/>
    <row r="446" customFormat="1" x14ac:dyDescent="0.2"/>
    <row r="447" customFormat="1" x14ac:dyDescent="0.2"/>
    <row r="448" customFormat="1" x14ac:dyDescent="0.2"/>
    <row r="449" customFormat="1" x14ac:dyDescent="0.2"/>
    <row r="450" customFormat="1" x14ac:dyDescent="0.2"/>
    <row r="451" customFormat="1" x14ac:dyDescent="0.2"/>
    <row r="452" customFormat="1" x14ac:dyDescent="0.2"/>
    <row r="453" customFormat="1" x14ac:dyDescent="0.2"/>
    <row r="454" customFormat="1" x14ac:dyDescent="0.2"/>
    <row r="455" customFormat="1" x14ac:dyDescent="0.2"/>
    <row r="456" customFormat="1" x14ac:dyDescent="0.2"/>
    <row r="457" customFormat="1" x14ac:dyDescent="0.2"/>
    <row r="458" customFormat="1" x14ac:dyDescent="0.2"/>
    <row r="459" customFormat="1" x14ac:dyDescent="0.2"/>
    <row r="460" customFormat="1" x14ac:dyDescent="0.2"/>
    <row r="461" customFormat="1" x14ac:dyDescent="0.2"/>
    <row r="462" customFormat="1" x14ac:dyDescent="0.2"/>
    <row r="463" customFormat="1" x14ac:dyDescent="0.2"/>
    <row r="464" customFormat="1" x14ac:dyDescent="0.2"/>
    <row r="465" customFormat="1" x14ac:dyDescent="0.2"/>
    <row r="466" customFormat="1" x14ac:dyDescent="0.2"/>
    <row r="467" customFormat="1" x14ac:dyDescent="0.2"/>
    <row r="468" customFormat="1" x14ac:dyDescent="0.2"/>
    <row r="469" customFormat="1" x14ac:dyDescent="0.2"/>
    <row r="470" customFormat="1" x14ac:dyDescent="0.2"/>
    <row r="471" customFormat="1" x14ac:dyDescent="0.2"/>
    <row r="472" customFormat="1" x14ac:dyDescent="0.2"/>
    <row r="473" customFormat="1" x14ac:dyDescent="0.2"/>
    <row r="474" customFormat="1" x14ac:dyDescent="0.2"/>
    <row r="475" customFormat="1" x14ac:dyDescent="0.2"/>
    <row r="476" customFormat="1" x14ac:dyDescent="0.2"/>
    <row r="477" customFormat="1" x14ac:dyDescent="0.2"/>
    <row r="478" customFormat="1" x14ac:dyDescent="0.2"/>
    <row r="479" customFormat="1" x14ac:dyDescent="0.2"/>
    <row r="480" customFormat="1" x14ac:dyDescent="0.2"/>
    <row r="481" customFormat="1" x14ac:dyDescent="0.2"/>
    <row r="482" customFormat="1" x14ac:dyDescent="0.2"/>
    <row r="483" customFormat="1" x14ac:dyDescent="0.2"/>
    <row r="484" customFormat="1" x14ac:dyDescent="0.2"/>
    <row r="485" customFormat="1" x14ac:dyDescent="0.2"/>
    <row r="486" customFormat="1" x14ac:dyDescent="0.2"/>
    <row r="487" customFormat="1" x14ac:dyDescent="0.2"/>
    <row r="488" customFormat="1" x14ac:dyDescent="0.2"/>
    <row r="489" customFormat="1" x14ac:dyDescent="0.2"/>
    <row r="490" customFormat="1" x14ac:dyDescent="0.2"/>
    <row r="491" customFormat="1" x14ac:dyDescent="0.2"/>
    <row r="492" customFormat="1" x14ac:dyDescent="0.2"/>
    <row r="493" customFormat="1" x14ac:dyDescent="0.2"/>
    <row r="494" customFormat="1" x14ac:dyDescent="0.2"/>
    <row r="495" customFormat="1" x14ac:dyDescent="0.2"/>
    <row r="496" customFormat="1" x14ac:dyDescent="0.2"/>
    <row r="497" customFormat="1" x14ac:dyDescent="0.2"/>
    <row r="498" customFormat="1" x14ac:dyDescent="0.2"/>
    <row r="499" customFormat="1" x14ac:dyDescent="0.2"/>
    <row r="500" customFormat="1" x14ac:dyDescent="0.2"/>
    <row r="501" customFormat="1" x14ac:dyDescent="0.2"/>
    <row r="502" customFormat="1" x14ac:dyDescent="0.2"/>
    <row r="503" customFormat="1" x14ac:dyDescent="0.2"/>
    <row r="504" customFormat="1" x14ac:dyDescent="0.2"/>
    <row r="505" customFormat="1" x14ac:dyDescent="0.2"/>
    <row r="506" customFormat="1" x14ac:dyDescent="0.2"/>
    <row r="507" customFormat="1" x14ac:dyDescent="0.2"/>
    <row r="508" customFormat="1" x14ac:dyDescent="0.2"/>
    <row r="509" customFormat="1" x14ac:dyDescent="0.2"/>
    <row r="510" customFormat="1" x14ac:dyDescent="0.2"/>
    <row r="511" customFormat="1" x14ac:dyDescent="0.2"/>
    <row r="512" customFormat="1" x14ac:dyDescent="0.2"/>
    <row r="513" customFormat="1" x14ac:dyDescent="0.2"/>
    <row r="514" customFormat="1" x14ac:dyDescent="0.2"/>
    <row r="515" customFormat="1" x14ac:dyDescent="0.2"/>
    <row r="516" customFormat="1" x14ac:dyDescent="0.2"/>
    <row r="517" customFormat="1" x14ac:dyDescent="0.2"/>
    <row r="518" customFormat="1" x14ac:dyDescent="0.2"/>
    <row r="519" customFormat="1" x14ac:dyDescent="0.2"/>
    <row r="520" customFormat="1" x14ac:dyDescent="0.2"/>
    <row r="521" customFormat="1" x14ac:dyDescent="0.2"/>
    <row r="522" customFormat="1" x14ac:dyDescent="0.2"/>
    <row r="523" customFormat="1" x14ac:dyDescent="0.2"/>
    <row r="524" customFormat="1" x14ac:dyDescent="0.2"/>
    <row r="525" customFormat="1" x14ac:dyDescent="0.2"/>
    <row r="526" customFormat="1" x14ac:dyDescent="0.2"/>
    <row r="527" customFormat="1" x14ac:dyDescent="0.2"/>
    <row r="528" customFormat="1" x14ac:dyDescent="0.2"/>
    <row r="529" customFormat="1" x14ac:dyDescent="0.2"/>
    <row r="530" customFormat="1" x14ac:dyDescent="0.2"/>
    <row r="531" customFormat="1" x14ac:dyDescent="0.2"/>
    <row r="532" customFormat="1" x14ac:dyDescent="0.2"/>
    <row r="533" customFormat="1" x14ac:dyDescent="0.2"/>
    <row r="534" customFormat="1" x14ac:dyDescent="0.2"/>
    <row r="535" customFormat="1" x14ac:dyDescent="0.2"/>
    <row r="536" customFormat="1" x14ac:dyDescent="0.2"/>
    <row r="537" customFormat="1" x14ac:dyDescent="0.2"/>
    <row r="538" customFormat="1" x14ac:dyDescent="0.2"/>
    <row r="539" customFormat="1" x14ac:dyDescent="0.2"/>
    <row r="540" customFormat="1" x14ac:dyDescent="0.2"/>
    <row r="541" customFormat="1" x14ac:dyDescent="0.2"/>
    <row r="542" customFormat="1" x14ac:dyDescent="0.2"/>
    <row r="543" customFormat="1" x14ac:dyDescent="0.2"/>
    <row r="544" customFormat="1" x14ac:dyDescent="0.2"/>
    <row r="545" customFormat="1" x14ac:dyDescent="0.2"/>
    <row r="546" customFormat="1" x14ac:dyDescent="0.2"/>
    <row r="547" customFormat="1" x14ac:dyDescent="0.2"/>
    <row r="548" customFormat="1" x14ac:dyDescent="0.2"/>
    <row r="549" customFormat="1" x14ac:dyDescent="0.2"/>
    <row r="550" customFormat="1" x14ac:dyDescent="0.2"/>
    <row r="551" customFormat="1" x14ac:dyDescent="0.2"/>
    <row r="552" customFormat="1" x14ac:dyDescent="0.2"/>
    <row r="553" customFormat="1" x14ac:dyDescent="0.2"/>
    <row r="554" customFormat="1" x14ac:dyDescent="0.2"/>
    <row r="555" customFormat="1" x14ac:dyDescent="0.2"/>
    <row r="556" customFormat="1" x14ac:dyDescent="0.2"/>
    <row r="557" customFormat="1" x14ac:dyDescent="0.2"/>
    <row r="558" customFormat="1" x14ac:dyDescent="0.2"/>
    <row r="559" customFormat="1" x14ac:dyDescent="0.2"/>
    <row r="560" customFormat="1" x14ac:dyDescent="0.2"/>
    <row r="561" customFormat="1" x14ac:dyDescent="0.2"/>
    <row r="562" customFormat="1" x14ac:dyDescent="0.2"/>
    <row r="563" customFormat="1" x14ac:dyDescent="0.2"/>
    <row r="564" customFormat="1" x14ac:dyDescent="0.2"/>
    <row r="565" customFormat="1" x14ac:dyDescent="0.2"/>
    <row r="566" customFormat="1" x14ac:dyDescent="0.2"/>
    <row r="567" customFormat="1" x14ac:dyDescent="0.2"/>
    <row r="568" customFormat="1" x14ac:dyDescent="0.2"/>
    <row r="569" customFormat="1" x14ac:dyDescent="0.2"/>
    <row r="570" customFormat="1" x14ac:dyDescent="0.2"/>
    <row r="571" customFormat="1" x14ac:dyDescent="0.2"/>
    <row r="572" customFormat="1" x14ac:dyDescent="0.2"/>
    <row r="573" customFormat="1" x14ac:dyDescent="0.2"/>
    <row r="574" customFormat="1" x14ac:dyDescent="0.2"/>
    <row r="575" customFormat="1" x14ac:dyDescent="0.2"/>
    <row r="576" customFormat="1" x14ac:dyDescent="0.2"/>
    <row r="577" customFormat="1" x14ac:dyDescent="0.2"/>
    <row r="578" customFormat="1" x14ac:dyDescent="0.2"/>
    <row r="579" customFormat="1" x14ac:dyDescent="0.2"/>
    <row r="580" customFormat="1" x14ac:dyDescent="0.2"/>
    <row r="581" customFormat="1" x14ac:dyDescent="0.2"/>
    <row r="582" customFormat="1" x14ac:dyDescent="0.2"/>
    <row r="583" customFormat="1" x14ac:dyDescent="0.2"/>
    <row r="584" customFormat="1" x14ac:dyDescent="0.2"/>
    <row r="585" customFormat="1" x14ac:dyDescent="0.2"/>
    <row r="586" customFormat="1" x14ac:dyDescent="0.2"/>
    <row r="587" customFormat="1" x14ac:dyDescent="0.2"/>
    <row r="588" customFormat="1" x14ac:dyDescent="0.2"/>
    <row r="589" customFormat="1" x14ac:dyDescent="0.2"/>
    <row r="590" customFormat="1" x14ac:dyDescent="0.2"/>
    <row r="591" customFormat="1" x14ac:dyDescent="0.2"/>
    <row r="592" customFormat="1" x14ac:dyDescent="0.2"/>
    <row r="593" customFormat="1" x14ac:dyDescent="0.2"/>
    <row r="594" customFormat="1" x14ac:dyDescent="0.2"/>
    <row r="595" customFormat="1" x14ac:dyDescent="0.2"/>
    <row r="596" customFormat="1" x14ac:dyDescent="0.2"/>
    <row r="597" customFormat="1" x14ac:dyDescent="0.2"/>
    <row r="598" customFormat="1" x14ac:dyDescent="0.2"/>
    <row r="599" customFormat="1" x14ac:dyDescent="0.2"/>
    <row r="600" customFormat="1" x14ac:dyDescent="0.2"/>
    <row r="601" customFormat="1" x14ac:dyDescent="0.2"/>
    <row r="602" customFormat="1" x14ac:dyDescent="0.2"/>
    <row r="603" customFormat="1" x14ac:dyDescent="0.2"/>
    <row r="604" customFormat="1" x14ac:dyDescent="0.2"/>
    <row r="605" customFormat="1" x14ac:dyDescent="0.2"/>
    <row r="606" customFormat="1" x14ac:dyDescent="0.2"/>
    <row r="607" customFormat="1" x14ac:dyDescent="0.2"/>
    <row r="608" customFormat="1" x14ac:dyDescent="0.2"/>
    <row r="609" customFormat="1" x14ac:dyDescent="0.2"/>
    <row r="610" customFormat="1" x14ac:dyDescent="0.2"/>
    <row r="611" customFormat="1" x14ac:dyDescent="0.2"/>
    <row r="612" customFormat="1" x14ac:dyDescent="0.2"/>
    <row r="613" customFormat="1" x14ac:dyDescent="0.2"/>
    <row r="614" customFormat="1" x14ac:dyDescent="0.2"/>
    <row r="615" customFormat="1" x14ac:dyDescent="0.2"/>
    <row r="616" customFormat="1" x14ac:dyDescent="0.2"/>
    <row r="617" customFormat="1" x14ac:dyDescent="0.2"/>
    <row r="618" customFormat="1" x14ac:dyDescent="0.2"/>
    <row r="619" customFormat="1" x14ac:dyDescent="0.2"/>
    <row r="620" customFormat="1" x14ac:dyDescent="0.2"/>
    <row r="621" customFormat="1" x14ac:dyDescent="0.2"/>
    <row r="622" customFormat="1" x14ac:dyDescent="0.2"/>
    <row r="623" customFormat="1" x14ac:dyDescent="0.2"/>
    <row r="624" customFormat="1" x14ac:dyDescent="0.2"/>
    <row r="625" customFormat="1" x14ac:dyDescent="0.2"/>
    <row r="626" customFormat="1" x14ac:dyDescent="0.2"/>
    <row r="627" customFormat="1" x14ac:dyDescent="0.2"/>
    <row r="628" customFormat="1" x14ac:dyDescent="0.2"/>
    <row r="629" customFormat="1" x14ac:dyDescent="0.2"/>
    <row r="630" customFormat="1" x14ac:dyDescent="0.2"/>
    <row r="631" customFormat="1" x14ac:dyDescent="0.2"/>
    <row r="632" customFormat="1" x14ac:dyDescent="0.2"/>
    <row r="633" customFormat="1" x14ac:dyDescent="0.2"/>
    <row r="634" customFormat="1" x14ac:dyDescent="0.2"/>
    <row r="635" customFormat="1" x14ac:dyDescent="0.2"/>
    <row r="636" customFormat="1" x14ac:dyDescent="0.2"/>
    <row r="637" customFormat="1" x14ac:dyDescent="0.2"/>
    <row r="638" customFormat="1" x14ac:dyDescent="0.2"/>
    <row r="639" customFormat="1" x14ac:dyDescent="0.2"/>
    <row r="640" customFormat="1" x14ac:dyDescent="0.2"/>
    <row r="641" customFormat="1" x14ac:dyDescent="0.2"/>
    <row r="642" customFormat="1" x14ac:dyDescent="0.2"/>
    <row r="643" customFormat="1" x14ac:dyDescent="0.2"/>
    <row r="644" customFormat="1" x14ac:dyDescent="0.2"/>
    <row r="645" customFormat="1" x14ac:dyDescent="0.2"/>
    <row r="646" customFormat="1" x14ac:dyDescent="0.2"/>
    <row r="647" customFormat="1" x14ac:dyDescent="0.2"/>
    <row r="648" customFormat="1" x14ac:dyDescent="0.2"/>
    <row r="649" customFormat="1" x14ac:dyDescent="0.2"/>
    <row r="650" customFormat="1" x14ac:dyDescent="0.2"/>
    <row r="651" customFormat="1" x14ac:dyDescent="0.2"/>
    <row r="652" customFormat="1" x14ac:dyDescent="0.2"/>
    <row r="653" customFormat="1" x14ac:dyDescent="0.2"/>
    <row r="654" customFormat="1" x14ac:dyDescent="0.2"/>
    <row r="655" customFormat="1" x14ac:dyDescent="0.2"/>
    <row r="656" customFormat="1" x14ac:dyDescent="0.2"/>
    <row r="657" customFormat="1" x14ac:dyDescent="0.2"/>
    <row r="658" customFormat="1" x14ac:dyDescent="0.2"/>
    <row r="659" customFormat="1" x14ac:dyDescent="0.2"/>
    <row r="660" customFormat="1" x14ac:dyDescent="0.2"/>
    <row r="661" customFormat="1" x14ac:dyDescent="0.2"/>
    <row r="662" customFormat="1" x14ac:dyDescent="0.2"/>
    <row r="663" customFormat="1" x14ac:dyDescent="0.2"/>
    <row r="664" customFormat="1" x14ac:dyDescent="0.2"/>
    <row r="665" customFormat="1" x14ac:dyDescent="0.2"/>
    <row r="666" customFormat="1" x14ac:dyDescent="0.2"/>
    <row r="667" customFormat="1" x14ac:dyDescent="0.2"/>
    <row r="668" customFormat="1" x14ac:dyDescent="0.2"/>
    <row r="669" customFormat="1" x14ac:dyDescent="0.2"/>
    <row r="670" customFormat="1" x14ac:dyDescent="0.2"/>
    <row r="671" customFormat="1" x14ac:dyDescent="0.2"/>
    <row r="672" customFormat="1" x14ac:dyDescent="0.2"/>
    <row r="673" customFormat="1" x14ac:dyDescent="0.2"/>
    <row r="674" customFormat="1" x14ac:dyDescent="0.2"/>
    <row r="675" customFormat="1" x14ac:dyDescent="0.2"/>
    <row r="676" customFormat="1" x14ac:dyDescent="0.2"/>
    <row r="677" customFormat="1" x14ac:dyDescent="0.2"/>
    <row r="678" customFormat="1" x14ac:dyDescent="0.2"/>
    <row r="679" customFormat="1" x14ac:dyDescent="0.2"/>
    <row r="680" customFormat="1" x14ac:dyDescent="0.2"/>
    <row r="681" customFormat="1" x14ac:dyDescent="0.2"/>
    <row r="682" customFormat="1" x14ac:dyDescent="0.2"/>
    <row r="683" customFormat="1" x14ac:dyDescent="0.2"/>
    <row r="684" customFormat="1" x14ac:dyDescent="0.2"/>
    <row r="685" customFormat="1" x14ac:dyDescent="0.2"/>
    <row r="686" customFormat="1" x14ac:dyDescent="0.2"/>
    <row r="687" customFormat="1" x14ac:dyDescent="0.2"/>
    <row r="688" customFormat="1" x14ac:dyDescent="0.2"/>
    <row r="689" customFormat="1" x14ac:dyDescent="0.2"/>
    <row r="690" customFormat="1" x14ac:dyDescent="0.2"/>
    <row r="691" customFormat="1" x14ac:dyDescent="0.2"/>
    <row r="692" customFormat="1" x14ac:dyDescent="0.2"/>
    <row r="693" customFormat="1" x14ac:dyDescent="0.2"/>
    <row r="694" customFormat="1" x14ac:dyDescent="0.2"/>
    <row r="695" customFormat="1" x14ac:dyDescent="0.2"/>
    <row r="696" customFormat="1" x14ac:dyDescent="0.2"/>
    <row r="697" customFormat="1" x14ac:dyDescent="0.2"/>
    <row r="698" customFormat="1" x14ac:dyDescent="0.2"/>
    <row r="699" customFormat="1" x14ac:dyDescent="0.2"/>
    <row r="700" customFormat="1" x14ac:dyDescent="0.2"/>
    <row r="701" customFormat="1" x14ac:dyDescent="0.2"/>
    <row r="702" customFormat="1" x14ac:dyDescent="0.2"/>
    <row r="703" customFormat="1" x14ac:dyDescent="0.2"/>
    <row r="704" customFormat="1" x14ac:dyDescent="0.2"/>
    <row r="705" customFormat="1" x14ac:dyDescent="0.2"/>
    <row r="706" customFormat="1" x14ac:dyDescent="0.2"/>
    <row r="707" customFormat="1" x14ac:dyDescent="0.2"/>
    <row r="708" customFormat="1" x14ac:dyDescent="0.2"/>
    <row r="709" customFormat="1" x14ac:dyDescent="0.2"/>
    <row r="710" customFormat="1" x14ac:dyDescent="0.2"/>
    <row r="711" customFormat="1" x14ac:dyDescent="0.2"/>
    <row r="712" customFormat="1" x14ac:dyDescent="0.2"/>
    <row r="713" customFormat="1" x14ac:dyDescent="0.2"/>
    <row r="714" customFormat="1" x14ac:dyDescent="0.2"/>
    <row r="715" customFormat="1" x14ac:dyDescent="0.2"/>
    <row r="716" customFormat="1" x14ac:dyDescent="0.2"/>
    <row r="717" customFormat="1" x14ac:dyDescent="0.2"/>
    <row r="718" customFormat="1" x14ac:dyDescent="0.2"/>
    <row r="719" customFormat="1" x14ac:dyDescent="0.2"/>
    <row r="720" customFormat="1" x14ac:dyDescent="0.2"/>
    <row r="721" customFormat="1" x14ac:dyDescent="0.2"/>
    <row r="722" customFormat="1" x14ac:dyDescent="0.2"/>
    <row r="723" customFormat="1" x14ac:dyDescent="0.2"/>
    <row r="724" customFormat="1" x14ac:dyDescent="0.2"/>
    <row r="725" customFormat="1" x14ac:dyDescent="0.2"/>
    <row r="726" customFormat="1" x14ac:dyDescent="0.2"/>
    <row r="727" customFormat="1" x14ac:dyDescent="0.2"/>
    <row r="728" customFormat="1" x14ac:dyDescent="0.2"/>
    <row r="729" customFormat="1" x14ac:dyDescent="0.2"/>
    <row r="730" customFormat="1" x14ac:dyDescent="0.2"/>
    <row r="731" customFormat="1" x14ac:dyDescent="0.2"/>
    <row r="732" customFormat="1" x14ac:dyDescent="0.2"/>
    <row r="733" customFormat="1" x14ac:dyDescent="0.2"/>
    <row r="734" customFormat="1" x14ac:dyDescent="0.2"/>
    <row r="735" customFormat="1" x14ac:dyDescent="0.2"/>
    <row r="736" customFormat="1" x14ac:dyDescent="0.2"/>
    <row r="737" customFormat="1" x14ac:dyDescent="0.2"/>
    <row r="738" customFormat="1" x14ac:dyDescent="0.2"/>
    <row r="739" customFormat="1" x14ac:dyDescent="0.2"/>
    <row r="740" customFormat="1" x14ac:dyDescent="0.2"/>
    <row r="741" customFormat="1" x14ac:dyDescent="0.2"/>
    <row r="742" customFormat="1" x14ac:dyDescent="0.2"/>
    <row r="743" customFormat="1" x14ac:dyDescent="0.2"/>
    <row r="744" customFormat="1" x14ac:dyDescent="0.2"/>
    <row r="745" customFormat="1" x14ac:dyDescent="0.2"/>
    <row r="746" customFormat="1" x14ac:dyDescent="0.2"/>
    <row r="747" customFormat="1" x14ac:dyDescent="0.2"/>
    <row r="748" customFormat="1" x14ac:dyDescent="0.2"/>
    <row r="749" customFormat="1" x14ac:dyDescent="0.2"/>
    <row r="750" customFormat="1" x14ac:dyDescent="0.2"/>
    <row r="751" customFormat="1" x14ac:dyDescent="0.2"/>
    <row r="752" customFormat="1" x14ac:dyDescent="0.2"/>
    <row r="753" customFormat="1" x14ac:dyDescent="0.2"/>
    <row r="754" customFormat="1" x14ac:dyDescent="0.2"/>
    <row r="755" customFormat="1" x14ac:dyDescent="0.2"/>
    <row r="756" customFormat="1" x14ac:dyDescent="0.2"/>
    <row r="757" customFormat="1" x14ac:dyDescent="0.2"/>
    <row r="758" customFormat="1" x14ac:dyDescent="0.2"/>
    <row r="759" customFormat="1" x14ac:dyDescent="0.2"/>
    <row r="760" customFormat="1" x14ac:dyDescent="0.2"/>
    <row r="761" customFormat="1" x14ac:dyDescent="0.2"/>
    <row r="762" customFormat="1" x14ac:dyDescent="0.2"/>
    <row r="763" customFormat="1" x14ac:dyDescent="0.2"/>
    <row r="764" customFormat="1" x14ac:dyDescent="0.2"/>
    <row r="765" customFormat="1" x14ac:dyDescent="0.2"/>
    <row r="766" customFormat="1" x14ac:dyDescent="0.2"/>
    <row r="767" customFormat="1" x14ac:dyDescent="0.2"/>
    <row r="768" customFormat="1" x14ac:dyDescent="0.2"/>
    <row r="769" customFormat="1" x14ac:dyDescent="0.2"/>
    <row r="770" customFormat="1" x14ac:dyDescent="0.2"/>
    <row r="771" customFormat="1" x14ac:dyDescent="0.2"/>
    <row r="772" customFormat="1" x14ac:dyDescent="0.2"/>
    <row r="773" customFormat="1" x14ac:dyDescent="0.2"/>
    <row r="774" customFormat="1" x14ac:dyDescent="0.2"/>
    <row r="775" customFormat="1" x14ac:dyDescent="0.2"/>
    <row r="776" customFormat="1" x14ac:dyDescent="0.2"/>
    <row r="777" customFormat="1" x14ac:dyDescent="0.2"/>
    <row r="778" customFormat="1" x14ac:dyDescent="0.2"/>
    <row r="779" customFormat="1" x14ac:dyDescent="0.2"/>
    <row r="780" customFormat="1" x14ac:dyDescent="0.2"/>
    <row r="781" customFormat="1" x14ac:dyDescent="0.2"/>
    <row r="782" customFormat="1" x14ac:dyDescent="0.2"/>
    <row r="783" customFormat="1" x14ac:dyDescent="0.2"/>
    <row r="784" customFormat="1" x14ac:dyDescent="0.2"/>
    <row r="785" customFormat="1" x14ac:dyDescent="0.2"/>
    <row r="786" customFormat="1" x14ac:dyDescent="0.2"/>
    <row r="787" customFormat="1" x14ac:dyDescent="0.2"/>
    <row r="788" customFormat="1" x14ac:dyDescent="0.2"/>
    <row r="789" customFormat="1" x14ac:dyDescent="0.2"/>
    <row r="790" customFormat="1" x14ac:dyDescent="0.2"/>
    <row r="791" customFormat="1" x14ac:dyDescent="0.2"/>
    <row r="792" customFormat="1" x14ac:dyDescent="0.2"/>
    <row r="793" customFormat="1" x14ac:dyDescent="0.2"/>
    <row r="794" customFormat="1" x14ac:dyDescent="0.2"/>
    <row r="795" customFormat="1" x14ac:dyDescent="0.2"/>
    <row r="796" customFormat="1" x14ac:dyDescent="0.2"/>
    <row r="797" customFormat="1" x14ac:dyDescent="0.2"/>
    <row r="798" customFormat="1" x14ac:dyDescent="0.2"/>
    <row r="799" customFormat="1" x14ac:dyDescent="0.2"/>
    <row r="800" customFormat="1" x14ac:dyDescent="0.2"/>
    <row r="801" customFormat="1" x14ac:dyDescent="0.2"/>
    <row r="802" customFormat="1" x14ac:dyDescent="0.2"/>
    <row r="803" customFormat="1" x14ac:dyDescent="0.2"/>
    <row r="804" customFormat="1" x14ac:dyDescent="0.2"/>
    <row r="805" customFormat="1" x14ac:dyDescent="0.2"/>
    <row r="806" customFormat="1" x14ac:dyDescent="0.2"/>
    <row r="807" customFormat="1" x14ac:dyDescent="0.2"/>
    <row r="808" customFormat="1" x14ac:dyDescent="0.2"/>
    <row r="809" customFormat="1" x14ac:dyDescent="0.2"/>
    <row r="810" customFormat="1" x14ac:dyDescent="0.2"/>
    <row r="811" customFormat="1" x14ac:dyDescent="0.2"/>
    <row r="812" customFormat="1" x14ac:dyDescent="0.2"/>
    <row r="813" customFormat="1" x14ac:dyDescent="0.2"/>
    <row r="814" customFormat="1" x14ac:dyDescent="0.2"/>
    <row r="815" customFormat="1" x14ac:dyDescent="0.2"/>
    <row r="816" customFormat="1" x14ac:dyDescent="0.2"/>
    <row r="817" customFormat="1" x14ac:dyDescent="0.2"/>
    <row r="818" customFormat="1" x14ac:dyDescent="0.2"/>
    <row r="819" customFormat="1" x14ac:dyDescent="0.2"/>
    <row r="820" customFormat="1" x14ac:dyDescent="0.2"/>
    <row r="821" customFormat="1" x14ac:dyDescent="0.2"/>
    <row r="822" customFormat="1" x14ac:dyDescent="0.2"/>
    <row r="823" customFormat="1" x14ac:dyDescent="0.2"/>
    <row r="824" customFormat="1" x14ac:dyDescent="0.2"/>
    <row r="825" customFormat="1" x14ac:dyDescent="0.2"/>
    <row r="826" customFormat="1" x14ac:dyDescent="0.2"/>
    <row r="827" customFormat="1" x14ac:dyDescent="0.2"/>
    <row r="828" customFormat="1" x14ac:dyDescent="0.2"/>
    <row r="829" customFormat="1" x14ac:dyDescent="0.2"/>
    <row r="830" customFormat="1" x14ac:dyDescent="0.2"/>
    <row r="831" customFormat="1" x14ac:dyDescent="0.2"/>
    <row r="832" customFormat="1" x14ac:dyDescent="0.2"/>
    <row r="833" customFormat="1" x14ac:dyDescent="0.2"/>
    <row r="834" customFormat="1" x14ac:dyDescent="0.2"/>
    <row r="835" customFormat="1" x14ac:dyDescent="0.2"/>
    <row r="836" customFormat="1" x14ac:dyDescent="0.2"/>
    <row r="837" customFormat="1" x14ac:dyDescent="0.2"/>
    <row r="838" customFormat="1" x14ac:dyDescent="0.2"/>
    <row r="839" customFormat="1" x14ac:dyDescent="0.2"/>
    <row r="840" customFormat="1" x14ac:dyDescent="0.2"/>
    <row r="841" customFormat="1" x14ac:dyDescent="0.2"/>
    <row r="842" customFormat="1" x14ac:dyDescent="0.2"/>
    <row r="843" customFormat="1" x14ac:dyDescent="0.2"/>
    <row r="844" customFormat="1" x14ac:dyDescent="0.2"/>
    <row r="845" customFormat="1" x14ac:dyDescent="0.2"/>
    <row r="846" customFormat="1" x14ac:dyDescent="0.2"/>
    <row r="847" customFormat="1" x14ac:dyDescent="0.2"/>
    <row r="848" customFormat="1" x14ac:dyDescent="0.2"/>
    <row r="849" customFormat="1" x14ac:dyDescent="0.2"/>
    <row r="850" customFormat="1" x14ac:dyDescent="0.2"/>
    <row r="851" customFormat="1" x14ac:dyDescent="0.2"/>
    <row r="852" customFormat="1" x14ac:dyDescent="0.2"/>
    <row r="853" customFormat="1" x14ac:dyDescent="0.2"/>
    <row r="854" customFormat="1" x14ac:dyDescent="0.2"/>
    <row r="855" customFormat="1" x14ac:dyDescent="0.2"/>
    <row r="856" customFormat="1" x14ac:dyDescent="0.2"/>
    <row r="857" customFormat="1" x14ac:dyDescent="0.2"/>
    <row r="858" customFormat="1" x14ac:dyDescent="0.2"/>
    <row r="859" customFormat="1" x14ac:dyDescent="0.2"/>
    <row r="860" customFormat="1" x14ac:dyDescent="0.2"/>
    <row r="861" customFormat="1" x14ac:dyDescent="0.2"/>
    <row r="862" customFormat="1" x14ac:dyDescent="0.2"/>
    <row r="863" customFormat="1" x14ac:dyDescent="0.2"/>
    <row r="864" customFormat="1" x14ac:dyDescent="0.2"/>
    <row r="865" customFormat="1" x14ac:dyDescent="0.2"/>
    <row r="866" customFormat="1" x14ac:dyDescent="0.2"/>
    <row r="867" customFormat="1" x14ac:dyDescent="0.2"/>
    <row r="868" customFormat="1" x14ac:dyDescent="0.2"/>
    <row r="869" customFormat="1" x14ac:dyDescent="0.2"/>
    <row r="870" customFormat="1" x14ac:dyDescent="0.2"/>
    <row r="871" customFormat="1" x14ac:dyDescent="0.2"/>
    <row r="872" customFormat="1" x14ac:dyDescent="0.2"/>
    <row r="873" customFormat="1" x14ac:dyDescent="0.2"/>
    <row r="874" customFormat="1" x14ac:dyDescent="0.2"/>
    <row r="875" customFormat="1" x14ac:dyDescent="0.2"/>
    <row r="876" customFormat="1" x14ac:dyDescent="0.2"/>
    <row r="877" customFormat="1" x14ac:dyDescent="0.2"/>
    <row r="878" customFormat="1" x14ac:dyDescent="0.2"/>
    <row r="879" customFormat="1" x14ac:dyDescent="0.2"/>
    <row r="880" customFormat="1" x14ac:dyDescent="0.2"/>
    <row r="881" customFormat="1" x14ac:dyDescent="0.2"/>
    <row r="882" customFormat="1" x14ac:dyDescent="0.2"/>
    <row r="883" customFormat="1" x14ac:dyDescent="0.2"/>
    <row r="884" customFormat="1" x14ac:dyDescent="0.2"/>
    <row r="885" customFormat="1" x14ac:dyDescent="0.2"/>
    <row r="886" customFormat="1" x14ac:dyDescent="0.2"/>
    <row r="887" customFormat="1" x14ac:dyDescent="0.2"/>
    <row r="888" customFormat="1" x14ac:dyDescent="0.2"/>
    <row r="889" customFormat="1" x14ac:dyDescent="0.2"/>
    <row r="890" customFormat="1" x14ac:dyDescent="0.2"/>
    <row r="891" customFormat="1" x14ac:dyDescent="0.2"/>
    <row r="892" customFormat="1" x14ac:dyDescent="0.2"/>
    <row r="893" customFormat="1" x14ac:dyDescent="0.2"/>
    <row r="894" customFormat="1" x14ac:dyDescent="0.2"/>
    <row r="895" customFormat="1" x14ac:dyDescent="0.2"/>
    <row r="896" customFormat="1" x14ac:dyDescent="0.2"/>
    <row r="897" customFormat="1" x14ac:dyDescent="0.2"/>
    <row r="898" customFormat="1" x14ac:dyDescent="0.2"/>
    <row r="899" customFormat="1" x14ac:dyDescent="0.2"/>
    <row r="900" customFormat="1" x14ac:dyDescent="0.2"/>
    <row r="901" customFormat="1" x14ac:dyDescent="0.2"/>
    <row r="902" customFormat="1" x14ac:dyDescent="0.2"/>
    <row r="903" customFormat="1" x14ac:dyDescent="0.2"/>
    <row r="904" customFormat="1" x14ac:dyDescent="0.2"/>
    <row r="905" customFormat="1" x14ac:dyDescent="0.2"/>
    <row r="906" customFormat="1" x14ac:dyDescent="0.2"/>
    <row r="907" customFormat="1" x14ac:dyDescent="0.2"/>
    <row r="908" customFormat="1" x14ac:dyDescent="0.2"/>
    <row r="909" customFormat="1" x14ac:dyDescent="0.2"/>
    <row r="910" customFormat="1" x14ac:dyDescent="0.2"/>
    <row r="911" customFormat="1" x14ac:dyDescent="0.2"/>
    <row r="912" customFormat="1" x14ac:dyDescent="0.2"/>
    <row r="913" customFormat="1" x14ac:dyDescent="0.2"/>
    <row r="914" customFormat="1" x14ac:dyDescent="0.2"/>
    <row r="915" customFormat="1" x14ac:dyDescent="0.2"/>
    <row r="916" customFormat="1" x14ac:dyDescent="0.2"/>
    <row r="917" customFormat="1" x14ac:dyDescent="0.2"/>
    <row r="918" customFormat="1" x14ac:dyDescent="0.2"/>
    <row r="919" customFormat="1" x14ac:dyDescent="0.2"/>
    <row r="920" customFormat="1" x14ac:dyDescent="0.2"/>
    <row r="921" customFormat="1" x14ac:dyDescent="0.2"/>
    <row r="922" customFormat="1" x14ac:dyDescent="0.2"/>
    <row r="923" customFormat="1" x14ac:dyDescent="0.2"/>
    <row r="924" customFormat="1" x14ac:dyDescent="0.2"/>
    <row r="925" customFormat="1" x14ac:dyDescent="0.2"/>
    <row r="926" customFormat="1" x14ac:dyDescent="0.2"/>
    <row r="927" customFormat="1" x14ac:dyDescent="0.2"/>
    <row r="928" customFormat="1" x14ac:dyDescent="0.2"/>
    <row r="929" customFormat="1" x14ac:dyDescent="0.2"/>
    <row r="930" customFormat="1" x14ac:dyDescent="0.2"/>
    <row r="931" customFormat="1" x14ac:dyDescent="0.2"/>
    <row r="932" customFormat="1" x14ac:dyDescent="0.2"/>
    <row r="933" customFormat="1" x14ac:dyDescent="0.2"/>
    <row r="934" customFormat="1" x14ac:dyDescent="0.2"/>
    <row r="935" customFormat="1" x14ac:dyDescent="0.2"/>
    <row r="936" customFormat="1" x14ac:dyDescent="0.2"/>
    <row r="937" customFormat="1" x14ac:dyDescent="0.2"/>
    <row r="938" customFormat="1" x14ac:dyDescent="0.2"/>
    <row r="939" customFormat="1" x14ac:dyDescent="0.2"/>
    <row r="940" customFormat="1" x14ac:dyDescent="0.2"/>
    <row r="941" customFormat="1" x14ac:dyDescent="0.2"/>
    <row r="942" customFormat="1" x14ac:dyDescent="0.2"/>
    <row r="943" customFormat="1" x14ac:dyDescent="0.2"/>
    <row r="944" customFormat="1" x14ac:dyDescent="0.2"/>
    <row r="945" customFormat="1" x14ac:dyDescent="0.2"/>
    <row r="946" customFormat="1" x14ac:dyDescent="0.2"/>
    <row r="947" customFormat="1" x14ac:dyDescent="0.2"/>
    <row r="948" customFormat="1" x14ac:dyDescent="0.2"/>
    <row r="949" customFormat="1" x14ac:dyDescent="0.2"/>
    <row r="950" customFormat="1" x14ac:dyDescent="0.2"/>
    <row r="951" customFormat="1" x14ac:dyDescent="0.2"/>
    <row r="952" customFormat="1" x14ac:dyDescent="0.2"/>
    <row r="953" customFormat="1" x14ac:dyDescent="0.2"/>
    <row r="954" customFormat="1" x14ac:dyDescent="0.2"/>
    <row r="955" customFormat="1" x14ac:dyDescent="0.2"/>
    <row r="956" customFormat="1" x14ac:dyDescent="0.2"/>
    <row r="957" customFormat="1" x14ac:dyDescent="0.2"/>
    <row r="958" customFormat="1" x14ac:dyDescent="0.2"/>
    <row r="959" customFormat="1" x14ac:dyDescent="0.2"/>
    <row r="960" customFormat="1" x14ac:dyDescent="0.2"/>
    <row r="961" customFormat="1" x14ac:dyDescent="0.2"/>
    <row r="962" customFormat="1" x14ac:dyDescent="0.2"/>
    <row r="963" customFormat="1" x14ac:dyDescent="0.2"/>
    <row r="964" customFormat="1" x14ac:dyDescent="0.2"/>
    <row r="965" customFormat="1" x14ac:dyDescent="0.2"/>
    <row r="966" customFormat="1" x14ac:dyDescent="0.2"/>
    <row r="967" customFormat="1" x14ac:dyDescent="0.2"/>
    <row r="968" customFormat="1" x14ac:dyDescent="0.2"/>
    <row r="969" customFormat="1" x14ac:dyDescent="0.2"/>
    <row r="970" customFormat="1" x14ac:dyDescent="0.2"/>
    <row r="971" customFormat="1" x14ac:dyDescent="0.2"/>
    <row r="972" customFormat="1" x14ac:dyDescent="0.2"/>
    <row r="973" customFormat="1" x14ac:dyDescent="0.2"/>
    <row r="974" customFormat="1" x14ac:dyDescent="0.2"/>
    <row r="975" customFormat="1" x14ac:dyDescent="0.2"/>
    <row r="976" customFormat="1" x14ac:dyDescent="0.2"/>
    <row r="977" customFormat="1" x14ac:dyDescent="0.2"/>
    <row r="978" customFormat="1" x14ac:dyDescent="0.2"/>
    <row r="979" customFormat="1" x14ac:dyDescent="0.2"/>
    <row r="980" customFormat="1" x14ac:dyDescent="0.2"/>
    <row r="981" customFormat="1" x14ac:dyDescent="0.2"/>
    <row r="982" customFormat="1" x14ac:dyDescent="0.2"/>
    <row r="983" customFormat="1" x14ac:dyDescent="0.2"/>
    <row r="984" customFormat="1" x14ac:dyDescent="0.2"/>
    <row r="985" customFormat="1" x14ac:dyDescent="0.2"/>
    <row r="986" customFormat="1" x14ac:dyDescent="0.2"/>
    <row r="987" customFormat="1" x14ac:dyDescent="0.2"/>
    <row r="988" customFormat="1" x14ac:dyDescent="0.2"/>
    <row r="989" customFormat="1" x14ac:dyDescent="0.2"/>
    <row r="990" customFormat="1" x14ac:dyDescent="0.2"/>
    <row r="991" customFormat="1" x14ac:dyDescent="0.2"/>
    <row r="992" customFormat="1" x14ac:dyDescent="0.2"/>
    <row r="993" customFormat="1" x14ac:dyDescent="0.2"/>
    <row r="994" customFormat="1" x14ac:dyDescent="0.2"/>
    <row r="995" customFormat="1" x14ac:dyDescent="0.2"/>
    <row r="996" customFormat="1" x14ac:dyDescent="0.2"/>
    <row r="997" customFormat="1" x14ac:dyDescent="0.2"/>
    <row r="998" customFormat="1" x14ac:dyDescent="0.2"/>
    <row r="999" customFormat="1" x14ac:dyDescent="0.2"/>
    <row r="1000" customFormat="1" x14ac:dyDescent="0.2"/>
    <row r="1001" customFormat="1" x14ac:dyDescent="0.2"/>
    <row r="1002" customFormat="1" x14ac:dyDescent="0.2"/>
    <row r="1003" customFormat="1" x14ac:dyDescent="0.2"/>
    <row r="1004" customFormat="1" x14ac:dyDescent="0.2"/>
    <row r="1005" customFormat="1" x14ac:dyDescent="0.2"/>
    <row r="1006" customFormat="1" x14ac:dyDescent="0.2"/>
    <row r="1007" customFormat="1" x14ac:dyDescent="0.2"/>
    <row r="1008" customFormat="1" x14ac:dyDescent="0.2"/>
    <row r="1009" customFormat="1" x14ac:dyDescent="0.2"/>
    <row r="1010" customFormat="1" x14ac:dyDescent="0.2"/>
    <row r="1011" customFormat="1" x14ac:dyDescent="0.2"/>
    <row r="1012" customFormat="1" x14ac:dyDescent="0.2"/>
    <row r="1013" customFormat="1" x14ac:dyDescent="0.2"/>
    <row r="1014" customFormat="1" x14ac:dyDescent="0.2"/>
    <row r="1015" customFormat="1" x14ac:dyDescent="0.2"/>
    <row r="1016" customFormat="1" x14ac:dyDescent="0.2"/>
    <row r="1017" customFormat="1" x14ac:dyDescent="0.2"/>
    <row r="1018" customFormat="1" x14ac:dyDescent="0.2"/>
    <row r="1019" customFormat="1" x14ac:dyDescent="0.2"/>
    <row r="1020" customFormat="1" x14ac:dyDescent="0.2"/>
    <row r="1021" customFormat="1" x14ac:dyDescent="0.2"/>
    <row r="1022" customFormat="1" x14ac:dyDescent="0.2"/>
    <row r="1023" customFormat="1" x14ac:dyDescent="0.2"/>
    <row r="1024" customFormat="1" x14ac:dyDescent="0.2"/>
    <row r="1025" customFormat="1" x14ac:dyDescent="0.2"/>
    <row r="1026" customFormat="1" x14ac:dyDescent="0.2"/>
    <row r="1027" customFormat="1" x14ac:dyDescent="0.2"/>
    <row r="1028" customFormat="1" x14ac:dyDescent="0.2"/>
    <row r="1029" customFormat="1" x14ac:dyDescent="0.2"/>
    <row r="1030" customFormat="1" x14ac:dyDescent="0.2"/>
    <row r="1031" customFormat="1" x14ac:dyDescent="0.2"/>
    <row r="1032" customFormat="1" x14ac:dyDescent="0.2"/>
    <row r="1033" customFormat="1" x14ac:dyDescent="0.2"/>
    <row r="1034" customFormat="1" x14ac:dyDescent="0.2"/>
    <row r="1035" customFormat="1" x14ac:dyDescent="0.2"/>
    <row r="1036" customFormat="1" x14ac:dyDescent="0.2"/>
    <row r="1037" customFormat="1" x14ac:dyDescent="0.2"/>
    <row r="1038" customFormat="1" x14ac:dyDescent="0.2"/>
    <row r="1039" customFormat="1" x14ac:dyDescent="0.2"/>
    <row r="1040" customFormat="1" x14ac:dyDescent="0.2"/>
    <row r="1041" customFormat="1" x14ac:dyDescent="0.2"/>
    <row r="1042" customFormat="1" x14ac:dyDescent="0.2"/>
    <row r="1043" customFormat="1" x14ac:dyDescent="0.2"/>
    <row r="1044" customFormat="1" x14ac:dyDescent="0.2"/>
    <row r="1045" customFormat="1" x14ac:dyDescent="0.2"/>
    <row r="1046" customFormat="1" x14ac:dyDescent="0.2"/>
    <row r="1047" customFormat="1" x14ac:dyDescent="0.2"/>
    <row r="1048" customFormat="1" x14ac:dyDescent="0.2"/>
    <row r="1049" customFormat="1" x14ac:dyDescent="0.2"/>
    <row r="1050" customFormat="1" x14ac:dyDescent="0.2"/>
    <row r="1051" customFormat="1" x14ac:dyDescent="0.2"/>
    <row r="1052" customFormat="1" x14ac:dyDescent="0.2"/>
    <row r="1053" customFormat="1" x14ac:dyDescent="0.2"/>
    <row r="1054" customFormat="1" x14ac:dyDescent="0.2"/>
    <row r="1055" customFormat="1" x14ac:dyDescent="0.2"/>
    <row r="1056" customFormat="1" x14ac:dyDescent="0.2"/>
    <row r="1057" customFormat="1" x14ac:dyDescent="0.2"/>
    <row r="1058" customFormat="1" x14ac:dyDescent="0.2"/>
    <row r="1059" customFormat="1" x14ac:dyDescent="0.2"/>
    <row r="1060" customFormat="1" x14ac:dyDescent="0.2"/>
    <row r="1061" customFormat="1" x14ac:dyDescent="0.2"/>
    <row r="1062" customFormat="1" x14ac:dyDescent="0.2"/>
    <row r="1063" customFormat="1" x14ac:dyDescent="0.2"/>
    <row r="1064" customFormat="1" x14ac:dyDescent="0.2"/>
    <row r="1065" customFormat="1" x14ac:dyDescent="0.2"/>
    <row r="1066" customFormat="1" x14ac:dyDescent="0.2"/>
    <row r="1067" customFormat="1" x14ac:dyDescent="0.2"/>
    <row r="1068" customFormat="1" x14ac:dyDescent="0.2"/>
    <row r="1069" customFormat="1" x14ac:dyDescent="0.2"/>
    <row r="1070" customFormat="1" x14ac:dyDescent="0.2"/>
    <row r="1071" customFormat="1" x14ac:dyDescent="0.2"/>
    <row r="1072" customFormat="1" x14ac:dyDescent="0.2"/>
    <row r="1073" customFormat="1" x14ac:dyDescent="0.2"/>
    <row r="1074" customFormat="1" x14ac:dyDescent="0.2"/>
    <row r="1075" customFormat="1" x14ac:dyDescent="0.2"/>
    <row r="1076" customFormat="1" x14ac:dyDescent="0.2"/>
    <row r="1077" customFormat="1" x14ac:dyDescent="0.2"/>
    <row r="1078" customFormat="1" x14ac:dyDescent="0.2"/>
    <row r="1079" customFormat="1" x14ac:dyDescent="0.2"/>
    <row r="1080" customFormat="1" x14ac:dyDescent="0.2"/>
    <row r="1081" customFormat="1" x14ac:dyDescent="0.2"/>
    <row r="1082" customFormat="1" x14ac:dyDescent="0.2"/>
    <row r="1083" customFormat="1" x14ac:dyDescent="0.2"/>
    <row r="1084" customFormat="1" x14ac:dyDescent="0.2"/>
    <row r="1085" customFormat="1" x14ac:dyDescent="0.2"/>
    <row r="1086" customFormat="1" x14ac:dyDescent="0.2"/>
    <row r="1087" customFormat="1" x14ac:dyDescent="0.2"/>
    <row r="1088" customFormat="1" x14ac:dyDescent="0.2"/>
    <row r="1089" customFormat="1" x14ac:dyDescent="0.2"/>
    <row r="1090" customFormat="1" x14ac:dyDescent="0.2"/>
    <row r="1091" customFormat="1" x14ac:dyDescent="0.2"/>
    <row r="1092" customFormat="1" x14ac:dyDescent="0.2"/>
    <row r="1093" customFormat="1" x14ac:dyDescent="0.2"/>
    <row r="1094" customFormat="1" x14ac:dyDescent="0.2"/>
    <row r="1095" customFormat="1" x14ac:dyDescent="0.2"/>
    <row r="1096" customFormat="1" x14ac:dyDescent="0.2"/>
    <row r="1097" customFormat="1" x14ac:dyDescent="0.2"/>
    <row r="1098" customFormat="1" x14ac:dyDescent="0.2"/>
    <row r="1099" customFormat="1" x14ac:dyDescent="0.2"/>
    <row r="1100" customFormat="1" x14ac:dyDescent="0.2"/>
    <row r="1101" customFormat="1" x14ac:dyDescent="0.2"/>
    <row r="1102" customFormat="1" x14ac:dyDescent="0.2"/>
    <row r="1103" customFormat="1" x14ac:dyDescent="0.2"/>
    <row r="1104" customFormat="1" x14ac:dyDescent="0.2"/>
    <row r="1105" customFormat="1" x14ac:dyDescent="0.2"/>
    <row r="1106" customFormat="1" x14ac:dyDescent="0.2"/>
    <row r="1107" customFormat="1" x14ac:dyDescent="0.2"/>
    <row r="1108" customFormat="1" x14ac:dyDescent="0.2"/>
    <row r="1109" customFormat="1" x14ac:dyDescent="0.2"/>
    <row r="1110" customFormat="1" x14ac:dyDescent="0.2"/>
    <row r="1111" customFormat="1" x14ac:dyDescent="0.2"/>
    <row r="1112" customFormat="1" x14ac:dyDescent="0.2"/>
    <row r="1113" customFormat="1" x14ac:dyDescent="0.2"/>
    <row r="1114" customFormat="1" x14ac:dyDescent="0.2"/>
    <row r="1115" customFormat="1" x14ac:dyDescent="0.2"/>
    <row r="1116" customFormat="1" x14ac:dyDescent="0.2"/>
    <row r="1117" customFormat="1" x14ac:dyDescent="0.2"/>
    <row r="1118" customFormat="1" x14ac:dyDescent="0.2"/>
    <row r="1119" customFormat="1" x14ac:dyDescent="0.2"/>
    <row r="1120" customFormat="1" x14ac:dyDescent="0.2"/>
    <row r="1121" customFormat="1" x14ac:dyDescent="0.2"/>
    <row r="1122" customFormat="1" x14ac:dyDescent="0.2"/>
    <row r="1123" customFormat="1" x14ac:dyDescent="0.2"/>
    <row r="1124" customFormat="1" x14ac:dyDescent="0.2"/>
    <row r="1125" customFormat="1" x14ac:dyDescent="0.2"/>
    <row r="1126" customFormat="1" x14ac:dyDescent="0.2"/>
    <row r="1127" customFormat="1" x14ac:dyDescent="0.2"/>
    <row r="1128" customFormat="1" x14ac:dyDescent="0.2"/>
    <row r="1129" customFormat="1" x14ac:dyDescent="0.2"/>
    <row r="1130" customFormat="1" x14ac:dyDescent="0.2"/>
    <row r="1131" customFormat="1" x14ac:dyDescent="0.2"/>
    <row r="1132" customFormat="1" x14ac:dyDescent="0.2"/>
    <row r="1133" customFormat="1" x14ac:dyDescent="0.2"/>
    <row r="1134" customFormat="1" x14ac:dyDescent="0.2"/>
    <row r="1135" customFormat="1" x14ac:dyDescent="0.2"/>
    <row r="1136" customFormat="1" x14ac:dyDescent="0.2"/>
    <row r="1137" customFormat="1" x14ac:dyDescent="0.2"/>
    <row r="1138" customFormat="1" x14ac:dyDescent="0.2"/>
    <row r="1139" customFormat="1" x14ac:dyDescent="0.2"/>
    <row r="1140" customFormat="1" x14ac:dyDescent="0.2"/>
    <row r="1141" customFormat="1" x14ac:dyDescent="0.2"/>
    <row r="1142" customFormat="1" x14ac:dyDescent="0.2"/>
    <row r="1143" customFormat="1" x14ac:dyDescent="0.2"/>
    <row r="1144" customFormat="1" x14ac:dyDescent="0.2"/>
    <row r="1145" customFormat="1" x14ac:dyDescent="0.2"/>
    <row r="1146" customFormat="1" x14ac:dyDescent="0.2"/>
    <row r="1147" customFormat="1" x14ac:dyDescent="0.2"/>
    <row r="1148" customFormat="1" x14ac:dyDescent="0.2"/>
    <row r="1149" customFormat="1" x14ac:dyDescent="0.2"/>
    <row r="1150" customFormat="1" x14ac:dyDescent="0.2"/>
    <row r="1151" customFormat="1" x14ac:dyDescent="0.2"/>
    <row r="1152" customFormat="1" x14ac:dyDescent="0.2"/>
    <row r="1153" customFormat="1" x14ac:dyDescent="0.2"/>
    <row r="1154" customFormat="1" x14ac:dyDescent="0.2"/>
    <row r="1155" customFormat="1" x14ac:dyDescent="0.2"/>
    <row r="1156" customFormat="1" x14ac:dyDescent="0.2"/>
    <row r="1157" customFormat="1" x14ac:dyDescent="0.2"/>
    <row r="1158" customFormat="1" x14ac:dyDescent="0.2"/>
    <row r="1159" customFormat="1" x14ac:dyDescent="0.2"/>
    <row r="1160" customFormat="1" x14ac:dyDescent="0.2"/>
    <row r="1161" customFormat="1" x14ac:dyDescent="0.2"/>
    <row r="1162" customFormat="1" x14ac:dyDescent="0.2"/>
    <row r="1163" customFormat="1" x14ac:dyDescent="0.2"/>
    <row r="1164" customFormat="1" x14ac:dyDescent="0.2"/>
    <row r="1165" customFormat="1" x14ac:dyDescent="0.2"/>
    <row r="1166" customFormat="1" x14ac:dyDescent="0.2"/>
    <row r="1167" customFormat="1" x14ac:dyDescent="0.2"/>
    <row r="1168" customFormat="1" x14ac:dyDescent="0.2"/>
    <row r="1169" customFormat="1" x14ac:dyDescent="0.2"/>
    <row r="1170" customFormat="1" x14ac:dyDescent="0.2"/>
    <row r="1171" customFormat="1" x14ac:dyDescent="0.2"/>
    <row r="1172" customFormat="1" x14ac:dyDescent="0.2"/>
    <row r="1173" customFormat="1" x14ac:dyDescent="0.2"/>
    <row r="1174" customFormat="1" x14ac:dyDescent="0.2"/>
    <row r="1175" customFormat="1" x14ac:dyDescent="0.2"/>
    <row r="1176" customFormat="1" x14ac:dyDescent="0.2"/>
    <row r="1177" customFormat="1" x14ac:dyDescent="0.2"/>
    <row r="1178" customFormat="1" x14ac:dyDescent="0.2"/>
    <row r="1179" customFormat="1" x14ac:dyDescent="0.2"/>
    <row r="1180" customFormat="1" x14ac:dyDescent="0.2"/>
    <row r="1181" customFormat="1" x14ac:dyDescent="0.2"/>
    <row r="1182" customFormat="1" x14ac:dyDescent="0.2"/>
    <row r="1183" customFormat="1" x14ac:dyDescent="0.2"/>
    <row r="1184" customFormat="1" x14ac:dyDescent="0.2"/>
    <row r="1185" customFormat="1" x14ac:dyDescent="0.2"/>
    <row r="1186" customFormat="1" x14ac:dyDescent="0.2"/>
    <row r="1187" customFormat="1" x14ac:dyDescent="0.2"/>
    <row r="1188" customFormat="1" x14ac:dyDescent="0.2"/>
    <row r="1189" customFormat="1" x14ac:dyDescent="0.2"/>
    <row r="1190" customFormat="1" x14ac:dyDescent="0.2"/>
    <row r="1191" customFormat="1" x14ac:dyDescent="0.2"/>
    <row r="1192" customFormat="1" x14ac:dyDescent="0.2"/>
    <row r="1193" customFormat="1" x14ac:dyDescent="0.2"/>
    <row r="1194" customFormat="1" x14ac:dyDescent="0.2"/>
    <row r="1195" customFormat="1" x14ac:dyDescent="0.2"/>
    <row r="1196" customFormat="1" x14ac:dyDescent="0.2"/>
    <row r="1197" customFormat="1" x14ac:dyDescent="0.2"/>
    <row r="1198" customFormat="1" x14ac:dyDescent="0.2"/>
    <row r="1199" customFormat="1" x14ac:dyDescent="0.2"/>
    <row r="1200" customFormat="1" x14ac:dyDescent="0.2"/>
    <row r="1201" customFormat="1" x14ac:dyDescent="0.2"/>
    <row r="1202" customFormat="1" x14ac:dyDescent="0.2"/>
    <row r="1203" customFormat="1" x14ac:dyDescent="0.2"/>
    <row r="1204" customFormat="1" x14ac:dyDescent="0.2"/>
    <row r="1205" customFormat="1" x14ac:dyDescent="0.2"/>
    <row r="1206" customFormat="1" x14ac:dyDescent="0.2"/>
    <row r="1207" customFormat="1" x14ac:dyDescent="0.2"/>
    <row r="1208" customFormat="1" x14ac:dyDescent="0.2"/>
    <row r="1209" customFormat="1" x14ac:dyDescent="0.2"/>
    <row r="1210" customFormat="1" x14ac:dyDescent="0.2"/>
    <row r="1211" customFormat="1" x14ac:dyDescent="0.2"/>
    <row r="1212" customFormat="1" x14ac:dyDescent="0.2"/>
    <row r="1213" customFormat="1" x14ac:dyDescent="0.2"/>
    <row r="1214" customFormat="1" x14ac:dyDescent="0.2"/>
    <row r="1215" customFormat="1" x14ac:dyDescent="0.2"/>
    <row r="1216" customFormat="1" x14ac:dyDescent="0.2"/>
    <row r="1217" customFormat="1" x14ac:dyDescent="0.2"/>
    <row r="1218" customFormat="1" x14ac:dyDescent="0.2"/>
    <row r="1219" customFormat="1" x14ac:dyDescent="0.2"/>
  </sheetData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705"/>
  <sheetViews>
    <sheetView showZeros="0" tabSelected="1" zoomScale="80" zoomScaleNormal="80" workbookViewId="0">
      <pane ySplit="11" topLeftCell="A690" activePane="bottomLeft" state="frozen"/>
      <selection pane="bottomLeft" activeCell="A707" sqref="A707"/>
    </sheetView>
  </sheetViews>
  <sheetFormatPr defaultColWidth="12.625" defaultRowHeight="15" customHeight="1" x14ac:dyDescent="0.2"/>
  <cols>
    <col min="1" max="1" width="58" customWidth="1"/>
    <col min="2" max="2" width="10.125" customWidth="1"/>
    <col min="3" max="3" width="9.75" customWidth="1"/>
    <col min="4" max="4" width="7.125" customWidth="1"/>
    <col min="5" max="5" width="11.125" customWidth="1"/>
    <col min="6" max="6" width="9.125" customWidth="1"/>
    <col min="7" max="7" width="13.875" style="160" bestFit="1" customWidth="1"/>
    <col min="8" max="8" width="8.625" style="160" customWidth="1"/>
    <col min="9" max="9" width="11.125" style="160" customWidth="1"/>
    <col min="10" max="10" width="8.5" style="160" customWidth="1"/>
    <col min="11" max="11" width="7.75" style="160" customWidth="1"/>
    <col min="12" max="12" width="9.375" style="160" customWidth="1"/>
  </cols>
  <sheetData>
    <row r="1" spans="1:12" x14ac:dyDescent="0.25">
      <c r="E1" s="3"/>
      <c r="G1" s="159"/>
      <c r="H1" s="159"/>
      <c r="J1" s="159"/>
      <c r="K1" s="159"/>
      <c r="L1" s="120" t="s">
        <v>1101</v>
      </c>
    </row>
    <row r="2" spans="1:12" x14ac:dyDescent="0.25">
      <c r="E2" s="3"/>
      <c r="G2" s="159"/>
      <c r="H2" s="159"/>
      <c r="J2" s="159"/>
      <c r="K2" s="159"/>
      <c r="L2" s="120" t="s">
        <v>1133</v>
      </c>
    </row>
    <row r="3" spans="1:12" x14ac:dyDescent="0.25">
      <c r="A3" s="3"/>
      <c r="B3" s="1"/>
      <c r="C3" s="1"/>
      <c r="D3" s="1"/>
      <c r="E3" s="1"/>
      <c r="G3" s="159"/>
      <c r="H3" s="159"/>
      <c r="J3" s="159"/>
      <c r="K3" s="159"/>
      <c r="L3" s="120" t="s">
        <v>1132</v>
      </c>
    </row>
    <row r="4" spans="1:12" x14ac:dyDescent="0.25">
      <c r="A4" s="3"/>
      <c r="B4" s="1"/>
      <c r="C4" s="1"/>
      <c r="D4" s="1"/>
      <c r="E4" s="1"/>
      <c r="G4" s="159"/>
      <c r="H4" s="159"/>
      <c r="J4" s="159"/>
      <c r="K4" s="159"/>
      <c r="L4" s="120" t="s">
        <v>1134</v>
      </c>
    </row>
    <row r="5" spans="1:12" x14ac:dyDescent="0.25">
      <c r="A5" s="54"/>
      <c r="E5" s="3"/>
      <c r="G5" s="159"/>
      <c r="H5" s="159"/>
      <c r="J5" s="159"/>
      <c r="K5" s="159"/>
      <c r="L5" s="159"/>
    </row>
    <row r="6" spans="1:12" ht="15.75" x14ac:dyDescent="0.25">
      <c r="A6" s="4"/>
      <c r="B6" s="4"/>
      <c r="F6" s="4"/>
      <c r="G6" s="161"/>
      <c r="H6" s="161"/>
      <c r="I6" s="161"/>
      <c r="J6" s="161"/>
      <c r="L6" s="119"/>
    </row>
    <row r="7" spans="1:12" ht="16.5" x14ac:dyDescent="0.25">
      <c r="A7" s="5"/>
      <c r="B7" s="383" t="s">
        <v>176</v>
      </c>
      <c r="C7" s="5"/>
      <c r="D7" s="5"/>
      <c r="E7" s="5"/>
      <c r="F7" s="5"/>
      <c r="G7" s="162"/>
      <c r="H7" s="162"/>
      <c r="I7" s="162"/>
      <c r="J7" s="162"/>
      <c r="L7" s="119"/>
    </row>
    <row r="8" spans="1:12" ht="16.5" x14ac:dyDescent="0.25">
      <c r="A8" s="5"/>
      <c r="B8" s="383" t="s">
        <v>1102</v>
      </c>
      <c r="C8" s="5"/>
      <c r="D8" s="5"/>
      <c r="E8" s="5"/>
      <c r="F8" s="5"/>
      <c r="G8" s="162"/>
      <c r="H8" s="162"/>
      <c r="I8" s="162"/>
      <c r="J8" s="162"/>
      <c r="K8" s="162"/>
      <c r="L8" s="119"/>
    </row>
    <row r="9" spans="1:12" x14ac:dyDescent="0.25">
      <c r="A9" s="6"/>
      <c r="E9" s="3"/>
      <c r="G9" s="159"/>
      <c r="H9" s="159"/>
      <c r="J9" s="159"/>
      <c r="K9" s="159"/>
      <c r="L9" s="120"/>
    </row>
    <row r="10" spans="1:12" x14ac:dyDescent="0.25">
      <c r="A10" s="6"/>
      <c r="B10" s="121"/>
      <c r="E10" s="3"/>
      <c r="G10" s="159"/>
      <c r="H10" s="159"/>
      <c r="J10" s="159"/>
      <c r="K10" s="159"/>
      <c r="L10" s="120"/>
    </row>
    <row r="11" spans="1:12" ht="60.75" customHeight="1" x14ac:dyDescent="0.2">
      <c r="A11" s="380" t="s">
        <v>185</v>
      </c>
      <c r="B11" s="422" t="s">
        <v>189</v>
      </c>
      <c r="C11" s="380" t="s">
        <v>190</v>
      </c>
      <c r="D11" s="380" t="s">
        <v>191</v>
      </c>
      <c r="E11" s="380" t="s">
        <v>192</v>
      </c>
      <c r="F11" s="380" t="s">
        <v>194</v>
      </c>
      <c r="G11" s="381" t="s">
        <v>195</v>
      </c>
      <c r="H11" s="382" t="s">
        <v>198</v>
      </c>
      <c r="I11" s="381" t="s">
        <v>201</v>
      </c>
      <c r="J11" s="382" t="s">
        <v>202</v>
      </c>
      <c r="K11" s="382" t="s">
        <v>203</v>
      </c>
      <c r="L11" s="382" t="s">
        <v>204</v>
      </c>
    </row>
    <row r="12" spans="1:12" ht="14.25" customHeight="1" x14ac:dyDescent="0.25">
      <c r="A12" s="423" t="s">
        <v>86</v>
      </c>
      <c r="B12" s="45">
        <v>306184</v>
      </c>
      <c r="C12" s="399">
        <v>268273</v>
      </c>
      <c r="D12" s="45"/>
      <c r="E12" s="399">
        <f>SUM(B12:D12)</f>
        <v>574457</v>
      </c>
      <c r="F12" s="412"/>
      <c r="G12" s="412"/>
      <c r="H12" s="15"/>
      <c r="I12" s="337"/>
      <c r="J12" s="15"/>
      <c r="K12" s="412"/>
      <c r="L12" s="313"/>
    </row>
    <row r="13" spans="1:12" ht="14.25" customHeight="1" x14ac:dyDescent="0.25">
      <c r="A13" s="424" t="s">
        <v>205</v>
      </c>
      <c r="B13" s="45">
        <v>39387</v>
      </c>
      <c r="C13" s="401"/>
      <c r="D13" s="15"/>
      <c r="E13" s="400">
        <f>SUM(B13:D13)</f>
        <v>39387</v>
      </c>
      <c r="F13" s="401"/>
      <c r="G13" s="401"/>
      <c r="H13" s="15"/>
      <c r="I13" s="337"/>
      <c r="J13" s="15"/>
      <c r="K13" s="401"/>
      <c r="L13" s="313"/>
    </row>
    <row r="14" spans="1:12" ht="15.75" customHeight="1" x14ac:dyDescent="0.25">
      <c r="A14" s="425" t="s">
        <v>206</v>
      </c>
      <c r="B14" s="15"/>
      <c r="C14" s="401"/>
      <c r="D14" s="15"/>
      <c r="E14" s="401">
        <f>SUM(B14:D14)</f>
        <v>0</v>
      </c>
      <c r="F14" s="401"/>
      <c r="G14" s="400">
        <v>54000</v>
      </c>
      <c r="H14" s="15"/>
      <c r="I14" s="337"/>
      <c r="J14" s="15"/>
      <c r="K14" s="401"/>
      <c r="L14" s="313"/>
    </row>
    <row r="15" spans="1:12" ht="15.75" customHeight="1" x14ac:dyDescent="0.25">
      <c r="A15" s="425" t="s">
        <v>207</v>
      </c>
      <c r="B15" s="15"/>
      <c r="C15" s="401"/>
      <c r="D15" s="15"/>
      <c r="E15" s="401">
        <f>SUM(B15:D15)</f>
        <v>0</v>
      </c>
      <c r="F15" s="401"/>
      <c r="G15" s="400">
        <v>1500</v>
      </c>
      <c r="H15" s="15"/>
      <c r="I15" s="337"/>
      <c r="J15" s="15"/>
      <c r="K15" s="401"/>
      <c r="L15" s="313"/>
    </row>
    <row r="16" spans="1:12" ht="15.75" customHeight="1" x14ac:dyDescent="0.25">
      <c r="A16" s="425" t="s">
        <v>208</v>
      </c>
      <c r="B16" s="15"/>
      <c r="C16" s="401"/>
      <c r="D16" s="15"/>
      <c r="E16" s="401">
        <f t="shared" ref="E16:E28" si="0">SUM(B16:D16)</f>
        <v>0</v>
      </c>
      <c r="F16" s="401"/>
      <c r="G16" s="401"/>
      <c r="H16" s="15"/>
      <c r="I16" s="348">
        <f>SUM(J16:L16)</f>
        <v>216616</v>
      </c>
      <c r="J16" s="45"/>
      <c r="K16" s="400">
        <v>33300</v>
      </c>
      <c r="L16" s="336">
        <v>183316</v>
      </c>
    </row>
    <row r="17" spans="1:12" ht="15.75" customHeight="1" x14ac:dyDescent="0.25">
      <c r="A17" s="424" t="s">
        <v>209</v>
      </c>
      <c r="B17" s="15"/>
      <c r="C17" s="401"/>
      <c r="D17" s="15"/>
      <c r="E17" s="401">
        <f t="shared" si="0"/>
        <v>0</v>
      </c>
      <c r="F17" s="401"/>
      <c r="G17" s="401"/>
      <c r="H17" s="15"/>
      <c r="I17" s="348">
        <f t="shared" ref="I17:I35" si="1">SUM(J17:L17)</f>
        <v>1824</v>
      </c>
      <c r="J17" s="45">
        <v>1824</v>
      </c>
      <c r="K17" s="401"/>
      <c r="L17" s="313"/>
    </row>
    <row r="18" spans="1:12" ht="15.75" customHeight="1" x14ac:dyDescent="0.25">
      <c r="A18" s="424" t="s">
        <v>210</v>
      </c>
      <c r="B18" s="45">
        <v>124023</v>
      </c>
      <c r="C18" s="400"/>
      <c r="D18" s="45">
        <v>1000</v>
      </c>
      <c r="E18" s="400">
        <f t="shared" si="0"/>
        <v>125023</v>
      </c>
      <c r="F18" s="401"/>
      <c r="G18" s="401"/>
      <c r="H18" s="15"/>
      <c r="I18" s="348">
        <f t="shared" si="1"/>
        <v>0</v>
      </c>
      <c r="J18" s="15"/>
      <c r="K18" s="401"/>
      <c r="L18" s="313"/>
    </row>
    <row r="19" spans="1:12" ht="15.75" customHeight="1" x14ac:dyDescent="0.25">
      <c r="A19" s="424" t="s">
        <v>211</v>
      </c>
      <c r="B19" s="45">
        <v>115681</v>
      </c>
      <c r="C19" s="400"/>
      <c r="D19" s="45"/>
      <c r="E19" s="400">
        <f t="shared" si="0"/>
        <v>115681</v>
      </c>
      <c r="F19" s="401"/>
      <c r="G19" s="401"/>
      <c r="H19" s="15"/>
      <c r="I19" s="348">
        <f t="shared" si="1"/>
        <v>0</v>
      </c>
      <c r="J19" s="15"/>
      <c r="K19" s="401"/>
      <c r="L19" s="313"/>
    </row>
    <row r="20" spans="1:12" ht="15.75" customHeight="1" x14ac:dyDescent="0.25">
      <c r="A20" s="424" t="s">
        <v>212</v>
      </c>
      <c r="B20" s="15"/>
      <c r="C20" s="400">
        <v>123910</v>
      </c>
      <c r="D20" s="45"/>
      <c r="E20" s="400">
        <f>SUM(B20:D20)</f>
        <v>123910</v>
      </c>
      <c r="F20" s="401"/>
      <c r="G20" s="401"/>
      <c r="H20" s="15"/>
      <c r="I20" s="348">
        <f t="shared" si="1"/>
        <v>0</v>
      </c>
      <c r="J20" s="15"/>
      <c r="K20" s="401"/>
      <c r="L20" s="313"/>
    </row>
    <row r="21" spans="1:12" ht="15.75" customHeight="1" x14ac:dyDescent="0.25">
      <c r="A21" s="424" t="s">
        <v>213</v>
      </c>
      <c r="B21" s="45"/>
      <c r="C21" s="400">
        <v>7527</v>
      </c>
      <c r="D21" s="45"/>
      <c r="E21" s="400">
        <f t="shared" si="0"/>
        <v>7527</v>
      </c>
      <c r="F21" s="401"/>
      <c r="G21" s="401"/>
      <c r="H21" s="15"/>
      <c r="I21" s="348">
        <f t="shared" si="1"/>
        <v>0</v>
      </c>
      <c r="J21" s="15"/>
      <c r="K21" s="401"/>
      <c r="L21" s="313"/>
    </row>
    <row r="22" spans="1:12" ht="15.75" customHeight="1" x14ac:dyDescent="0.25">
      <c r="A22" s="426" t="s">
        <v>214</v>
      </c>
      <c r="B22" s="110">
        <v>72629</v>
      </c>
      <c r="C22" s="414"/>
      <c r="D22" s="110"/>
      <c r="E22" s="400">
        <f t="shared" si="0"/>
        <v>72629</v>
      </c>
      <c r="F22" s="414">
        <v>11858</v>
      </c>
      <c r="G22" s="415"/>
      <c r="H22" s="19"/>
      <c r="I22" s="348">
        <f t="shared" si="1"/>
        <v>0</v>
      </c>
      <c r="J22" s="19"/>
      <c r="K22" s="415"/>
      <c r="L22" s="314"/>
    </row>
    <row r="23" spans="1:12" ht="15.75" customHeight="1" x14ac:dyDescent="0.25">
      <c r="A23" s="426" t="s">
        <v>215</v>
      </c>
      <c r="B23" s="110"/>
      <c r="C23" s="414">
        <v>6737</v>
      </c>
      <c r="D23" s="110"/>
      <c r="E23" s="400">
        <f t="shared" si="0"/>
        <v>6737</v>
      </c>
      <c r="F23" s="414">
        <v>4800</v>
      </c>
      <c r="G23" s="415"/>
      <c r="H23" s="19"/>
      <c r="I23" s="348">
        <f t="shared" si="1"/>
        <v>0</v>
      </c>
      <c r="J23" s="19"/>
      <c r="K23" s="415"/>
      <c r="L23" s="314"/>
    </row>
    <row r="24" spans="1:12" ht="15.75" customHeight="1" x14ac:dyDescent="0.25">
      <c r="A24" s="423" t="s">
        <v>91</v>
      </c>
      <c r="B24" s="45">
        <v>151153</v>
      </c>
      <c r="C24" s="400">
        <v>1332</v>
      </c>
      <c r="D24" s="45"/>
      <c r="E24" s="400">
        <f t="shared" si="0"/>
        <v>152485</v>
      </c>
      <c r="F24" s="401"/>
      <c r="G24" s="401"/>
      <c r="H24" s="15"/>
      <c r="I24" s="348">
        <f t="shared" si="1"/>
        <v>0</v>
      </c>
      <c r="J24" s="15"/>
      <c r="K24" s="401"/>
      <c r="L24" s="313"/>
    </row>
    <row r="25" spans="1:12" ht="15.75" customHeight="1" x14ac:dyDescent="0.25">
      <c r="A25" s="423" t="s">
        <v>94</v>
      </c>
      <c r="B25" s="45">
        <v>76967</v>
      </c>
      <c r="C25" s="400">
        <v>6358</v>
      </c>
      <c r="D25" s="45">
        <v>950</v>
      </c>
      <c r="E25" s="400">
        <f t="shared" si="0"/>
        <v>84275</v>
      </c>
      <c r="F25" s="401"/>
      <c r="G25" s="401"/>
      <c r="H25" s="15"/>
      <c r="I25" s="348">
        <f t="shared" si="1"/>
        <v>0</v>
      </c>
      <c r="J25" s="15"/>
      <c r="K25" s="401"/>
      <c r="L25" s="313"/>
    </row>
    <row r="26" spans="1:12" ht="15.75" customHeight="1" x14ac:dyDescent="0.25">
      <c r="A26" s="423" t="s">
        <v>85</v>
      </c>
      <c r="B26" s="45">
        <v>580439</v>
      </c>
      <c r="C26" s="400">
        <v>27378</v>
      </c>
      <c r="D26" s="45"/>
      <c r="E26" s="400">
        <f t="shared" si="0"/>
        <v>607817</v>
      </c>
      <c r="F26" s="401"/>
      <c r="G26" s="401"/>
      <c r="H26" s="15"/>
      <c r="I26" s="348">
        <f t="shared" si="1"/>
        <v>0</v>
      </c>
      <c r="J26" s="15"/>
      <c r="K26" s="401"/>
      <c r="L26" s="313"/>
    </row>
    <row r="27" spans="1:12" ht="15.75" customHeight="1" x14ac:dyDescent="0.25">
      <c r="A27" s="423" t="s">
        <v>92</v>
      </c>
      <c r="B27" s="45">
        <v>127550</v>
      </c>
      <c r="C27" s="400">
        <v>3843</v>
      </c>
      <c r="D27" s="45"/>
      <c r="E27" s="400">
        <f t="shared" si="0"/>
        <v>131393</v>
      </c>
      <c r="F27" s="401"/>
      <c r="G27" s="401"/>
      <c r="H27" s="15"/>
      <c r="I27" s="348">
        <f t="shared" si="1"/>
        <v>0</v>
      </c>
      <c r="J27" s="15"/>
      <c r="K27" s="401"/>
      <c r="L27" s="313"/>
    </row>
    <row r="28" spans="1:12" ht="15.75" customHeight="1" x14ac:dyDescent="0.25">
      <c r="A28" s="423" t="s">
        <v>89</v>
      </c>
      <c r="B28" s="45">
        <v>135493</v>
      </c>
      <c r="C28" s="400">
        <v>91225</v>
      </c>
      <c r="D28" s="45">
        <v>5100</v>
      </c>
      <c r="E28" s="400">
        <f t="shared" si="0"/>
        <v>231818</v>
      </c>
      <c r="F28" s="401"/>
      <c r="G28" s="401"/>
      <c r="H28" s="15"/>
      <c r="I28" s="348">
        <f t="shared" si="1"/>
        <v>0</v>
      </c>
      <c r="J28" s="15"/>
      <c r="K28" s="401"/>
      <c r="L28" s="313"/>
    </row>
    <row r="29" spans="1:12" ht="15.75" customHeight="1" x14ac:dyDescent="0.25">
      <c r="A29" s="423" t="s">
        <v>216</v>
      </c>
      <c r="B29" s="45">
        <v>168352</v>
      </c>
      <c r="C29" s="400">
        <v>2699</v>
      </c>
      <c r="D29" s="45">
        <v>203</v>
      </c>
      <c r="E29" s="400">
        <f>SUM(B29:D29)</f>
        <v>171254</v>
      </c>
      <c r="F29" s="401"/>
      <c r="G29" s="401"/>
      <c r="H29" s="15"/>
      <c r="I29" s="348">
        <f t="shared" si="1"/>
        <v>0</v>
      </c>
      <c r="J29" s="15"/>
      <c r="K29" s="401"/>
      <c r="L29" s="313"/>
    </row>
    <row r="30" spans="1:12" ht="15.75" customHeight="1" x14ac:dyDescent="0.25">
      <c r="A30" s="424" t="s">
        <v>217</v>
      </c>
      <c r="B30" s="14"/>
      <c r="C30" s="402"/>
      <c r="D30" s="14"/>
      <c r="E30" s="402">
        <f>SUM(B30:D30)</f>
        <v>0</v>
      </c>
      <c r="F30" s="402"/>
      <c r="G30" s="469"/>
      <c r="H30" s="38"/>
      <c r="I30" s="348">
        <f t="shared" si="1"/>
        <v>6881</v>
      </c>
      <c r="J30" s="38">
        <v>6881</v>
      </c>
      <c r="K30" s="469"/>
      <c r="L30" s="167"/>
    </row>
    <row r="31" spans="1:12" ht="15.75" customHeight="1" x14ac:dyDescent="0.25">
      <c r="A31" s="425" t="s">
        <v>218</v>
      </c>
      <c r="B31" s="110"/>
      <c r="C31" s="414">
        <v>2178</v>
      </c>
      <c r="D31" s="110"/>
      <c r="E31" s="400">
        <f>SUM(B31:D31)</f>
        <v>2178</v>
      </c>
      <c r="F31" s="415"/>
      <c r="G31" s="415"/>
      <c r="H31" s="19"/>
      <c r="I31" s="348">
        <f t="shared" si="1"/>
        <v>0</v>
      </c>
      <c r="J31" s="110"/>
      <c r="K31" s="415"/>
      <c r="L31" s="314"/>
    </row>
    <row r="32" spans="1:12" ht="15.75" customHeight="1" x14ac:dyDescent="0.25">
      <c r="A32" s="425" t="s">
        <v>219</v>
      </c>
      <c r="B32" s="14"/>
      <c r="C32" s="402"/>
      <c r="D32" s="14"/>
      <c r="E32" s="402">
        <f>SUM(B32:D32)</f>
        <v>0</v>
      </c>
      <c r="F32" s="402"/>
      <c r="G32" s="469"/>
      <c r="H32" s="38"/>
      <c r="I32" s="348">
        <f t="shared" si="1"/>
        <v>2000</v>
      </c>
      <c r="J32" s="38">
        <v>2000</v>
      </c>
      <c r="K32" s="469"/>
      <c r="L32" s="167"/>
    </row>
    <row r="33" spans="1:12" ht="15.75" customHeight="1" x14ac:dyDescent="0.25">
      <c r="A33" s="423" t="s">
        <v>88</v>
      </c>
      <c r="B33" s="110">
        <v>226456</v>
      </c>
      <c r="C33" s="414">
        <v>6933</v>
      </c>
      <c r="D33" s="110">
        <v>2150</v>
      </c>
      <c r="E33" s="400">
        <f t="shared" ref="E33:E46" si="2">SUM(B33:D33)</f>
        <v>235539</v>
      </c>
      <c r="F33" s="415"/>
      <c r="G33" s="415"/>
      <c r="H33" s="19"/>
      <c r="I33" s="348">
        <f t="shared" si="1"/>
        <v>0</v>
      </c>
      <c r="J33" s="19"/>
      <c r="K33" s="415"/>
      <c r="L33" s="314"/>
    </row>
    <row r="34" spans="1:12" ht="15.75" customHeight="1" x14ac:dyDescent="0.25">
      <c r="A34" s="427" t="s">
        <v>220</v>
      </c>
      <c r="B34" s="19"/>
      <c r="C34" s="414">
        <v>25000</v>
      </c>
      <c r="D34" s="19"/>
      <c r="E34" s="400">
        <f t="shared" si="2"/>
        <v>25000</v>
      </c>
      <c r="F34" s="415"/>
      <c r="G34" s="415"/>
      <c r="H34" s="19"/>
      <c r="I34" s="348">
        <f t="shared" si="1"/>
        <v>0</v>
      </c>
      <c r="J34" s="19"/>
      <c r="K34" s="415"/>
      <c r="L34" s="314"/>
    </row>
    <row r="35" spans="1:12" ht="15.75" customHeight="1" x14ac:dyDescent="0.25">
      <c r="A35" s="427" t="s">
        <v>221</v>
      </c>
      <c r="B35" s="19"/>
      <c r="C35" s="414">
        <v>37000</v>
      </c>
      <c r="D35" s="19"/>
      <c r="E35" s="400">
        <f t="shared" si="2"/>
        <v>37000</v>
      </c>
      <c r="F35" s="415"/>
      <c r="G35" s="415"/>
      <c r="H35" s="19"/>
      <c r="I35" s="348">
        <f t="shared" si="1"/>
        <v>0</v>
      </c>
      <c r="J35" s="19"/>
      <c r="K35" s="415"/>
      <c r="L35" s="317"/>
    </row>
    <row r="36" spans="1:12" ht="15.75" customHeight="1" x14ac:dyDescent="0.25">
      <c r="A36" s="423" t="s">
        <v>83</v>
      </c>
      <c r="B36" s="45">
        <v>77612</v>
      </c>
      <c r="C36" s="400">
        <v>10568</v>
      </c>
      <c r="D36" s="45"/>
      <c r="E36" s="400">
        <f t="shared" si="2"/>
        <v>88180</v>
      </c>
      <c r="F36" s="401"/>
      <c r="G36" s="401"/>
      <c r="H36" s="38"/>
      <c r="I36" s="351"/>
      <c r="J36" s="38"/>
      <c r="K36" s="469"/>
      <c r="L36" s="176"/>
    </row>
    <row r="37" spans="1:12" ht="15.75" customHeight="1" x14ac:dyDescent="0.25">
      <c r="A37" s="425" t="s">
        <v>222</v>
      </c>
      <c r="B37" s="15"/>
      <c r="C37" s="401"/>
      <c r="D37" s="15"/>
      <c r="E37" s="401">
        <f t="shared" si="2"/>
        <v>0</v>
      </c>
      <c r="F37" s="401"/>
      <c r="G37" s="400">
        <v>60000</v>
      </c>
      <c r="H37" s="38"/>
      <c r="I37" s="351"/>
      <c r="J37" s="38"/>
      <c r="K37" s="469"/>
      <c r="L37" s="167"/>
    </row>
    <row r="38" spans="1:12" ht="15.75" customHeight="1" x14ac:dyDescent="0.25">
      <c r="A38" s="425" t="s">
        <v>223</v>
      </c>
      <c r="B38" s="14"/>
      <c r="C38" s="402"/>
      <c r="D38" s="14"/>
      <c r="E38" s="402">
        <f t="shared" ref="E38:E43" si="3">SUM(B38:D38)</f>
        <v>0</v>
      </c>
      <c r="F38" s="402"/>
      <c r="G38" s="469">
        <v>400</v>
      </c>
      <c r="H38" s="38"/>
      <c r="I38" s="351"/>
      <c r="J38" s="38"/>
      <c r="K38" s="469"/>
      <c r="L38" s="167"/>
    </row>
    <row r="39" spans="1:12" ht="15.75" customHeight="1" x14ac:dyDescent="0.25">
      <c r="A39" s="425" t="s">
        <v>224</v>
      </c>
      <c r="B39" s="14"/>
      <c r="C39" s="402"/>
      <c r="D39" s="14"/>
      <c r="E39" s="402">
        <f t="shared" si="3"/>
        <v>0</v>
      </c>
      <c r="F39" s="402"/>
      <c r="G39" s="469">
        <v>1000</v>
      </c>
      <c r="H39" s="38"/>
      <c r="I39" s="351"/>
      <c r="J39" s="38"/>
      <c r="K39" s="469"/>
      <c r="L39" s="167"/>
    </row>
    <row r="40" spans="1:12" ht="15.75" customHeight="1" x14ac:dyDescent="0.25">
      <c r="A40" s="425" t="s">
        <v>225</v>
      </c>
      <c r="B40" s="14"/>
      <c r="C40" s="402"/>
      <c r="D40" s="14"/>
      <c r="E40" s="402">
        <f t="shared" si="3"/>
        <v>0</v>
      </c>
      <c r="F40" s="402"/>
      <c r="G40" s="469">
        <v>2000</v>
      </c>
      <c r="H40" s="38"/>
      <c r="I40" s="351"/>
      <c r="J40" s="38"/>
      <c r="K40" s="469"/>
      <c r="L40" s="167"/>
    </row>
    <row r="41" spans="1:12" ht="15.75" customHeight="1" x14ac:dyDescent="0.25">
      <c r="A41" s="423" t="s">
        <v>226</v>
      </c>
      <c r="B41" s="14"/>
      <c r="C41" s="402"/>
      <c r="D41" s="14"/>
      <c r="E41" s="402">
        <f t="shared" si="3"/>
        <v>0</v>
      </c>
      <c r="F41" s="402">
        <v>10630</v>
      </c>
      <c r="G41" s="469"/>
      <c r="H41" s="38"/>
      <c r="I41" s="351"/>
      <c r="J41" s="38"/>
      <c r="K41" s="469"/>
      <c r="L41" s="176"/>
    </row>
    <row r="42" spans="1:12" s="121" customFormat="1" ht="15.75" customHeight="1" x14ac:dyDescent="0.25">
      <c r="A42" s="428" t="s">
        <v>188</v>
      </c>
      <c r="B42" s="359">
        <f>SUM(B12:B41)</f>
        <v>2201926</v>
      </c>
      <c r="C42" s="463">
        <f>SUM(C12:C41)</f>
        <v>620961</v>
      </c>
      <c r="D42" s="359">
        <f>SUM(D12:D41)</f>
        <v>9403</v>
      </c>
      <c r="E42" s="403">
        <f t="shared" si="3"/>
        <v>2832290</v>
      </c>
      <c r="F42" s="403">
        <f>SUM(F12:F41)</f>
        <v>27288</v>
      </c>
      <c r="G42" s="403">
        <f>SUM(G12:G41)</f>
        <v>118900</v>
      </c>
      <c r="H42" s="320">
        <f>SUM(H12:H41)</f>
        <v>0</v>
      </c>
      <c r="I42" s="338">
        <f>SUM(I12:I41)</f>
        <v>227321</v>
      </c>
      <c r="J42" s="320">
        <f>SUM(J12:J41)</f>
        <v>10705</v>
      </c>
      <c r="K42" s="403">
        <f>SUM(K12:K35)</f>
        <v>33300</v>
      </c>
      <c r="L42" s="385">
        <f>SUM(L12:L35)</f>
        <v>183316</v>
      </c>
    </row>
    <row r="43" spans="1:12" ht="15.75" customHeight="1" x14ac:dyDescent="0.25">
      <c r="A43" s="429" t="s">
        <v>110</v>
      </c>
      <c r="B43" s="112">
        <v>42612</v>
      </c>
      <c r="C43" s="404">
        <v>7087</v>
      </c>
      <c r="D43" s="112"/>
      <c r="E43" s="404">
        <f t="shared" si="3"/>
        <v>49699</v>
      </c>
      <c r="F43" s="470"/>
      <c r="G43" s="470"/>
      <c r="H43" s="208"/>
      <c r="I43" s="349"/>
      <c r="J43" s="208"/>
      <c r="K43" s="470"/>
      <c r="L43" s="386"/>
    </row>
    <row r="44" spans="1:12" s="121" customFormat="1" ht="15.75" customHeight="1" x14ac:dyDescent="0.25">
      <c r="A44" s="430" t="s">
        <v>188</v>
      </c>
      <c r="B44" s="322">
        <f t="shared" ref="B44:D44" si="4">SUM(B43)</f>
        <v>42612</v>
      </c>
      <c r="C44" s="405">
        <f t="shared" si="4"/>
        <v>7087</v>
      </c>
      <c r="D44" s="322">
        <f t="shared" si="4"/>
        <v>0</v>
      </c>
      <c r="E44" s="405">
        <f t="shared" si="2"/>
        <v>49699</v>
      </c>
      <c r="F44" s="405">
        <f t="shared" ref="F44:L44" si="5">SUM(F43)</f>
        <v>0</v>
      </c>
      <c r="G44" s="405">
        <f t="shared" si="5"/>
        <v>0</v>
      </c>
      <c r="H44" s="322">
        <f t="shared" si="5"/>
        <v>0</v>
      </c>
      <c r="I44" s="340">
        <f t="shared" si="5"/>
        <v>0</v>
      </c>
      <c r="J44" s="322">
        <f t="shared" si="5"/>
        <v>0</v>
      </c>
      <c r="K44" s="405">
        <f t="shared" si="5"/>
        <v>0</v>
      </c>
      <c r="L44" s="387">
        <f t="shared" si="5"/>
        <v>0</v>
      </c>
    </row>
    <row r="45" spans="1:12" ht="15.75" customHeight="1" x14ac:dyDescent="0.25">
      <c r="A45" s="429" t="s">
        <v>109</v>
      </c>
      <c r="B45" s="112">
        <v>43012</v>
      </c>
      <c r="C45" s="404">
        <v>3667</v>
      </c>
      <c r="D45" s="112"/>
      <c r="E45" s="404">
        <f t="shared" si="2"/>
        <v>46679</v>
      </c>
      <c r="F45" s="470"/>
      <c r="G45" s="470"/>
      <c r="H45" s="208"/>
      <c r="I45" s="349"/>
      <c r="J45" s="208"/>
      <c r="K45" s="470"/>
      <c r="L45" s="386"/>
    </row>
    <row r="46" spans="1:12" s="319" customFormat="1" ht="15.75" customHeight="1" x14ac:dyDescent="0.25">
      <c r="A46" s="431" t="s">
        <v>188</v>
      </c>
      <c r="B46" s="322">
        <f t="shared" ref="B46:D46" si="6">SUM(B45)</f>
        <v>43012</v>
      </c>
      <c r="C46" s="405">
        <f t="shared" si="6"/>
        <v>3667</v>
      </c>
      <c r="D46" s="322">
        <f t="shared" si="6"/>
        <v>0</v>
      </c>
      <c r="E46" s="405">
        <f t="shared" si="2"/>
        <v>46679</v>
      </c>
      <c r="F46" s="405">
        <f t="shared" ref="F46:L46" si="7">SUM(F45)</f>
        <v>0</v>
      </c>
      <c r="G46" s="405">
        <f t="shared" si="7"/>
        <v>0</v>
      </c>
      <c r="H46" s="322">
        <f t="shared" si="7"/>
        <v>0</v>
      </c>
      <c r="I46" s="340">
        <f t="shared" si="7"/>
        <v>0</v>
      </c>
      <c r="J46" s="322">
        <f t="shared" si="7"/>
        <v>0</v>
      </c>
      <c r="K46" s="405">
        <f t="shared" si="7"/>
        <v>0</v>
      </c>
      <c r="L46" s="387">
        <f t="shared" si="7"/>
        <v>0</v>
      </c>
    </row>
    <row r="47" spans="1:12" ht="15.75" customHeight="1" x14ac:dyDescent="0.25">
      <c r="A47" s="423" t="s">
        <v>131</v>
      </c>
      <c r="B47" s="45">
        <v>27662</v>
      </c>
      <c r="C47" s="400">
        <v>1904</v>
      </c>
      <c r="D47" s="45"/>
      <c r="E47" s="400">
        <f t="shared" ref="E47:E63" si="8">SUM(B47:D47)</f>
        <v>29566</v>
      </c>
      <c r="F47" s="401"/>
      <c r="G47" s="401"/>
      <c r="H47" s="15"/>
      <c r="I47" s="337"/>
      <c r="J47" s="15"/>
      <c r="K47" s="401"/>
      <c r="L47" s="315"/>
    </row>
    <row r="48" spans="1:12" ht="15.75" customHeight="1" x14ac:dyDescent="0.25">
      <c r="A48" s="424" t="s">
        <v>227</v>
      </c>
      <c r="B48" s="45">
        <v>1119</v>
      </c>
      <c r="C48" s="400">
        <v>3492</v>
      </c>
      <c r="D48" s="45"/>
      <c r="E48" s="400">
        <f>SUM(B48:D48)</f>
        <v>4611</v>
      </c>
      <c r="F48" s="401"/>
      <c r="G48" s="401"/>
      <c r="H48" s="15"/>
      <c r="I48" s="337"/>
      <c r="J48" s="15"/>
      <c r="K48" s="401"/>
      <c r="L48" s="315"/>
    </row>
    <row r="49" spans="1:12" ht="15.75" customHeight="1" x14ac:dyDescent="0.25">
      <c r="A49" s="424" t="s">
        <v>228</v>
      </c>
      <c r="B49" s="45">
        <v>51296</v>
      </c>
      <c r="C49" s="400">
        <v>15521</v>
      </c>
      <c r="D49" s="45"/>
      <c r="E49" s="400">
        <f t="shared" si="8"/>
        <v>66817</v>
      </c>
      <c r="F49" s="401"/>
      <c r="G49" s="401"/>
      <c r="H49" s="15"/>
      <c r="I49" s="337"/>
      <c r="J49" s="15"/>
      <c r="K49" s="401"/>
      <c r="L49" s="315"/>
    </row>
    <row r="50" spans="1:12" ht="15.75" customHeight="1" x14ac:dyDescent="0.25">
      <c r="A50" s="424" t="s">
        <v>229</v>
      </c>
      <c r="B50" s="15"/>
      <c r="C50" s="400">
        <v>18804</v>
      </c>
      <c r="D50" s="45"/>
      <c r="E50" s="400">
        <f t="shared" si="8"/>
        <v>18804</v>
      </c>
      <c r="F50" s="401"/>
      <c r="G50" s="401"/>
      <c r="H50" s="15"/>
      <c r="I50" s="337"/>
      <c r="J50" s="15"/>
      <c r="K50" s="401"/>
      <c r="L50" s="315"/>
    </row>
    <row r="51" spans="1:12" ht="15.75" customHeight="1" x14ac:dyDescent="0.25">
      <c r="A51" s="424" t="s">
        <v>64</v>
      </c>
      <c r="B51" s="15"/>
      <c r="C51" s="400">
        <v>2672</v>
      </c>
      <c r="D51" s="45"/>
      <c r="E51" s="400">
        <f t="shared" si="8"/>
        <v>2672</v>
      </c>
      <c r="F51" s="401"/>
      <c r="G51" s="401"/>
      <c r="H51" s="15"/>
      <c r="I51" s="337"/>
      <c r="J51" s="15"/>
      <c r="K51" s="401"/>
      <c r="L51" s="315"/>
    </row>
    <row r="52" spans="1:12" ht="15.75" customHeight="1" x14ac:dyDescent="0.25">
      <c r="A52" s="424" t="s">
        <v>230</v>
      </c>
      <c r="B52" s="15"/>
      <c r="C52" s="400">
        <v>10812</v>
      </c>
      <c r="D52" s="45"/>
      <c r="E52" s="400">
        <f t="shared" si="8"/>
        <v>10812</v>
      </c>
      <c r="F52" s="401"/>
      <c r="G52" s="401"/>
      <c r="H52" s="15"/>
      <c r="I52" s="337"/>
      <c r="J52" s="15"/>
      <c r="K52" s="401"/>
      <c r="L52" s="315"/>
    </row>
    <row r="53" spans="1:12" s="318" customFormat="1" ht="15.75" customHeight="1" x14ac:dyDescent="0.25">
      <c r="A53" s="431" t="s">
        <v>188</v>
      </c>
      <c r="B53" s="324">
        <f>SUM(B47:B52)</f>
        <v>80077</v>
      </c>
      <c r="C53" s="406">
        <f>SUM(C47:C52)</f>
        <v>53205</v>
      </c>
      <c r="D53" s="324">
        <f>SUM(D47:D52)</f>
        <v>0</v>
      </c>
      <c r="E53" s="405">
        <f>SUM(B53:D53)</f>
        <v>133282</v>
      </c>
      <c r="F53" s="405">
        <f t="shared" ref="F53:L53" si="9">SUM(F47:F52)</f>
        <v>0</v>
      </c>
      <c r="G53" s="405">
        <f t="shared" si="9"/>
        <v>0</v>
      </c>
      <c r="H53" s="322">
        <f t="shared" si="9"/>
        <v>0</v>
      </c>
      <c r="I53" s="340">
        <f t="shared" si="9"/>
        <v>0</v>
      </c>
      <c r="J53" s="322">
        <f t="shared" si="9"/>
        <v>0</v>
      </c>
      <c r="K53" s="405">
        <f t="shared" si="9"/>
        <v>0</v>
      </c>
      <c r="L53" s="387">
        <f t="shared" si="9"/>
        <v>0</v>
      </c>
    </row>
    <row r="54" spans="1:12" ht="15.75" customHeight="1" x14ac:dyDescent="0.25">
      <c r="A54" s="432" t="s">
        <v>128</v>
      </c>
      <c r="B54" s="112">
        <v>20677</v>
      </c>
      <c r="C54" s="404">
        <v>1012</v>
      </c>
      <c r="D54" s="112"/>
      <c r="E54" s="400">
        <f t="shared" si="8"/>
        <v>21689</v>
      </c>
      <c r="F54" s="411"/>
      <c r="G54" s="411"/>
      <c r="H54" s="90"/>
      <c r="I54" s="339"/>
      <c r="J54" s="90"/>
      <c r="K54" s="411"/>
      <c r="L54" s="388"/>
    </row>
    <row r="55" spans="1:12" ht="15.75" customHeight="1" x14ac:dyDescent="0.25">
      <c r="A55" s="424" t="s">
        <v>230</v>
      </c>
      <c r="B55" s="45"/>
      <c r="C55" s="400">
        <v>12964</v>
      </c>
      <c r="D55" s="45"/>
      <c r="E55" s="400">
        <f t="shared" si="8"/>
        <v>12964</v>
      </c>
      <c r="F55" s="401"/>
      <c r="G55" s="401"/>
      <c r="H55" s="15"/>
      <c r="I55" s="337"/>
      <c r="J55" s="15"/>
      <c r="K55" s="401"/>
      <c r="L55" s="315"/>
    </row>
    <row r="56" spans="1:12" ht="15.75" customHeight="1" x14ac:dyDescent="0.25">
      <c r="A56" s="424" t="s">
        <v>229</v>
      </c>
      <c r="B56" s="15"/>
      <c r="C56" s="400">
        <v>21389</v>
      </c>
      <c r="D56" s="45"/>
      <c r="E56" s="400">
        <f t="shared" si="8"/>
        <v>21389</v>
      </c>
      <c r="F56" s="401"/>
      <c r="G56" s="401"/>
      <c r="H56" s="15"/>
      <c r="I56" s="337"/>
      <c r="J56" s="15"/>
      <c r="K56" s="401"/>
      <c r="L56" s="315"/>
    </row>
    <row r="57" spans="1:12" ht="15.75" customHeight="1" x14ac:dyDescent="0.25">
      <c r="A57" s="424" t="s">
        <v>64</v>
      </c>
      <c r="B57" s="45"/>
      <c r="C57" s="400">
        <v>1199</v>
      </c>
      <c r="D57" s="45"/>
      <c r="E57" s="400">
        <f t="shared" si="8"/>
        <v>1199</v>
      </c>
      <c r="F57" s="401"/>
      <c r="G57" s="401"/>
      <c r="H57" s="15"/>
      <c r="I57" s="337"/>
      <c r="J57" s="15"/>
      <c r="K57" s="401"/>
      <c r="L57" s="315"/>
    </row>
    <row r="58" spans="1:12" ht="15.75" customHeight="1" x14ac:dyDescent="0.25">
      <c r="A58" s="424" t="s">
        <v>232</v>
      </c>
      <c r="B58" s="45">
        <v>37716</v>
      </c>
      <c r="C58" s="400">
        <v>25171</v>
      </c>
      <c r="D58" s="45"/>
      <c r="E58" s="400">
        <f t="shared" si="8"/>
        <v>62887</v>
      </c>
      <c r="F58" s="401"/>
      <c r="G58" s="401"/>
      <c r="H58" s="15"/>
      <c r="I58" s="337"/>
      <c r="J58" s="15"/>
      <c r="K58" s="401"/>
      <c r="L58" s="315"/>
    </row>
    <row r="59" spans="1:12" ht="15.75" customHeight="1" x14ac:dyDescent="0.25">
      <c r="A59" s="424" t="s">
        <v>233</v>
      </c>
      <c r="B59" s="45">
        <v>1119</v>
      </c>
      <c r="C59" s="400">
        <v>987</v>
      </c>
      <c r="D59" s="45"/>
      <c r="E59" s="400">
        <f t="shared" si="8"/>
        <v>2106</v>
      </c>
      <c r="F59" s="401"/>
      <c r="G59" s="401"/>
      <c r="H59" s="15"/>
      <c r="I59" s="337"/>
      <c r="J59" s="15"/>
      <c r="K59" s="401"/>
      <c r="L59" s="315"/>
    </row>
    <row r="60" spans="1:12" ht="15.75" customHeight="1" x14ac:dyDescent="0.25">
      <c r="A60" s="424" t="s">
        <v>234</v>
      </c>
      <c r="B60" s="15"/>
      <c r="C60" s="401"/>
      <c r="D60" s="15"/>
      <c r="E60" s="401">
        <f t="shared" si="8"/>
        <v>0</v>
      </c>
      <c r="F60" s="400">
        <v>12880</v>
      </c>
      <c r="G60" s="401"/>
      <c r="H60" s="15"/>
      <c r="I60" s="337"/>
      <c r="J60" s="15"/>
      <c r="K60" s="401"/>
      <c r="L60" s="315"/>
    </row>
    <row r="61" spans="1:12" ht="15.75" customHeight="1" x14ac:dyDescent="0.25">
      <c r="A61" s="433" t="s">
        <v>231</v>
      </c>
      <c r="B61" s="15"/>
      <c r="C61" s="401"/>
      <c r="D61" s="15"/>
      <c r="E61" s="401">
        <f t="shared" si="8"/>
        <v>0</v>
      </c>
      <c r="F61" s="401"/>
      <c r="G61" s="401"/>
      <c r="H61" s="15"/>
      <c r="I61" s="337"/>
      <c r="J61" s="15"/>
      <c r="K61" s="401"/>
      <c r="L61" s="315"/>
    </row>
    <row r="62" spans="1:12" ht="15.75" customHeight="1" x14ac:dyDescent="0.25">
      <c r="A62" s="425" t="s">
        <v>235</v>
      </c>
      <c r="B62" s="15"/>
      <c r="C62" s="401"/>
      <c r="D62" s="15"/>
      <c r="E62" s="401">
        <f t="shared" si="8"/>
        <v>0</v>
      </c>
      <c r="F62" s="401"/>
      <c r="G62" s="400">
        <v>650</v>
      </c>
      <c r="H62" s="15"/>
      <c r="I62" s="337"/>
      <c r="J62" s="15"/>
      <c r="K62" s="401"/>
      <c r="L62" s="315"/>
    </row>
    <row r="63" spans="1:12" ht="15.75" customHeight="1" x14ac:dyDescent="0.25">
      <c r="A63" s="425" t="s">
        <v>236</v>
      </c>
      <c r="B63" s="15"/>
      <c r="C63" s="401"/>
      <c r="D63" s="15"/>
      <c r="E63" s="401">
        <f t="shared" si="8"/>
        <v>0</v>
      </c>
      <c r="F63" s="401"/>
      <c r="G63" s="400">
        <v>500</v>
      </c>
      <c r="H63" s="15"/>
      <c r="I63" s="337"/>
      <c r="J63" s="15"/>
      <c r="K63" s="401"/>
      <c r="L63" s="315"/>
    </row>
    <row r="64" spans="1:12" s="318" customFormat="1" ht="15.75" customHeight="1" x14ac:dyDescent="0.25">
      <c r="A64" s="431" t="s">
        <v>188</v>
      </c>
      <c r="B64" s="324">
        <f>SUM(B54:B63)</f>
        <v>59512</v>
      </c>
      <c r="C64" s="406">
        <f>SUM(C54:C63)</f>
        <v>62722</v>
      </c>
      <c r="D64" s="324">
        <f>SUM(D54:D63)</f>
        <v>0</v>
      </c>
      <c r="E64" s="405">
        <f>SUM(B64:D64)</f>
        <v>122234</v>
      </c>
      <c r="F64" s="405">
        <f t="shared" ref="F64:L64" si="10">SUM(F54:F63)</f>
        <v>12880</v>
      </c>
      <c r="G64" s="405">
        <f t="shared" si="10"/>
        <v>1150</v>
      </c>
      <c r="H64" s="322">
        <f t="shared" si="10"/>
        <v>0</v>
      </c>
      <c r="I64" s="340">
        <f t="shared" si="10"/>
        <v>0</v>
      </c>
      <c r="J64" s="322">
        <f t="shared" si="10"/>
        <v>0</v>
      </c>
      <c r="K64" s="405">
        <f t="shared" si="10"/>
        <v>0</v>
      </c>
      <c r="L64" s="387">
        <f t="shared" si="10"/>
        <v>0</v>
      </c>
    </row>
    <row r="65" spans="1:12" ht="19.5" customHeight="1" x14ac:dyDescent="0.25">
      <c r="A65" s="434" t="s">
        <v>116</v>
      </c>
      <c r="B65" s="156">
        <v>44139</v>
      </c>
      <c r="C65" s="399">
        <v>2342</v>
      </c>
      <c r="D65" s="156"/>
      <c r="E65" s="399">
        <f t="shared" ref="E65:E77" si="11">SUM(B65:D65)</f>
        <v>46481</v>
      </c>
      <c r="F65" s="412"/>
      <c r="G65" s="412"/>
      <c r="H65" s="137"/>
      <c r="I65" s="341"/>
      <c r="J65" s="137"/>
      <c r="K65" s="412"/>
      <c r="L65" s="316"/>
    </row>
    <row r="66" spans="1:12" ht="15.75" customHeight="1" x14ac:dyDescent="0.25">
      <c r="A66" s="424" t="s">
        <v>64</v>
      </c>
      <c r="B66" s="15"/>
      <c r="C66" s="400">
        <v>4090</v>
      </c>
      <c r="D66" s="45"/>
      <c r="E66" s="400">
        <f t="shared" si="11"/>
        <v>4090</v>
      </c>
      <c r="F66" s="401"/>
      <c r="G66" s="401"/>
      <c r="H66" s="15"/>
      <c r="I66" s="337"/>
      <c r="J66" s="15"/>
      <c r="K66" s="401"/>
      <c r="L66" s="315"/>
    </row>
    <row r="67" spans="1:12" ht="15.75" customHeight="1" x14ac:dyDescent="0.25">
      <c r="A67" s="424" t="s">
        <v>229</v>
      </c>
      <c r="B67" s="45"/>
      <c r="C67" s="400">
        <v>34648</v>
      </c>
      <c r="D67" s="45"/>
      <c r="E67" s="400">
        <f t="shared" si="11"/>
        <v>34648</v>
      </c>
      <c r="F67" s="401"/>
      <c r="G67" s="401"/>
      <c r="H67" s="15"/>
      <c r="I67" s="337"/>
      <c r="J67" s="15"/>
      <c r="K67" s="401"/>
      <c r="L67" s="315"/>
    </row>
    <row r="68" spans="1:12" ht="17.25" customHeight="1" x14ac:dyDescent="0.25">
      <c r="A68" s="424" t="s">
        <v>232</v>
      </c>
      <c r="B68" s="45">
        <v>93727</v>
      </c>
      <c r="C68" s="400">
        <v>20376</v>
      </c>
      <c r="D68" s="45"/>
      <c r="E68" s="400">
        <f>SUM(B68:D68)</f>
        <v>114103</v>
      </c>
      <c r="F68" s="401"/>
      <c r="G68" s="401"/>
      <c r="H68" s="15"/>
      <c r="I68" s="337"/>
      <c r="J68" s="15"/>
      <c r="K68" s="401"/>
      <c r="L68" s="315"/>
    </row>
    <row r="69" spans="1:12" ht="15.75" customHeight="1" x14ac:dyDescent="0.25">
      <c r="A69" s="424" t="s">
        <v>238</v>
      </c>
      <c r="B69" s="45">
        <v>840</v>
      </c>
      <c r="C69" s="400">
        <v>658</v>
      </c>
      <c r="D69" s="45"/>
      <c r="E69" s="400">
        <f t="shared" si="11"/>
        <v>1498</v>
      </c>
      <c r="F69" s="401"/>
      <c r="G69" s="401"/>
      <c r="H69" s="15"/>
      <c r="I69" s="337"/>
      <c r="J69" s="15"/>
      <c r="K69" s="401"/>
      <c r="L69" s="315"/>
    </row>
    <row r="70" spans="1:12" ht="15.75" customHeight="1" x14ac:dyDescent="0.25">
      <c r="A70" s="424" t="s">
        <v>239</v>
      </c>
      <c r="B70" s="45">
        <v>830</v>
      </c>
      <c r="C70" s="400">
        <v>1221</v>
      </c>
      <c r="D70" s="45"/>
      <c r="E70" s="400">
        <f t="shared" si="11"/>
        <v>2051</v>
      </c>
      <c r="F70" s="401"/>
      <c r="G70" s="401"/>
      <c r="H70" s="15"/>
      <c r="I70" s="337"/>
      <c r="J70" s="15"/>
      <c r="K70" s="401"/>
      <c r="L70" s="315"/>
    </row>
    <row r="71" spans="1:12" ht="15.75" customHeight="1" x14ac:dyDescent="0.25">
      <c r="A71" s="424" t="s">
        <v>240</v>
      </c>
      <c r="B71" s="45"/>
      <c r="C71" s="400">
        <v>888</v>
      </c>
      <c r="D71" s="45"/>
      <c r="E71" s="400">
        <f t="shared" si="11"/>
        <v>888</v>
      </c>
      <c r="F71" s="401"/>
      <c r="G71" s="401"/>
      <c r="H71" s="15"/>
      <c r="I71" s="337"/>
      <c r="J71" s="15"/>
      <c r="K71" s="401"/>
      <c r="L71" s="315"/>
    </row>
    <row r="72" spans="1:12" ht="15.75" customHeight="1" x14ac:dyDescent="0.25">
      <c r="A72" s="424" t="s">
        <v>241</v>
      </c>
      <c r="B72" s="15"/>
      <c r="C72" s="400">
        <v>980</v>
      </c>
      <c r="D72" s="45"/>
      <c r="E72" s="400">
        <f t="shared" si="11"/>
        <v>980</v>
      </c>
      <c r="F72" s="401"/>
      <c r="G72" s="401"/>
      <c r="H72" s="15"/>
      <c r="I72" s="337"/>
      <c r="J72" s="15"/>
      <c r="K72" s="401"/>
      <c r="L72" s="315"/>
    </row>
    <row r="73" spans="1:12" ht="15.75" customHeight="1" x14ac:dyDescent="0.25">
      <c r="A73" s="424" t="s">
        <v>230</v>
      </c>
      <c r="B73" s="15"/>
      <c r="C73" s="400">
        <v>12687</v>
      </c>
      <c r="D73" s="45"/>
      <c r="E73" s="400">
        <f t="shared" si="11"/>
        <v>12687</v>
      </c>
      <c r="F73" s="401"/>
      <c r="G73" s="401"/>
      <c r="H73" s="15"/>
      <c r="I73" s="337"/>
      <c r="J73" s="15"/>
      <c r="K73" s="401"/>
      <c r="L73" s="315"/>
    </row>
    <row r="74" spans="1:12" ht="15.75" customHeight="1" x14ac:dyDescent="0.25">
      <c r="A74" s="424" t="s">
        <v>242</v>
      </c>
      <c r="B74" s="45"/>
      <c r="C74" s="400"/>
      <c r="D74" s="45"/>
      <c r="E74" s="400">
        <f t="shared" si="11"/>
        <v>0</v>
      </c>
      <c r="F74" s="400">
        <v>12868</v>
      </c>
      <c r="G74" s="401"/>
      <c r="H74" s="15"/>
      <c r="I74" s="337"/>
      <c r="J74" s="15"/>
      <c r="K74" s="401"/>
      <c r="L74" s="315"/>
    </row>
    <row r="75" spans="1:12" ht="15.75" customHeight="1" x14ac:dyDescent="0.25">
      <c r="A75" s="433" t="s">
        <v>231</v>
      </c>
      <c r="B75" s="15"/>
      <c r="C75" s="401"/>
      <c r="D75" s="15"/>
      <c r="E75" s="401">
        <f t="shared" si="11"/>
        <v>0</v>
      </c>
      <c r="F75" s="401"/>
      <c r="G75" s="401"/>
      <c r="H75" s="15"/>
      <c r="I75" s="337"/>
      <c r="J75" s="15"/>
      <c r="K75" s="401"/>
      <c r="L75" s="315"/>
    </row>
    <row r="76" spans="1:12" ht="15.75" customHeight="1" x14ac:dyDescent="0.25">
      <c r="A76" s="425" t="s">
        <v>243</v>
      </c>
      <c r="B76" s="15"/>
      <c r="C76" s="401"/>
      <c r="D76" s="15"/>
      <c r="E76" s="401">
        <f t="shared" si="11"/>
        <v>0</v>
      </c>
      <c r="F76" s="401"/>
      <c r="G76" s="400">
        <v>1500</v>
      </c>
      <c r="H76" s="15"/>
      <c r="I76" s="337"/>
      <c r="J76" s="15"/>
      <c r="K76" s="401"/>
      <c r="L76" s="315"/>
    </row>
    <row r="77" spans="1:12" s="318" customFormat="1" ht="15.75" customHeight="1" x14ac:dyDescent="0.25">
      <c r="A77" s="431" t="s">
        <v>188</v>
      </c>
      <c r="B77" s="322">
        <f>SUM(B65:B76)</f>
        <v>139536</v>
      </c>
      <c r="C77" s="405">
        <f>SUM(C65:C76)</f>
        <v>77890</v>
      </c>
      <c r="D77" s="322">
        <f>SUM(D65:D76)</f>
        <v>0</v>
      </c>
      <c r="E77" s="406">
        <f t="shared" si="11"/>
        <v>217426</v>
      </c>
      <c r="F77" s="405">
        <f t="shared" ref="F77:L77" si="12">SUM(F65:F76)</f>
        <v>12868</v>
      </c>
      <c r="G77" s="405">
        <f t="shared" si="12"/>
        <v>1500</v>
      </c>
      <c r="H77" s="322">
        <f t="shared" si="12"/>
        <v>0</v>
      </c>
      <c r="I77" s="340">
        <f t="shared" si="12"/>
        <v>0</v>
      </c>
      <c r="J77" s="322">
        <f t="shared" si="12"/>
        <v>0</v>
      </c>
      <c r="K77" s="405">
        <f t="shared" si="12"/>
        <v>0</v>
      </c>
      <c r="L77" s="387">
        <f t="shared" si="12"/>
        <v>0</v>
      </c>
    </row>
    <row r="78" spans="1:12" ht="15.75" customHeight="1" x14ac:dyDescent="0.25">
      <c r="A78" s="423" t="s">
        <v>122</v>
      </c>
      <c r="B78" s="45">
        <v>27908</v>
      </c>
      <c r="C78" s="400">
        <v>3389</v>
      </c>
      <c r="D78" s="45"/>
      <c r="E78" s="400">
        <f t="shared" ref="E78:E84" si="13">(B78+C78+D78)</f>
        <v>31297</v>
      </c>
      <c r="F78" s="401"/>
      <c r="G78" s="401"/>
      <c r="H78" s="15"/>
      <c r="I78" s="337"/>
      <c r="J78" s="15"/>
      <c r="K78" s="401"/>
      <c r="L78" s="315"/>
    </row>
    <row r="79" spans="1:12" ht="15.75" customHeight="1" x14ac:dyDescent="0.25">
      <c r="A79" s="424" t="s">
        <v>244</v>
      </c>
      <c r="B79" s="15"/>
      <c r="C79" s="400">
        <v>2078</v>
      </c>
      <c r="D79" s="45"/>
      <c r="E79" s="400">
        <f>SUM(B79:D79)</f>
        <v>2078</v>
      </c>
      <c r="F79" s="401"/>
      <c r="G79" s="401"/>
      <c r="H79" s="15"/>
      <c r="I79" s="337"/>
      <c r="J79" s="15"/>
      <c r="K79" s="401"/>
      <c r="L79" s="315"/>
    </row>
    <row r="80" spans="1:12" ht="15.75" customHeight="1" x14ac:dyDescent="0.25">
      <c r="A80" s="424" t="s">
        <v>245</v>
      </c>
      <c r="B80" s="45">
        <v>1093</v>
      </c>
      <c r="C80" s="400">
        <v>597</v>
      </c>
      <c r="D80" s="45"/>
      <c r="E80" s="400">
        <f>SUM(B80:D80)</f>
        <v>1690</v>
      </c>
      <c r="F80" s="401"/>
      <c r="G80" s="401"/>
      <c r="H80" s="15"/>
      <c r="I80" s="337"/>
      <c r="J80" s="15"/>
      <c r="K80" s="401"/>
      <c r="L80" s="315"/>
    </row>
    <row r="81" spans="1:12" ht="15.75" customHeight="1" x14ac:dyDescent="0.25">
      <c r="A81" s="424" t="s">
        <v>232</v>
      </c>
      <c r="B81" s="45">
        <v>72322</v>
      </c>
      <c r="C81" s="400">
        <v>12989</v>
      </c>
      <c r="D81" s="45"/>
      <c r="E81" s="400">
        <f>SUM(B81:D81)</f>
        <v>85311</v>
      </c>
      <c r="F81" s="401"/>
      <c r="G81" s="401"/>
      <c r="H81" s="15"/>
      <c r="I81" s="337"/>
      <c r="J81" s="15"/>
      <c r="K81" s="401"/>
      <c r="L81" s="315"/>
    </row>
    <row r="82" spans="1:12" ht="15.75" customHeight="1" x14ac:dyDescent="0.25">
      <c r="A82" s="424" t="s">
        <v>64</v>
      </c>
      <c r="B82" s="45"/>
      <c r="C82" s="400">
        <v>2568</v>
      </c>
      <c r="D82" s="45"/>
      <c r="E82" s="400">
        <f>SUM(B82:D82)</f>
        <v>2568</v>
      </c>
      <c r="F82" s="401"/>
      <c r="G82" s="401"/>
      <c r="H82" s="15"/>
      <c r="I82" s="337"/>
      <c r="J82" s="15"/>
      <c r="K82" s="401"/>
      <c r="L82" s="315"/>
    </row>
    <row r="83" spans="1:12" ht="15.75" customHeight="1" x14ac:dyDescent="0.25">
      <c r="A83" s="424" t="s">
        <v>229</v>
      </c>
      <c r="B83" s="45"/>
      <c r="C83" s="400">
        <v>17627</v>
      </c>
      <c r="D83" s="45"/>
      <c r="E83" s="400">
        <f>SUM(B83:D83)</f>
        <v>17627</v>
      </c>
      <c r="F83" s="401"/>
      <c r="G83" s="401"/>
      <c r="H83" s="15"/>
      <c r="I83" s="337"/>
      <c r="J83" s="15"/>
      <c r="K83" s="401"/>
      <c r="L83" s="315"/>
    </row>
    <row r="84" spans="1:12" ht="15.75" customHeight="1" x14ac:dyDescent="0.25">
      <c r="A84" s="424" t="s">
        <v>230</v>
      </c>
      <c r="B84" s="45"/>
      <c r="C84" s="400">
        <v>2614</v>
      </c>
      <c r="D84" s="45"/>
      <c r="E84" s="400">
        <f t="shared" si="13"/>
        <v>2614</v>
      </c>
      <c r="F84" s="401"/>
      <c r="G84" s="401"/>
      <c r="H84" s="15"/>
      <c r="I84" s="337"/>
      <c r="J84" s="15"/>
      <c r="K84" s="401"/>
      <c r="L84" s="315"/>
    </row>
    <row r="85" spans="1:12" ht="15.75" customHeight="1" x14ac:dyDescent="0.25">
      <c r="A85" s="435" t="s">
        <v>188</v>
      </c>
      <c r="B85" s="321">
        <f>SUM(B78:B84)</f>
        <v>101323</v>
      </c>
      <c r="C85" s="408">
        <f>SUM(C78:C84)</f>
        <v>41862</v>
      </c>
      <c r="D85" s="321">
        <f>SUM(D78:D84)</f>
        <v>0</v>
      </c>
      <c r="E85" s="403">
        <f t="shared" ref="E85:E96" si="14">SUM(B85:D85)</f>
        <v>143185</v>
      </c>
      <c r="F85" s="403">
        <f t="shared" ref="F85:L85" si="15">SUM(F78:F84)</f>
        <v>0</v>
      </c>
      <c r="G85" s="403">
        <f t="shared" si="15"/>
        <v>0</v>
      </c>
      <c r="H85" s="320">
        <f t="shared" si="15"/>
        <v>0</v>
      </c>
      <c r="I85" s="338">
        <f t="shared" si="15"/>
        <v>0</v>
      </c>
      <c r="J85" s="320">
        <f t="shared" si="15"/>
        <v>0</v>
      </c>
      <c r="K85" s="403">
        <f t="shared" si="15"/>
        <v>0</v>
      </c>
      <c r="L85" s="385">
        <f t="shared" si="15"/>
        <v>0</v>
      </c>
    </row>
    <row r="86" spans="1:12" ht="15.75" customHeight="1" x14ac:dyDescent="0.25">
      <c r="A86" s="434" t="s">
        <v>120</v>
      </c>
      <c r="B86" s="156">
        <v>26658</v>
      </c>
      <c r="C86" s="399">
        <v>2909</v>
      </c>
      <c r="D86" s="156"/>
      <c r="E86" s="399">
        <f t="shared" si="14"/>
        <v>29567</v>
      </c>
      <c r="F86" s="412"/>
      <c r="G86" s="412"/>
      <c r="H86" s="137"/>
      <c r="I86" s="341"/>
      <c r="J86" s="137"/>
      <c r="K86" s="412"/>
      <c r="L86" s="316"/>
    </row>
    <row r="87" spans="1:12" ht="15.75" customHeight="1" x14ac:dyDescent="0.25">
      <c r="A87" s="424" t="s">
        <v>229</v>
      </c>
      <c r="B87" s="45"/>
      <c r="C87" s="400">
        <v>27314</v>
      </c>
      <c r="D87" s="45"/>
      <c r="E87" s="400">
        <f t="shared" ref="E87" si="16">SUM(B87:D87)</f>
        <v>27314</v>
      </c>
      <c r="F87" s="401"/>
      <c r="G87" s="401"/>
      <c r="H87" s="15"/>
      <c r="I87" s="337"/>
      <c r="J87" s="15"/>
      <c r="K87" s="401"/>
      <c r="L87" s="315"/>
    </row>
    <row r="88" spans="1:12" ht="15.75" customHeight="1" x14ac:dyDescent="0.25">
      <c r="A88" s="424" t="s">
        <v>230</v>
      </c>
      <c r="B88" s="45"/>
      <c r="C88" s="400">
        <v>1394</v>
      </c>
      <c r="D88" s="45"/>
      <c r="E88" s="400">
        <f t="shared" si="14"/>
        <v>1394</v>
      </c>
      <c r="F88" s="401"/>
      <c r="G88" s="401"/>
      <c r="H88" s="15"/>
      <c r="I88" s="337"/>
      <c r="J88" s="15"/>
      <c r="K88" s="401"/>
      <c r="L88" s="315"/>
    </row>
    <row r="89" spans="1:12" ht="15.75" customHeight="1" x14ac:dyDescent="0.25">
      <c r="A89" s="424" t="s">
        <v>64</v>
      </c>
      <c r="B89" s="45"/>
      <c r="C89" s="400">
        <v>1533</v>
      </c>
      <c r="D89" s="45"/>
      <c r="E89" s="400">
        <f t="shared" si="14"/>
        <v>1533</v>
      </c>
      <c r="F89" s="401"/>
      <c r="G89" s="401"/>
      <c r="H89" s="15"/>
      <c r="I89" s="337"/>
      <c r="J89" s="15"/>
      <c r="K89" s="401"/>
      <c r="L89" s="315"/>
    </row>
    <row r="90" spans="1:12" ht="15.75" customHeight="1" x14ac:dyDescent="0.25">
      <c r="A90" s="424" t="s">
        <v>232</v>
      </c>
      <c r="B90" s="45">
        <v>66705</v>
      </c>
      <c r="C90" s="400">
        <v>13972</v>
      </c>
      <c r="D90" s="45"/>
      <c r="E90" s="400">
        <f t="shared" si="14"/>
        <v>80677</v>
      </c>
      <c r="F90" s="401"/>
      <c r="G90" s="401"/>
      <c r="H90" s="15"/>
      <c r="I90" s="337"/>
      <c r="J90" s="15"/>
      <c r="K90" s="401"/>
      <c r="L90" s="315"/>
    </row>
    <row r="91" spans="1:12" ht="15.75" customHeight="1" x14ac:dyDescent="0.25">
      <c r="A91" s="424" t="s">
        <v>234</v>
      </c>
      <c r="B91" s="45"/>
      <c r="C91" s="400">
        <v>803</v>
      </c>
      <c r="D91" s="45"/>
      <c r="E91" s="400">
        <f t="shared" si="14"/>
        <v>803</v>
      </c>
      <c r="F91" s="400">
        <v>12892</v>
      </c>
      <c r="G91" s="401"/>
      <c r="H91" s="15"/>
      <c r="I91" s="337"/>
      <c r="J91" s="15"/>
      <c r="K91" s="401"/>
      <c r="L91" s="315"/>
    </row>
    <row r="92" spans="1:12" ht="15.75" customHeight="1" x14ac:dyDescent="0.25">
      <c r="A92" s="424" t="s">
        <v>246</v>
      </c>
      <c r="B92" s="45">
        <v>1359</v>
      </c>
      <c r="C92" s="400">
        <v>2259</v>
      </c>
      <c r="D92" s="45"/>
      <c r="E92" s="400">
        <f t="shared" si="14"/>
        <v>3618</v>
      </c>
      <c r="F92" s="401"/>
      <c r="G92" s="401"/>
      <c r="H92" s="15"/>
      <c r="I92" s="337"/>
      <c r="J92" s="15"/>
      <c r="K92" s="401"/>
      <c r="L92" s="315"/>
    </row>
    <row r="93" spans="1:12" ht="15.75" customHeight="1" x14ac:dyDescent="0.25">
      <c r="A93" s="424" t="s">
        <v>247</v>
      </c>
      <c r="B93" s="45"/>
      <c r="C93" s="400">
        <v>1516</v>
      </c>
      <c r="D93" s="45"/>
      <c r="E93" s="400">
        <f t="shared" si="14"/>
        <v>1516</v>
      </c>
      <c r="F93" s="401"/>
      <c r="G93" s="401"/>
      <c r="H93" s="15"/>
      <c r="I93" s="337"/>
      <c r="J93" s="15"/>
      <c r="K93" s="401"/>
      <c r="L93" s="315"/>
    </row>
    <row r="94" spans="1:12" ht="15.75" customHeight="1" x14ac:dyDescent="0.25">
      <c r="A94" s="433" t="s">
        <v>231</v>
      </c>
      <c r="B94" s="15"/>
      <c r="C94" s="401"/>
      <c r="D94" s="15"/>
      <c r="E94" s="401">
        <f>SUM(B94:D94)</f>
        <v>0</v>
      </c>
      <c r="F94" s="401"/>
      <c r="G94" s="401"/>
      <c r="H94" s="15"/>
      <c r="I94" s="337"/>
      <c r="J94" s="15"/>
      <c r="K94" s="401"/>
      <c r="L94" s="315"/>
    </row>
    <row r="95" spans="1:12" ht="15.75" customHeight="1" x14ac:dyDescent="0.25">
      <c r="A95" s="424" t="s">
        <v>249</v>
      </c>
      <c r="B95" s="15"/>
      <c r="C95" s="401"/>
      <c r="D95" s="15"/>
      <c r="E95" s="401">
        <f>SUM(B95:D95)</f>
        <v>0</v>
      </c>
      <c r="F95" s="401"/>
      <c r="G95" s="400">
        <v>1145</v>
      </c>
      <c r="H95" s="15"/>
      <c r="I95" s="337"/>
      <c r="J95" s="15"/>
      <c r="K95" s="401"/>
      <c r="L95" s="315"/>
    </row>
    <row r="96" spans="1:12" ht="15.75" customHeight="1" x14ac:dyDescent="0.25">
      <c r="A96" s="436" t="s">
        <v>188</v>
      </c>
      <c r="B96" s="326">
        <f>SUM(B86:B95)</f>
        <v>94722</v>
      </c>
      <c r="C96" s="407">
        <f>SUM(C86:C95)</f>
        <v>51700</v>
      </c>
      <c r="D96" s="326">
        <f>SUM(D86:D95)</f>
        <v>0</v>
      </c>
      <c r="E96" s="407">
        <f t="shared" si="14"/>
        <v>146422</v>
      </c>
      <c r="F96" s="407">
        <f>SUM(F86:F95)</f>
        <v>12892</v>
      </c>
      <c r="G96" s="407">
        <f>SUM(G86:G95)</f>
        <v>1145</v>
      </c>
      <c r="H96" s="326">
        <f>SUM(H86:H94)</f>
        <v>0</v>
      </c>
      <c r="I96" s="342">
        <f>SUM(I86:I94)</f>
        <v>0</v>
      </c>
      <c r="J96" s="326">
        <f>SUM(J86:J94)</f>
        <v>0</v>
      </c>
      <c r="K96" s="407">
        <f>SUM(K86:K94)</f>
        <v>0</v>
      </c>
      <c r="L96" s="327">
        <f>SUM(L86:L94)</f>
        <v>0</v>
      </c>
    </row>
    <row r="97" spans="1:12" ht="15.75" customHeight="1" x14ac:dyDescent="0.25">
      <c r="A97" s="432" t="s">
        <v>126</v>
      </c>
      <c r="B97" s="112">
        <v>26858</v>
      </c>
      <c r="C97" s="404">
        <v>3388</v>
      </c>
      <c r="D97" s="112"/>
      <c r="E97" s="404">
        <f t="shared" ref="E97:E108" si="17">SUM(B97:D97)</f>
        <v>30246</v>
      </c>
      <c r="F97" s="411"/>
      <c r="G97" s="411"/>
      <c r="H97" s="90"/>
      <c r="I97" s="339"/>
      <c r="J97" s="90"/>
      <c r="K97" s="411"/>
      <c r="L97" s="388"/>
    </row>
    <row r="98" spans="1:12" ht="15.75" customHeight="1" x14ac:dyDescent="0.25">
      <c r="A98" s="424" t="s">
        <v>251</v>
      </c>
      <c r="B98" s="45"/>
      <c r="C98" s="400"/>
      <c r="D98" s="45"/>
      <c r="E98" s="400">
        <f t="shared" si="17"/>
        <v>0</v>
      </c>
      <c r="F98" s="400">
        <v>12892</v>
      </c>
      <c r="G98" s="401"/>
      <c r="H98" s="15"/>
      <c r="I98" s="337"/>
      <c r="J98" s="15"/>
      <c r="K98" s="401"/>
      <c r="L98" s="315"/>
    </row>
    <row r="99" spans="1:12" ht="15.75" customHeight="1" x14ac:dyDescent="0.25">
      <c r="A99" s="424" t="s">
        <v>232</v>
      </c>
      <c r="B99" s="45">
        <v>22807</v>
      </c>
      <c r="C99" s="400">
        <v>9404</v>
      </c>
      <c r="D99" s="45"/>
      <c r="E99" s="400">
        <f t="shared" si="17"/>
        <v>32211</v>
      </c>
      <c r="F99" s="401"/>
      <c r="G99" s="401"/>
      <c r="H99" s="15"/>
      <c r="I99" s="337"/>
      <c r="J99" s="15"/>
      <c r="K99" s="401"/>
      <c r="L99" s="315"/>
    </row>
    <row r="100" spans="1:12" ht="15.75" customHeight="1" x14ac:dyDescent="0.25">
      <c r="A100" s="424" t="s">
        <v>252</v>
      </c>
      <c r="B100" s="45"/>
      <c r="C100" s="400">
        <v>2642</v>
      </c>
      <c r="D100" s="45"/>
      <c r="E100" s="400">
        <f t="shared" si="17"/>
        <v>2642</v>
      </c>
      <c r="F100" s="401"/>
      <c r="G100" s="401"/>
      <c r="H100" s="15"/>
      <c r="I100" s="337"/>
      <c r="J100" s="15"/>
      <c r="K100" s="401"/>
      <c r="L100" s="315"/>
    </row>
    <row r="101" spans="1:12" ht="15.75" customHeight="1" x14ac:dyDescent="0.25">
      <c r="A101" s="424" t="s">
        <v>229</v>
      </c>
      <c r="B101" s="45"/>
      <c r="C101" s="400">
        <v>20418</v>
      </c>
      <c r="D101" s="45"/>
      <c r="E101" s="400">
        <f t="shared" si="17"/>
        <v>20418</v>
      </c>
      <c r="F101" s="401"/>
      <c r="G101" s="401"/>
      <c r="H101" s="15"/>
      <c r="I101" s="337"/>
      <c r="J101" s="15"/>
      <c r="K101" s="401"/>
      <c r="L101" s="315"/>
    </row>
    <row r="102" spans="1:12" ht="15.75" customHeight="1" x14ac:dyDescent="0.25">
      <c r="A102" s="424" t="s">
        <v>230</v>
      </c>
      <c r="B102" s="45"/>
      <c r="C102" s="400">
        <v>601</v>
      </c>
      <c r="D102" s="45"/>
      <c r="E102" s="400">
        <f>SUM(B102:D102)</f>
        <v>601</v>
      </c>
      <c r="F102" s="402"/>
      <c r="G102" s="469"/>
      <c r="H102" s="38"/>
      <c r="I102" s="351"/>
      <c r="J102" s="38"/>
      <c r="K102" s="469"/>
      <c r="L102" s="176"/>
    </row>
    <row r="103" spans="1:12" ht="15.75" customHeight="1" x14ac:dyDescent="0.25">
      <c r="A103" s="424" t="s">
        <v>253</v>
      </c>
      <c r="B103" s="45">
        <v>1885</v>
      </c>
      <c r="C103" s="400">
        <v>1336</v>
      </c>
      <c r="D103" s="45"/>
      <c r="E103" s="400">
        <f t="shared" si="17"/>
        <v>3221</v>
      </c>
      <c r="F103" s="401"/>
      <c r="G103" s="401"/>
      <c r="H103" s="15"/>
      <c r="I103" s="337"/>
      <c r="J103" s="15"/>
      <c r="K103" s="401"/>
      <c r="L103" s="315"/>
    </row>
    <row r="104" spans="1:12" ht="15.75" customHeight="1" x14ac:dyDescent="0.25">
      <c r="A104" s="424" t="s">
        <v>254</v>
      </c>
      <c r="B104" s="45"/>
      <c r="C104" s="400">
        <v>5420</v>
      </c>
      <c r="D104" s="45"/>
      <c r="E104" s="400">
        <f t="shared" si="17"/>
        <v>5420</v>
      </c>
      <c r="F104" s="401"/>
      <c r="G104" s="401"/>
      <c r="H104" s="15"/>
      <c r="I104" s="337"/>
      <c r="J104" s="15"/>
      <c r="K104" s="401"/>
      <c r="L104" s="315"/>
    </row>
    <row r="105" spans="1:12" ht="15.75" customHeight="1" x14ac:dyDescent="0.25">
      <c r="A105" s="437" t="s">
        <v>231</v>
      </c>
      <c r="B105" s="15"/>
      <c r="C105" s="401"/>
      <c r="D105" s="15"/>
      <c r="E105" s="401">
        <f>SUM(B105:D105)</f>
        <v>0</v>
      </c>
      <c r="F105" s="401"/>
      <c r="G105" s="401"/>
      <c r="H105" s="15"/>
      <c r="I105" s="337"/>
      <c r="J105" s="15"/>
      <c r="K105" s="401"/>
      <c r="L105" s="315"/>
    </row>
    <row r="106" spans="1:12" ht="15.75" customHeight="1" x14ac:dyDescent="0.25">
      <c r="A106" s="438" t="s">
        <v>255</v>
      </c>
      <c r="B106" s="15"/>
      <c r="C106" s="401"/>
      <c r="D106" s="15"/>
      <c r="E106" s="401">
        <f>SUM(B106:D106)</f>
        <v>0</v>
      </c>
      <c r="F106" s="401"/>
      <c r="G106" s="400">
        <v>2417</v>
      </c>
      <c r="H106" s="15"/>
      <c r="I106" s="337"/>
      <c r="J106" s="15"/>
      <c r="K106" s="401"/>
      <c r="L106" s="315"/>
    </row>
    <row r="107" spans="1:12" ht="15.75" customHeight="1" x14ac:dyDescent="0.25">
      <c r="A107" s="438" t="s">
        <v>256</v>
      </c>
      <c r="B107" s="15"/>
      <c r="C107" s="401"/>
      <c r="D107" s="15"/>
      <c r="E107" s="401">
        <f>SUM(B107:D107)</f>
        <v>0</v>
      </c>
      <c r="F107" s="401"/>
      <c r="G107" s="400">
        <v>1600</v>
      </c>
      <c r="H107" s="15"/>
      <c r="I107" s="337"/>
      <c r="J107" s="15"/>
      <c r="K107" s="401"/>
      <c r="L107" s="315"/>
    </row>
    <row r="108" spans="1:12" ht="15.75" customHeight="1" x14ac:dyDescent="0.25">
      <c r="A108" s="431" t="s">
        <v>188</v>
      </c>
      <c r="B108" s="322">
        <f t="shared" ref="B108:D108" si="18">SUM(B97:B107)</f>
        <v>51550</v>
      </c>
      <c r="C108" s="405">
        <f t="shared" si="18"/>
        <v>43209</v>
      </c>
      <c r="D108" s="322">
        <f t="shared" si="18"/>
        <v>0</v>
      </c>
      <c r="E108" s="406">
        <f t="shared" si="17"/>
        <v>94759</v>
      </c>
      <c r="F108" s="405">
        <f t="shared" ref="F108:L108" si="19">SUM(F97:F107)</f>
        <v>12892</v>
      </c>
      <c r="G108" s="405">
        <f t="shared" si="19"/>
        <v>4017</v>
      </c>
      <c r="H108" s="322">
        <f t="shared" si="19"/>
        <v>0</v>
      </c>
      <c r="I108" s="340">
        <f t="shared" si="19"/>
        <v>0</v>
      </c>
      <c r="J108" s="322">
        <f t="shared" si="19"/>
        <v>0</v>
      </c>
      <c r="K108" s="405">
        <f t="shared" si="19"/>
        <v>0</v>
      </c>
      <c r="L108" s="387">
        <f t="shared" si="19"/>
        <v>0</v>
      </c>
    </row>
    <row r="109" spans="1:12" ht="15.75" customHeight="1" x14ac:dyDescent="0.25">
      <c r="A109" s="423" t="s">
        <v>115</v>
      </c>
      <c r="B109" s="45">
        <v>27044</v>
      </c>
      <c r="C109" s="400">
        <v>3432</v>
      </c>
      <c r="D109" s="45"/>
      <c r="E109" s="400">
        <f t="shared" ref="E109:E118" si="20">SUM(B109:D109)</f>
        <v>30476</v>
      </c>
      <c r="F109" s="401"/>
      <c r="G109" s="401"/>
      <c r="H109" s="15"/>
      <c r="I109" s="337"/>
      <c r="J109" s="15"/>
      <c r="K109" s="401"/>
      <c r="L109" s="315"/>
    </row>
    <row r="110" spans="1:12" ht="15.75" customHeight="1" x14ac:dyDescent="0.25">
      <c r="A110" s="424" t="s">
        <v>232</v>
      </c>
      <c r="B110" s="45">
        <v>87209</v>
      </c>
      <c r="C110" s="400">
        <v>36513</v>
      </c>
      <c r="D110" s="45"/>
      <c r="E110" s="400">
        <f t="shared" si="20"/>
        <v>123722</v>
      </c>
      <c r="F110" s="401"/>
      <c r="G110" s="401"/>
      <c r="H110" s="15"/>
      <c r="I110" s="337"/>
      <c r="J110" s="15"/>
      <c r="K110" s="401"/>
      <c r="L110" s="315"/>
    </row>
    <row r="111" spans="1:12" ht="15.75" customHeight="1" x14ac:dyDescent="0.25">
      <c r="A111" s="424" t="s">
        <v>229</v>
      </c>
      <c r="B111" s="45"/>
      <c r="C111" s="400">
        <v>16063</v>
      </c>
      <c r="D111" s="45"/>
      <c r="E111" s="400">
        <f t="shared" si="20"/>
        <v>16063</v>
      </c>
      <c r="F111" s="401"/>
      <c r="G111" s="401"/>
      <c r="H111" s="15"/>
      <c r="I111" s="337"/>
      <c r="J111" s="15"/>
      <c r="K111" s="401"/>
      <c r="L111" s="315"/>
    </row>
    <row r="112" spans="1:12" ht="15.75" customHeight="1" x14ac:dyDescent="0.25">
      <c r="A112" s="424" t="s">
        <v>230</v>
      </c>
      <c r="B112" s="14"/>
      <c r="C112" s="402">
        <v>1220</v>
      </c>
      <c r="D112" s="14"/>
      <c r="E112" s="402">
        <f>SUM(B112:D112)</f>
        <v>1220</v>
      </c>
      <c r="F112" s="402"/>
      <c r="G112" s="469"/>
      <c r="H112" s="38"/>
      <c r="I112" s="351"/>
      <c r="J112" s="38"/>
      <c r="K112" s="469"/>
      <c r="L112" s="176"/>
    </row>
    <row r="113" spans="1:12" ht="15.75" customHeight="1" x14ac:dyDescent="0.25">
      <c r="A113" s="424" t="s">
        <v>64</v>
      </c>
      <c r="B113" s="45"/>
      <c r="C113" s="400">
        <v>3056</v>
      </c>
      <c r="D113" s="45"/>
      <c r="E113" s="400">
        <f t="shared" si="20"/>
        <v>3056</v>
      </c>
      <c r="F113" s="401"/>
      <c r="G113" s="401"/>
      <c r="H113" s="15"/>
      <c r="I113" s="337"/>
      <c r="J113" s="15"/>
      <c r="K113" s="401"/>
      <c r="L113" s="315"/>
    </row>
    <row r="114" spans="1:12" ht="15.75" customHeight="1" x14ac:dyDescent="0.25">
      <c r="A114" s="424" t="s">
        <v>257</v>
      </c>
      <c r="B114" s="45">
        <v>1119</v>
      </c>
      <c r="C114" s="400">
        <v>1289</v>
      </c>
      <c r="D114" s="45"/>
      <c r="E114" s="400">
        <f t="shared" si="20"/>
        <v>2408</v>
      </c>
      <c r="F114" s="401"/>
      <c r="G114" s="401"/>
      <c r="H114" s="15"/>
      <c r="I114" s="337"/>
      <c r="J114" s="15"/>
      <c r="K114" s="401"/>
      <c r="L114" s="315"/>
    </row>
    <row r="115" spans="1:12" ht="15.75" customHeight="1" x14ac:dyDescent="0.25">
      <c r="A115" s="424" t="s">
        <v>258</v>
      </c>
      <c r="B115" s="45"/>
      <c r="C115" s="400">
        <v>5651</v>
      </c>
      <c r="D115" s="45"/>
      <c r="E115" s="400">
        <f t="shared" si="20"/>
        <v>5651</v>
      </c>
      <c r="F115" s="401"/>
      <c r="G115" s="401"/>
      <c r="H115" s="15"/>
      <c r="I115" s="337"/>
      <c r="J115" s="15"/>
      <c r="K115" s="401"/>
      <c r="L115" s="315"/>
    </row>
    <row r="116" spans="1:12" ht="15.75" customHeight="1" x14ac:dyDescent="0.25">
      <c r="A116" s="433" t="s">
        <v>231</v>
      </c>
      <c r="B116" s="15"/>
      <c r="C116" s="401"/>
      <c r="D116" s="15"/>
      <c r="E116" s="401">
        <f t="shared" si="20"/>
        <v>0</v>
      </c>
      <c r="F116" s="401"/>
      <c r="G116" s="401"/>
      <c r="H116" s="15"/>
      <c r="I116" s="337"/>
      <c r="J116" s="15"/>
      <c r="K116" s="401"/>
      <c r="L116" s="315"/>
    </row>
    <row r="117" spans="1:12" ht="15.75" customHeight="1" x14ac:dyDescent="0.25">
      <c r="A117" s="424" t="s">
        <v>259</v>
      </c>
      <c r="B117" s="14"/>
      <c r="C117" s="402"/>
      <c r="D117" s="14"/>
      <c r="E117" s="402">
        <f>SUM(B117:D117)</f>
        <v>0</v>
      </c>
      <c r="F117" s="402"/>
      <c r="G117" s="469">
        <v>15000</v>
      </c>
      <c r="H117" s="38"/>
      <c r="I117" s="351"/>
      <c r="J117" s="38"/>
      <c r="K117" s="469"/>
      <c r="L117" s="176"/>
    </row>
    <row r="118" spans="1:12" ht="15.75" customHeight="1" x14ac:dyDescent="0.25">
      <c r="A118" s="425" t="s">
        <v>260</v>
      </c>
      <c r="B118" s="15"/>
      <c r="C118" s="401"/>
      <c r="D118" s="15"/>
      <c r="E118" s="401">
        <f t="shared" si="20"/>
        <v>0</v>
      </c>
      <c r="F118" s="401"/>
      <c r="G118" s="400">
        <v>1702</v>
      </c>
      <c r="H118" s="15"/>
      <c r="I118" s="337"/>
      <c r="J118" s="15"/>
      <c r="K118" s="401"/>
      <c r="L118" s="315"/>
    </row>
    <row r="119" spans="1:12" ht="15.75" customHeight="1" x14ac:dyDescent="0.25">
      <c r="A119" s="431" t="s">
        <v>188</v>
      </c>
      <c r="B119" s="322">
        <f>SUM(B109:B118)</f>
        <v>115372</v>
      </c>
      <c r="C119" s="405">
        <f>SUM(C109:C118)</f>
        <v>67224</v>
      </c>
      <c r="D119" s="322">
        <f>SUM(D109:D118)</f>
        <v>0</v>
      </c>
      <c r="E119" s="406">
        <f t="shared" ref="E119" si="21">SUM(B119:D119)</f>
        <v>182596</v>
      </c>
      <c r="F119" s="405">
        <f t="shared" ref="F119:L119" si="22">SUM(F109:F118)</f>
        <v>0</v>
      </c>
      <c r="G119" s="405">
        <f t="shared" si="22"/>
        <v>16702</v>
      </c>
      <c r="H119" s="322">
        <f t="shared" si="22"/>
        <v>0</v>
      </c>
      <c r="I119" s="340">
        <f t="shared" si="22"/>
        <v>0</v>
      </c>
      <c r="J119" s="322">
        <f t="shared" si="22"/>
        <v>0</v>
      </c>
      <c r="K119" s="405">
        <f t="shared" si="22"/>
        <v>0</v>
      </c>
      <c r="L119" s="387">
        <f t="shared" si="22"/>
        <v>0</v>
      </c>
    </row>
    <row r="120" spans="1:12" ht="15.75" customHeight="1" x14ac:dyDescent="0.25">
      <c r="A120" s="432" t="s">
        <v>130</v>
      </c>
      <c r="B120" s="112">
        <v>19099</v>
      </c>
      <c r="C120" s="404">
        <v>1786</v>
      </c>
      <c r="D120" s="112"/>
      <c r="E120" s="404">
        <f t="shared" ref="E120:E129" si="23">SUM(B120:D120)</f>
        <v>20885</v>
      </c>
      <c r="F120" s="411"/>
      <c r="G120" s="411"/>
      <c r="H120" s="90"/>
      <c r="I120" s="339"/>
      <c r="J120" s="90"/>
      <c r="K120" s="411"/>
      <c r="L120" s="388"/>
    </row>
    <row r="121" spans="1:12" ht="15.75" customHeight="1" x14ac:dyDescent="0.25">
      <c r="A121" s="424" t="s">
        <v>232</v>
      </c>
      <c r="B121" s="45">
        <v>57590</v>
      </c>
      <c r="C121" s="400">
        <v>11538</v>
      </c>
      <c r="D121" s="45"/>
      <c r="E121" s="400">
        <f>SUM(B121:D121)</f>
        <v>69128</v>
      </c>
      <c r="F121" s="401"/>
      <c r="G121" s="401"/>
      <c r="H121" s="15"/>
      <c r="I121" s="337"/>
      <c r="J121" s="15"/>
      <c r="K121" s="401"/>
      <c r="L121" s="315"/>
    </row>
    <row r="122" spans="1:12" ht="15.75" customHeight="1" x14ac:dyDescent="0.25">
      <c r="A122" s="424" t="s">
        <v>64</v>
      </c>
      <c r="B122" s="45"/>
      <c r="C122" s="400">
        <v>489</v>
      </c>
      <c r="D122" s="45"/>
      <c r="E122" s="400">
        <f>SUM(B122:D122)</f>
        <v>489</v>
      </c>
      <c r="F122" s="401"/>
      <c r="G122" s="401"/>
      <c r="H122" s="15"/>
      <c r="I122" s="337"/>
      <c r="J122" s="15"/>
      <c r="K122" s="401"/>
      <c r="L122" s="315"/>
    </row>
    <row r="123" spans="1:12" ht="15.75" customHeight="1" x14ac:dyDescent="0.25">
      <c r="A123" s="424" t="s">
        <v>229</v>
      </c>
      <c r="B123" s="45"/>
      <c r="C123" s="400">
        <v>8281</v>
      </c>
      <c r="D123" s="45"/>
      <c r="E123" s="400">
        <f>SUM(B123:D123)</f>
        <v>8281</v>
      </c>
      <c r="F123" s="400"/>
      <c r="G123" s="401"/>
      <c r="H123" s="15"/>
      <c r="I123" s="337"/>
      <c r="J123" s="15"/>
      <c r="K123" s="401"/>
      <c r="L123" s="315"/>
    </row>
    <row r="124" spans="1:12" ht="15.75" customHeight="1" x14ac:dyDescent="0.25">
      <c r="A124" s="424" t="s">
        <v>230</v>
      </c>
      <c r="B124" s="14"/>
      <c r="C124" s="402">
        <v>182</v>
      </c>
      <c r="D124" s="14"/>
      <c r="E124" s="402">
        <f>SUM(B124:D124)</f>
        <v>182</v>
      </c>
      <c r="F124" s="402"/>
      <c r="G124" s="469"/>
      <c r="H124" s="38"/>
      <c r="I124" s="351"/>
      <c r="J124" s="38"/>
      <c r="K124" s="469"/>
      <c r="L124" s="176"/>
    </row>
    <row r="125" spans="1:12" ht="15.75" customHeight="1" x14ac:dyDescent="0.25">
      <c r="A125" s="424" t="s">
        <v>262</v>
      </c>
      <c r="B125" s="45">
        <v>560</v>
      </c>
      <c r="C125" s="400">
        <v>317</v>
      </c>
      <c r="D125" s="45"/>
      <c r="E125" s="400">
        <f>SUM(B125:D125)</f>
        <v>877</v>
      </c>
      <c r="F125" s="401"/>
      <c r="G125" s="401"/>
      <c r="H125" s="15"/>
      <c r="I125" s="337"/>
      <c r="J125" s="15"/>
      <c r="K125" s="401"/>
      <c r="L125" s="315"/>
    </row>
    <row r="126" spans="1:12" ht="15.75" customHeight="1" x14ac:dyDescent="0.25">
      <c r="A126" s="424" t="s">
        <v>263</v>
      </c>
      <c r="B126" s="45"/>
      <c r="C126" s="400"/>
      <c r="D126" s="45"/>
      <c r="E126" s="400">
        <f t="shared" si="23"/>
        <v>0</v>
      </c>
      <c r="F126" s="400">
        <v>12868</v>
      </c>
      <c r="G126" s="401"/>
      <c r="H126" s="15"/>
      <c r="I126" s="337"/>
      <c r="J126" s="15"/>
      <c r="K126" s="401"/>
      <c r="L126" s="315"/>
    </row>
    <row r="127" spans="1:12" ht="15.75" customHeight="1" x14ac:dyDescent="0.25">
      <c r="A127" s="433" t="s">
        <v>231</v>
      </c>
      <c r="B127" s="15"/>
      <c r="C127" s="401"/>
      <c r="D127" s="15"/>
      <c r="E127" s="401">
        <f>SUM(B127:D127)</f>
        <v>0</v>
      </c>
      <c r="F127" s="401"/>
      <c r="G127" s="401"/>
      <c r="H127" s="15"/>
      <c r="I127" s="337"/>
      <c r="J127" s="15"/>
      <c r="K127" s="401"/>
      <c r="L127" s="315"/>
    </row>
    <row r="128" spans="1:12" ht="15.75" customHeight="1" x14ac:dyDescent="0.25">
      <c r="A128" s="438" t="s">
        <v>265</v>
      </c>
      <c r="B128" s="15"/>
      <c r="C128" s="401"/>
      <c r="D128" s="15"/>
      <c r="E128" s="401">
        <f>SUM(B128:D128)</f>
        <v>0</v>
      </c>
      <c r="F128" s="401"/>
      <c r="G128" s="400">
        <v>1845</v>
      </c>
      <c r="H128" s="15"/>
      <c r="I128" s="337"/>
      <c r="J128" s="15"/>
      <c r="K128" s="401"/>
      <c r="L128" s="315"/>
    </row>
    <row r="129" spans="1:12" ht="15.75" customHeight="1" x14ac:dyDescent="0.25">
      <c r="A129" s="431" t="s">
        <v>188</v>
      </c>
      <c r="B129" s="322">
        <f>SUM(B120:B128)</f>
        <v>77249</v>
      </c>
      <c r="C129" s="405">
        <f>SUM(C120:C128)</f>
        <v>22593</v>
      </c>
      <c r="D129" s="322">
        <f>SUM(D120:D128)</f>
        <v>0</v>
      </c>
      <c r="E129" s="406">
        <f t="shared" si="23"/>
        <v>99842</v>
      </c>
      <c r="F129" s="405">
        <f t="shared" ref="F129:L129" si="24">SUM(F120:F128)</f>
        <v>12868</v>
      </c>
      <c r="G129" s="405">
        <f t="shared" si="24"/>
        <v>1845</v>
      </c>
      <c r="H129" s="322">
        <f t="shared" si="24"/>
        <v>0</v>
      </c>
      <c r="I129" s="340">
        <f t="shared" si="24"/>
        <v>0</v>
      </c>
      <c r="J129" s="322">
        <f t="shared" si="24"/>
        <v>0</v>
      </c>
      <c r="K129" s="405">
        <f t="shared" si="24"/>
        <v>0</v>
      </c>
      <c r="L129" s="387">
        <f t="shared" si="24"/>
        <v>0</v>
      </c>
    </row>
    <row r="130" spans="1:12" ht="15.75" customHeight="1" x14ac:dyDescent="0.25">
      <c r="A130" s="423" t="s">
        <v>121</v>
      </c>
      <c r="B130" s="45">
        <v>27212</v>
      </c>
      <c r="C130" s="400">
        <v>1551</v>
      </c>
      <c r="D130" s="45"/>
      <c r="E130" s="400">
        <f t="shared" ref="E130:E136" si="25">SUM(B130:D130)</f>
        <v>28763</v>
      </c>
      <c r="F130" s="401"/>
      <c r="G130" s="401"/>
      <c r="H130" s="15"/>
      <c r="I130" s="337"/>
      <c r="J130" s="15"/>
      <c r="K130" s="401"/>
      <c r="L130" s="315"/>
    </row>
    <row r="131" spans="1:12" ht="15.75" customHeight="1" x14ac:dyDescent="0.25">
      <c r="A131" s="424" t="s">
        <v>266</v>
      </c>
      <c r="B131" s="45">
        <v>34865</v>
      </c>
      <c r="C131" s="400">
        <v>61763</v>
      </c>
      <c r="D131" s="45"/>
      <c r="E131" s="400">
        <f t="shared" si="25"/>
        <v>96628</v>
      </c>
      <c r="F131" s="401"/>
      <c r="G131" s="401"/>
      <c r="H131" s="15"/>
      <c r="I131" s="337"/>
      <c r="J131" s="15"/>
      <c r="K131" s="401"/>
      <c r="L131" s="315"/>
    </row>
    <row r="132" spans="1:12" ht="15.75" customHeight="1" x14ac:dyDescent="0.25">
      <c r="A132" s="424" t="s">
        <v>64</v>
      </c>
      <c r="B132" s="45"/>
      <c r="C132" s="400">
        <v>1198</v>
      </c>
      <c r="D132" s="45"/>
      <c r="E132" s="400">
        <f t="shared" si="25"/>
        <v>1198</v>
      </c>
      <c r="F132" s="401"/>
      <c r="G132" s="401"/>
      <c r="H132" s="15"/>
      <c r="I132" s="337"/>
      <c r="J132" s="15"/>
      <c r="K132" s="401"/>
      <c r="L132" s="315"/>
    </row>
    <row r="133" spans="1:12" ht="18.75" customHeight="1" x14ac:dyDescent="0.25">
      <c r="A133" s="424" t="s">
        <v>267</v>
      </c>
      <c r="B133" s="45">
        <v>42637</v>
      </c>
      <c r="C133" s="400">
        <v>10767</v>
      </c>
      <c r="D133" s="45"/>
      <c r="E133" s="400">
        <f t="shared" si="25"/>
        <v>53404</v>
      </c>
      <c r="F133" s="401"/>
      <c r="G133" s="401"/>
      <c r="H133" s="15"/>
      <c r="I133" s="337"/>
      <c r="J133" s="15"/>
      <c r="K133" s="401"/>
      <c r="L133" s="315"/>
    </row>
    <row r="134" spans="1:12" ht="15.75" customHeight="1" x14ac:dyDescent="0.25">
      <c r="A134" s="424" t="s">
        <v>229</v>
      </c>
      <c r="B134" s="15"/>
      <c r="C134" s="400">
        <v>19331</v>
      </c>
      <c r="D134" s="45"/>
      <c r="E134" s="400">
        <f t="shared" si="25"/>
        <v>19331</v>
      </c>
      <c r="F134" s="401"/>
      <c r="G134" s="401"/>
      <c r="H134" s="15"/>
      <c r="I134" s="337"/>
      <c r="J134" s="15"/>
      <c r="K134" s="401"/>
      <c r="L134" s="315"/>
    </row>
    <row r="135" spans="1:12" ht="15.75" customHeight="1" x14ac:dyDescent="0.25">
      <c r="A135" s="424" t="s">
        <v>230</v>
      </c>
      <c r="B135" s="45"/>
      <c r="C135" s="400">
        <v>4523</v>
      </c>
      <c r="D135" s="45"/>
      <c r="E135" s="400">
        <f t="shared" si="25"/>
        <v>4523</v>
      </c>
      <c r="F135" s="401"/>
      <c r="G135" s="401"/>
      <c r="H135" s="15"/>
      <c r="I135" s="337"/>
      <c r="J135" s="15"/>
      <c r="K135" s="401"/>
      <c r="L135" s="315"/>
    </row>
    <row r="136" spans="1:12" ht="15.75" customHeight="1" x14ac:dyDescent="0.25">
      <c r="A136" s="424" t="s">
        <v>268</v>
      </c>
      <c r="B136" s="45">
        <v>1119</v>
      </c>
      <c r="C136" s="400">
        <v>1737</v>
      </c>
      <c r="D136" s="45"/>
      <c r="E136" s="400">
        <f t="shared" si="25"/>
        <v>2856</v>
      </c>
      <c r="F136" s="401"/>
      <c r="G136" s="401"/>
      <c r="H136" s="15"/>
      <c r="I136" s="337"/>
      <c r="J136" s="15"/>
      <c r="K136" s="401"/>
      <c r="L136" s="315"/>
    </row>
    <row r="137" spans="1:12" ht="15.75" customHeight="1" x14ac:dyDescent="0.25">
      <c r="A137" s="433" t="s">
        <v>231</v>
      </c>
      <c r="B137" s="15"/>
      <c r="C137" s="401"/>
      <c r="D137" s="15"/>
      <c r="E137" s="401">
        <f>SUM(B137:D137)</f>
        <v>0</v>
      </c>
      <c r="F137" s="401"/>
      <c r="G137" s="401"/>
      <c r="H137" s="15"/>
      <c r="I137" s="337"/>
      <c r="J137" s="15"/>
      <c r="K137" s="401"/>
      <c r="L137" s="315"/>
    </row>
    <row r="138" spans="1:12" ht="15.75" customHeight="1" x14ac:dyDescent="0.25">
      <c r="A138" s="425" t="s">
        <v>269</v>
      </c>
      <c r="B138" s="15"/>
      <c r="C138" s="401"/>
      <c r="D138" s="15"/>
      <c r="E138" s="401">
        <f>SUM(B138:D138)</f>
        <v>0</v>
      </c>
      <c r="F138" s="401"/>
      <c r="G138" s="400">
        <v>30326</v>
      </c>
      <c r="H138" s="15"/>
      <c r="I138" s="337"/>
      <c r="J138" s="15"/>
      <c r="K138" s="401"/>
      <c r="L138" s="315"/>
    </row>
    <row r="139" spans="1:12" ht="15.75" customHeight="1" x14ac:dyDescent="0.25">
      <c r="A139" s="431" t="s">
        <v>188</v>
      </c>
      <c r="B139" s="322">
        <f>SUM(B130:B138)</f>
        <v>105833</v>
      </c>
      <c r="C139" s="405">
        <f>SUM(C130:C138)</f>
        <v>100870</v>
      </c>
      <c r="D139" s="322">
        <f>SUM(D130:D138)</f>
        <v>0</v>
      </c>
      <c r="E139" s="408">
        <f>SUM(B139:D139)</f>
        <v>206703</v>
      </c>
      <c r="F139" s="405">
        <f t="shared" ref="F139:L139" si="26">SUM(F130:F138)</f>
        <v>0</v>
      </c>
      <c r="G139" s="405">
        <f t="shared" si="26"/>
        <v>30326</v>
      </c>
      <c r="H139" s="322">
        <f t="shared" si="26"/>
        <v>0</v>
      </c>
      <c r="I139" s="340">
        <f t="shared" si="26"/>
        <v>0</v>
      </c>
      <c r="J139" s="322">
        <f t="shared" si="26"/>
        <v>0</v>
      </c>
      <c r="K139" s="405">
        <f t="shared" si="26"/>
        <v>0</v>
      </c>
      <c r="L139" s="387">
        <f t="shared" si="26"/>
        <v>0</v>
      </c>
    </row>
    <row r="140" spans="1:12" ht="15.75" customHeight="1" x14ac:dyDescent="0.25">
      <c r="A140" s="432" t="s">
        <v>117</v>
      </c>
      <c r="B140" s="112">
        <v>18101</v>
      </c>
      <c r="C140" s="404">
        <v>2626</v>
      </c>
      <c r="D140" s="112"/>
      <c r="E140" s="404">
        <f t="shared" ref="E140:E147" si="27">SUM(B140:D140)</f>
        <v>20727</v>
      </c>
      <c r="F140" s="411"/>
      <c r="G140" s="411"/>
      <c r="H140" s="90"/>
      <c r="I140" s="339"/>
      <c r="J140" s="90"/>
      <c r="K140" s="411"/>
      <c r="L140" s="388"/>
    </row>
    <row r="141" spans="1:12" ht="15.75" customHeight="1" x14ac:dyDescent="0.25">
      <c r="A141" s="424" t="s">
        <v>230</v>
      </c>
      <c r="B141" s="15"/>
      <c r="C141" s="400">
        <v>9413</v>
      </c>
      <c r="D141" s="45"/>
      <c r="E141" s="400">
        <f t="shared" si="27"/>
        <v>9413</v>
      </c>
      <c r="F141" s="401"/>
      <c r="G141" s="401"/>
      <c r="H141" s="15"/>
      <c r="I141" s="337"/>
      <c r="J141" s="15"/>
      <c r="K141" s="401"/>
      <c r="L141" s="315"/>
    </row>
    <row r="142" spans="1:12" ht="15.75" customHeight="1" x14ac:dyDescent="0.25">
      <c r="A142" s="424" t="s">
        <v>270</v>
      </c>
      <c r="B142" s="15"/>
      <c r="C142" s="400">
        <v>15463</v>
      </c>
      <c r="D142" s="45"/>
      <c r="E142" s="400">
        <f t="shared" si="27"/>
        <v>15463</v>
      </c>
      <c r="F142" s="401"/>
      <c r="G142" s="401"/>
      <c r="H142" s="15"/>
      <c r="I142" s="337"/>
      <c r="J142" s="15"/>
      <c r="K142" s="401"/>
      <c r="L142" s="315"/>
    </row>
    <row r="143" spans="1:12" ht="15" customHeight="1" x14ac:dyDescent="0.25">
      <c r="A143" s="424" t="s">
        <v>98</v>
      </c>
      <c r="B143" s="45">
        <v>111339</v>
      </c>
      <c r="C143" s="400">
        <v>33362</v>
      </c>
      <c r="D143" s="45"/>
      <c r="E143" s="400">
        <f t="shared" si="27"/>
        <v>144701</v>
      </c>
      <c r="F143" s="401"/>
      <c r="G143" s="401"/>
      <c r="H143" s="15"/>
      <c r="I143" s="337"/>
      <c r="J143" s="15"/>
      <c r="K143" s="401"/>
      <c r="L143" s="315"/>
    </row>
    <row r="144" spans="1:12" ht="15.75" customHeight="1" x14ac:dyDescent="0.25">
      <c r="A144" s="424" t="s">
        <v>271</v>
      </c>
      <c r="B144" s="45">
        <v>355</v>
      </c>
      <c r="C144" s="400">
        <v>2779</v>
      </c>
      <c r="D144" s="45"/>
      <c r="E144" s="400">
        <f t="shared" si="27"/>
        <v>3134</v>
      </c>
      <c r="F144" s="401"/>
      <c r="G144" s="401"/>
      <c r="H144" s="15"/>
      <c r="I144" s="337"/>
      <c r="J144" s="15"/>
      <c r="K144" s="401"/>
      <c r="L144" s="315"/>
    </row>
    <row r="145" spans="1:12" ht="15.75" customHeight="1" x14ac:dyDescent="0.25">
      <c r="A145" s="424" t="s">
        <v>272</v>
      </c>
      <c r="B145" s="45"/>
      <c r="C145" s="400">
        <v>8257</v>
      </c>
      <c r="D145" s="45"/>
      <c r="E145" s="400">
        <f t="shared" si="27"/>
        <v>8257</v>
      </c>
      <c r="F145" s="401"/>
      <c r="G145" s="401"/>
      <c r="H145" s="15"/>
      <c r="I145" s="337"/>
      <c r="J145" s="15"/>
      <c r="K145" s="401"/>
      <c r="L145" s="315"/>
    </row>
    <row r="146" spans="1:12" ht="15.75" customHeight="1" x14ac:dyDescent="0.25">
      <c r="A146" s="424" t="s">
        <v>234</v>
      </c>
      <c r="B146" s="45">
        <v>4746</v>
      </c>
      <c r="C146" s="400">
        <v>2324</v>
      </c>
      <c r="D146" s="45"/>
      <c r="E146" s="400">
        <f t="shared" si="27"/>
        <v>7070</v>
      </c>
      <c r="F146" s="401"/>
      <c r="G146" s="401"/>
      <c r="H146" s="15"/>
      <c r="I146" s="337"/>
      <c r="J146" s="15"/>
      <c r="K146" s="401"/>
      <c r="L146" s="315"/>
    </row>
    <row r="147" spans="1:12" ht="15.75" customHeight="1" x14ac:dyDescent="0.25">
      <c r="A147" s="431" t="s">
        <v>188</v>
      </c>
      <c r="B147" s="322">
        <f>SUM(B140:B146)</f>
        <v>134541</v>
      </c>
      <c r="C147" s="405">
        <f>SUM(C140:C146)</f>
        <v>74224</v>
      </c>
      <c r="D147" s="322">
        <f>SUM(D140:D146)</f>
        <v>0</v>
      </c>
      <c r="E147" s="405">
        <f t="shared" si="27"/>
        <v>208765</v>
      </c>
      <c r="F147" s="405">
        <f t="shared" ref="F147:L147" si="28">SUM(F140:F146)</f>
        <v>0</v>
      </c>
      <c r="G147" s="405">
        <f t="shared" si="28"/>
        <v>0</v>
      </c>
      <c r="H147" s="325">
        <f t="shared" si="28"/>
        <v>0</v>
      </c>
      <c r="I147" s="340">
        <f t="shared" si="28"/>
        <v>0</v>
      </c>
      <c r="J147" s="322">
        <f t="shared" si="28"/>
        <v>0</v>
      </c>
      <c r="K147" s="405">
        <f t="shared" si="28"/>
        <v>0</v>
      </c>
      <c r="L147" s="387">
        <f t="shared" si="28"/>
        <v>0</v>
      </c>
    </row>
    <row r="148" spans="1:12" ht="15.75" customHeight="1" x14ac:dyDescent="0.25">
      <c r="A148" s="432" t="s">
        <v>113</v>
      </c>
      <c r="B148" s="112">
        <v>39238</v>
      </c>
      <c r="C148" s="404">
        <v>2110</v>
      </c>
      <c r="D148" s="112"/>
      <c r="E148" s="404">
        <f t="shared" ref="E148:E156" si="29">SUM(B148:D148)</f>
        <v>41348</v>
      </c>
      <c r="F148" s="411"/>
      <c r="G148" s="411"/>
      <c r="H148" s="90"/>
      <c r="I148" s="339"/>
      <c r="J148" s="90"/>
      <c r="K148" s="411"/>
      <c r="L148" s="388"/>
    </row>
    <row r="149" spans="1:12" ht="15.75" customHeight="1" x14ac:dyDescent="0.25">
      <c r="A149" s="424" t="s">
        <v>230</v>
      </c>
      <c r="B149" s="15"/>
      <c r="C149" s="400">
        <v>7687</v>
      </c>
      <c r="D149" s="45"/>
      <c r="E149" s="400">
        <f t="shared" si="29"/>
        <v>7687</v>
      </c>
      <c r="F149" s="401"/>
      <c r="G149" s="401"/>
      <c r="H149" s="15"/>
      <c r="I149" s="337"/>
      <c r="J149" s="15"/>
      <c r="K149" s="401"/>
      <c r="L149" s="315"/>
    </row>
    <row r="150" spans="1:12" ht="15.75" customHeight="1" x14ac:dyDescent="0.25">
      <c r="A150" s="424" t="s">
        <v>270</v>
      </c>
      <c r="B150" s="15"/>
      <c r="C150" s="400">
        <v>47848</v>
      </c>
      <c r="D150" s="45"/>
      <c r="E150" s="400">
        <f t="shared" si="29"/>
        <v>47848</v>
      </c>
      <c r="F150" s="401"/>
      <c r="G150" s="401"/>
      <c r="H150" s="15"/>
      <c r="I150" s="337"/>
      <c r="J150" s="15"/>
      <c r="K150" s="401"/>
      <c r="L150" s="315"/>
    </row>
    <row r="151" spans="1:12" ht="15.75" customHeight="1" x14ac:dyDescent="0.25">
      <c r="A151" s="424" t="s">
        <v>98</v>
      </c>
      <c r="B151" s="45">
        <v>110230</v>
      </c>
      <c r="C151" s="400">
        <v>28926</v>
      </c>
      <c r="D151" s="45"/>
      <c r="E151" s="400">
        <f t="shared" si="29"/>
        <v>139156</v>
      </c>
      <c r="F151" s="401"/>
      <c r="G151" s="401"/>
      <c r="H151" s="15"/>
      <c r="I151" s="337"/>
      <c r="J151" s="15"/>
      <c r="K151" s="401"/>
      <c r="L151" s="315"/>
    </row>
    <row r="152" spans="1:12" ht="15.75" customHeight="1" x14ac:dyDescent="0.25">
      <c r="A152" s="424" t="s">
        <v>274</v>
      </c>
      <c r="B152" s="45">
        <v>2345</v>
      </c>
      <c r="C152" s="400">
        <v>501</v>
      </c>
      <c r="D152" s="45"/>
      <c r="E152" s="400">
        <f t="shared" si="29"/>
        <v>2846</v>
      </c>
      <c r="F152" s="401"/>
      <c r="G152" s="401"/>
      <c r="H152" s="15"/>
      <c r="I152" s="337"/>
      <c r="J152" s="15"/>
      <c r="K152" s="401"/>
      <c r="L152" s="315"/>
    </row>
    <row r="153" spans="1:12" ht="15.75" customHeight="1" x14ac:dyDescent="0.25">
      <c r="A153" s="424" t="s">
        <v>275</v>
      </c>
      <c r="B153" s="45">
        <v>1813</v>
      </c>
      <c r="C153" s="400">
        <v>1765</v>
      </c>
      <c r="D153" s="45"/>
      <c r="E153" s="400">
        <f t="shared" si="29"/>
        <v>3578</v>
      </c>
      <c r="F153" s="401"/>
      <c r="G153" s="401"/>
      <c r="H153" s="15"/>
      <c r="I153" s="337"/>
      <c r="J153" s="15"/>
      <c r="K153" s="401"/>
      <c r="L153" s="315"/>
    </row>
    <row r="154" spans="1:12" ht="15.75" customHeight="1" x14ac:dyDescent="0.25">
      <c r="A154" s="424" t="s">
        <v>272</v>
      </c>
      <c r="B154" s="15"/>
      <c r="C154" s="400">
        <v>9163</v>
      </c>
      <c r="D154" s="45"/>
      <c r="E154" s="400">
        <f t="shared" si="29"/>
        <v>9163</v>
      </c>
      <c r="F154" s="401"/>
      <c r="G154" s="401"/>
      <c r="H154" s="15"/>
      <c r="I154" s="337"/>
      <c r="J154" s="15"/>
      <c r="K154" s="401"/>
      <c r="L154" s="315"/>
    </row>
    <row r="155" spans="1:12" ht="15.75" customHeight="1" x14ac:dyDescent="0.25">
      <c r="A155" s="424" t="s">
        <v>234</v>
      </c>
      <c r="B155" s="15"/>
      <c r="C155" s="401"/>
      <c r="D155" s="15"/>
      <c r="E155" s="401">
        <f t="shared" si="29"/>
        <v>0</v>
      </c>
      <c r="F155" s="400">
        <v>12856</v>
      </c>
      <c r="G155" s="401"/>
      <c r="H155" s="15"/>
      <c r="I155" s="337"/>
      <c r="J155" s="15"/>
      <c r="K155" s="401"/>
      <c r="L155" s="315"/>
    </row>
    <row r="156" spans="1:12" ht="15.75" customHeight="1" x14ac:dyDescent="0.25">
      <c r="A156" s="424" t="s">
        <v>64</v>
      </c>
      <c r="B156" s="15"/>
      <c r="C156" s="400">
        <v>4009</v>
      </c>
      <c r="D156" s="45"/>
      <c r="E156" s="400">
        <f t="shared" si="29"/>
        <v>4009</v>
      </c>
      <c r="F156" s="401"/>
      <c r="G156" s="401"/>
      <c r="H156" s="15"/>
      <c r="I156" s="337"/>
      <c r="J156" s="15"/>
      <c r="K156" s="401"/>
      <c r="L156" s="315"/>
    </row>
    <row r="157" spans="1:12" ht="15.75" customHeight="1" x14ac:dyDescent="0.25">
      <c r="A157" s="423" t="s">
        <v>231</v>
      </c>
      <c r="B157" s="15"/>
      <c r="C157" s="401"/>
      <c r="D157" s="15"/>
      <c r="E157" s="401">
        <f>SUM(B157:D157)</f>
        <v>0</v>
      </c>
      <c r="F157" s="401"/>
      <c r="G157" s="401"/>
      <c r="H157" s="15"/>
      <c r="I157" s="337"/>
      <c r="J157" s="15"/>
      <c r="K157" s="401"/>
      <c r="L157" s="315"/>
    </row>
    <row r="158" spans="1:12" ht="15.75" customHeight="1" x14ac:dyDescent="0.25">
      <c r="A158" s="424" t="s">
        <v>1103</v>
      </c>
      <c r="B158" s="15"/>
      <c r="C158" s="401"/>
      <c r="D158" s="15"/>
      <c r="E158" s="401">
        <f>SUM(B158:D158)</f>
        <v>0</v>
      </c>
      <c r="F158" s="401"/>
      <c r="G158" s="400">
        <v>900</v>
      </c>
      <c r="H158" s="15"/>
      <c r="I158" s="337"/>
      <c r="J158" s="15"/>
      <c r="K158" s="401"/>
      <c r="L158" s="315"/>
    </row>
    <row r="159" spans="1:12" ht="15.75" customHeight="1" x14ac:dyDescent="0.25">
      <c r="A159" s="431" t="s">
        <v>188</v>
      </c>
      <c r="B159" s="322">
        <f>SUM(B148:B158)</f>
        <v>153626</v>
      </c>
      <c r="C159" s="405">
        <f>SUM(C148:C158)</f>
        <v>102009</v>
      </c>
      <c r="D159" s="322">
        <f>SUM(D148:D158)</f>
        <v>0</v>
      </c>
      <c r="E159" s="405">
        <f>SUM(B159:D159)</f>
        <v>255635</v>
      </c>
      <c r="F159" s="405">
        <f t="shared" ref="F159:L159" si="30">SUM(F148:F158)</f>
        <v>12856</v>
      </c>
      <c r="G159" s="405">
        <f t="shared" si="30"/>
        <v>900</v>
      </c>
      <c r="H159" s="322">
        <f t="shared" si="30"/>
        <v>0</v>
      </c>
      <c r="I159" s="340">
        <f t="shared" si="30"/>
        <v>0</v>
      </c>
      <c r="J159" s="322">
        <f t="shared" si="30"/>
        <v>0</v>
      </c>
      <c r="K159" s="405">
        <f t="shared" si="30"/>
        <v>0</v>
      </c>
      <c r="L159" s="387">
        <f t="shared" si="30"/>
        <v>0</v>
      </c>
    </row>
    <row r="160" spans="1:12" ht="15.75" customHeight="1" x14ac:dyDescent="0.25">
      <c r="A160" s="432" t="s">
        <v>132</v>
      </c>
      <c r="B160" s="112">
        <v>18431</v>
      </c>
      <c r="C160" s="404">
        <v>1030</v>
      </c>
      <c r="D160" s="112"/>
      <c r="E160" s="404">
        <f t="shared" ref="E160:E168" si="31">SUM(B160:D160)</f>
        <v>19461</v>
      </c>
      <c r="F160" s="411"/>
      <c r="G160" s="411"/>
      <c r="H160" s="90"/>
      <c r="I160" s="339"/>
      <c r="J160" s="90"/>
      <c r="K160" s="411"/>
      <c r="L160" s="388"/>
    </row>
    <row r="161" spans="1:12" ht="15.75" customHeight="1" x14ac:dyDescent="0.25">
      <c r="A161" s="424" t="s">
        <v>229</v>
      </c>
      <c r="B161" s="15"/>
      <c r="C161" s="400">
        <v>7101</v>
      </c>
      <c r="D161" s="45"/>
      <c r="E161" s="400">
        <f t="shared" si="31"/>
        <v>7101</v>
      </c>
      <c r="F161" s="401"/>
      <c r="G161" s="401"/>
      <c r="H161" s="15"/>
      <c r="I161" s="337"/>
      <c r="J161" s="15"/>
      <c r="K161" s="401"/>
      <c r="L161" s="315"/>
    </row>
    <row r="162" spans="1:12" ht="15.75" customHeight="1" x14ac:dyDescent="0.25">
      <c r="A162" s="424" t="s">
        <v>230</v>
      </c>
      <c r="B162" s="14"/>
      <c r="C162" s="402">
        <v>349</v>
      </c>
      <c r="D162" s="14"/>
      <c r="E162" s="402">
        <f>SUM(B162:D162)</f>
        <v>349</v>
      </c>
      <c r="F162" s="402"/>
      <c r="G162" s="469"/>
      <c r="H162" s="38"/>
      <c r="I162" s="351"/>
      <c r="J162" s="38"/>
      <c r="K162" s="469"/>
      <c r="L162" s="176"/>
    </row>
    <row r="163" spans="1:12" ht="15.75" customHeight="1" x14ac:dyDescent="0.25">
      <c r="A163" s="424" t="s">
        <v>98</v>
      </c>
      <c r="B163" s="45">
        <v>15119</v>
      </c>
      <c r="C163" s="400">
        <v>10761</v>
      </c>
      <c r="D163" s="45"/>
      <c r="E163" s="400">
        <f t="shared" si="31"/>
        <v>25880</v>
      </c>
      <c r="F163" s="401"/>
      <c r="G163" s="401"/>
      <c r="H163" s="15"/>
      <c r="I163" s="337"/>
      <c r="J163" s="15"/>
      <c r="K163" s="401"/>
      <c r="L163" s="315"/>
    </row>
    <row r="164" spans="1:12" ht="15.75" customHeight="1" x14ac:dyDescent="0.25">
      <c r="A164" s="424" t="s">
        <v>271</v>
      </c>
      <c r="B164" s="45">
        <v>477</v>
      </c>
      <c r="C164" s="400">
        <v>482</v>
      </c>
      <c r="D164" s="45"/>
      <c r="E164" s="400">
        <f t="shared" si="31"/>
        <v>959</v>
      </c>
      <c r="F164" s="401"/>
      <c r="G164" s="401"/>
      <c r="H164" s="15"/>
      <c r="I164" s="337"/>
      <c r="J164" s="15"/>
      <c r="K164" s="401"/>
      <c r="L164" s="315"/>
    </row>
    <row r="165" spans="1:12" ht="15.75" customHeight="1" x14ac:dyDescent="0.25">
      <c r="A165" s="424" t="s">
        <v>276</v>
      </c>
      <c r="B165" s="45"/>
      <c r="C165" s="400"/>
      <c r="D165" s="45"/>
      <c r="E165" s="400">
        <f>SUM(B165:D165)</f>
        <v>0</v>
      </c>
      <c r="F165" s="400">
        <v>12844</v>
      </c>
      <c r="G165" s="401"/>
      <c r="H165" s="15"/>
      <c r="I165" s="337"/>
      <c r="J165" s="15"/>
      <c r="K165" s="401"/>
      <c r="L165" s="315"/>
    </row>
    <row r="166" spans="1:12" ht="15.75" customHeight="1" x14ac:dyDescent="0.25">
      <c r="A166" s="433" t="s">
        <v>231</v>
      </c>
      <c r="B166" s="15"/>
      <c r="C166" s="401"/>
      <c r="D166" s="15"/>
      <c r="E166" s="401">
        <f t="shared" si="31"/>
        <v>0</v>
      </c>
      <c r="F166" s="401"/>
      <c r="G166" s="401"/>
      <c r="H166" s="15"/>
      <c r="I166" s="337"/>
      <c r="J166" s="15"/>
      <c r="K166" s="401"/>
      <c r="L166" s="315"/>
    </row>
    <row r="167" spans="1:12" ht="15.75" customHeight="1" x14ac:dyDescent="0.25">
      <c r="A167" s="424" t="s">
        <v>1104</v>
      </c>
      <c r="B167" s="15"/>
      <c r="C167" s="401"/>
      <c r="D167" s="15"/>
      <c r="E167" s="401">
        <f>SUM(B167:D167)</f>
        <v>0</v>
      </c>
      <c r="F167" s="401"/>
      <c r="G167" s="400">
        <v>1000</v>
      </c>
      <c r="H167" s="15"/>
      <c r="I167" s="337"/>
      <c r="J167" s="15"/>
      <c r="K167" s="401"/>
      <c r="L167" s="315"/>
    </row>
    <row r="168" spans="1:12" ht="15.75" customHeight="1" x14ac:dyDescent="0.25">
      <c r="A168" s="431" t="s">
        <v>188</v>
      </c>
      <c r="B168" s="322">
        <f t="shared" ref="B168:D168" si="32">SUM(B160:B167)</f>
        <v>34027</v>
      </c>
      <c r="C168" s="405">
        <f t="shared" si="32"/>
        <v>19723</v>
      </c>
      <c r="D168" s="322">
        <f t="shared" si="32"/>
        <v>0</v>
      </c>
      <c r="E168" s="405">
        <f t="shared" si="31"/>
        <v>53750</v>
      </c>
      <c r="F168" s="405">
        <f t="shared" ref="F168:L168" si="33">SUM(F160:F167)</f>
        <v>12844</v>
      </c>
      <c r="G168" s="405">
        <f t="shared" si="33"/>
        <v>1000</v>
      </c>
      <c r="H168" s="322">
        <f t="shared" si="33"/>
        <v>0</v>
      </c>
      <c r="I168" s="340">
        <f t="shared" si="33"/>
        <v>0</v>
      </c>
      <c r="J168" s="322">
        <f t="shared" si="33"/>
        <v>0</v>
      </c>
      <c r="K168" s="405">
        <f t="shared" si="33"/>
        <v>0</v>
      </c>
      <c r="L168" s="387">
        <f t="shared" si="33"/>
        <v>0</v>
      </c>
    </row>
    <row r="169" spans="1:12" ht="15.75" customHeight="1" x14ac:dyDescent="0.25">
      <c r="A169" s="432" t="s">
        <v>123</v>
      </c>
      <c r="B169" s="112">
        <v>19299</v>
      </c>
      <c r="C169" s="404">
        <v>1167</v>
      </c>
      <c r="D169" s="112"/>
      <c r="E169" s="404">
        <f t="shared" ref="E169:E177" si="34">SUM(B169:D169)</f>
        <v>20466</v>
      </c>
      <c r="F169" s="411"/>
      <c r="G169" s="411"/>
      <c r="H169" s="90"/>
      <c r="I169" s="339"/>
      <c r="J169" s="90"/>
      <c r="K169" s="411"/>
      <c r="L169" s="388"/>
    </row>
    <row r="170" spans="1:12" ht="15.75" customHeight="1" x14ac:dyDescent="0.25">
      <c r="A170" s="424" t="s">
        <v>230</v>
      </c>
      <c r="B170" s="45"/>
      <c r="C170" s="400">
        <v>422</v>
      </c>
      <c r="D170" s="45"/>
      <c r="E170" s="400">
        <f t="shared" si="34"/>
        <v>422</v>
      </c>
      <c r="F170" s="401"/>
      <c r="G170" s="401"/>
      <c r="H170" s="15"/>
      <c r="I170" s="337"/>
      <c r="J170" s="15"/>
      <c r="K170" s="401"/>
      <c r="L170" s="315"/>
    </row>
    <row r="171" spans="1:12" ht="15.75" customHeight="1" x14ac:dyDescent="0.25">
      <c r="A171" s="424" t="s">
        <v>229</v>
      </c>
      <c r="B171" s="45"/>
      <c r="C171" s="400">
        <v>20354</v>
      </c>
      <c r="D171" s="45"/>
      <c r="E171" s="400">
        <f t="shared" si="34"/>
        <v>20354</v>
      </c>
      <c r="F171" s="401"/>
      <c r="G171" s="401"/>
      <c r="H171" s="15"/>
      <c r="I171" s="337"/>
      <c r="J171" s="15"/>
      <c r="K171" s="401"/>
      <c r="L171" s="315"/>
    </row>
    <row r="172" spans="1:12" ht="15.75" customHeight="1" x14ac:dyDescent="0.25">
      <c r="A172" s="424" t="s">
        <v>98</v>
      </c>
      <c r="B172" s="45">
        <v>53398</v>
      </c>
      <c r="C172" s="400">
        <v>10390</v>
      </c>
      <c r="D172" s="45"/>
      <c r="E172" s="400">
        <f t="shared" si="34"/>
        <v>63788</v>
      </c>
      <c r="F172" s="401"/>
      <c r="G172" s="401"/>
      <c r="H172" s="15"/>
      <c r="I172" s="337"/>
      <c r="J172" s="15"/>
      <c r="K172" s="401"/>
      <c r="L172" s="315"/>
    </row>
    <row r="173" spans="1:12" ht="15.75" customHeight="1" x14ac:dyDescent="0.25">
      <c r="A173" s="424" t="s">
        <v>272</v>
      </c>
      <c r="B173" s="45"/>
      <c r="C173" s="400">
        <v>27004</v>
      </c>
      <c r="D173" s="45"/>
      <c r="E173" s="400">
        <f t="shared" si="34"/>
        <v>27004</v>
      </c>
      <c r="F173" s="401"/>
      <c r="G173" s="401"/>
      <c r="H173" s="15"/>
      <c r="I173" s="337"/>
      <c r="J173" s="15"/>
      <c r="K173" s="401"/>
      <c r="L173" s="315"/>
    </row>
    <row r="174" spans="1:12" ht="15.75" customHeight="1" x14ac:dyDescent="0.25">
      <c r="A174" s="424" t="s">
        <v>271</v>
      </c>
      <c r="B174" s="45">
        <v>1008</v>
      </c>
      <c r="C174" s="400">
        <v>1853</v>
      </c>
      <c r="D174" s="45"/>
      <c r="E174" s="400">
        <f t="shared" si="34"/>
        <v>2861</v>
      </c>
      <c r="F174" s="400"/>
      <c r="G174" s="401"/>
      <c r="H174" s="15"/>
      <c r="I174" s="337"/>
      <c r="J174" s="15"/>
      <c r="K174" s="401"/>
      <c r="L174" s="315"/>
    </row>
    <row r="175" spans="1:12" ht="15.75" customHeight="1" x14ac:dyDescent="0.25">
      <c r="A175" s="424" t="s">
        <v>234</v>
      </c>
      <c r="B175" s="45">
        <v>187</v>
      </c>
      <c r="C175" s="400"/>
      <c r="D175" s="45"/>
      <c r="E175" s="400">
        <f t="shared" si="34"/>
        <v>187</v>
      </c>
      <c r="F175" s="400">
        <v>7724</v>
      </c>
      <c r="G175" s="401"/>
      <c r="H175" s="15"/>
      <c r="I175" s="337"/>
      <c r="J175" s="15"/>
      <c r="K175" s="401"/>
      <c r="L175" s="315"/>
    </row>
    <row r="176" spans="1:12" ht="15.75" customHeight="1" x14ac:dyDescent="0.25">
      <c r="A176" s="424" t="s">
        <v>64</v>
      </c>
      <c r="B176" s="45"/>
      <c r="C176" s="400">
        <v>789</v>
      </c>
      <c r="D176" s="45"/>
      <c r="E176" s="400">
        <f t="shared" si="34"/>
        <v>789</v>
      </c>
      <c r="F176" s="400"/>
      <c r="G176" s="401"/>
      <c r="H176" s="15"/>
      <c r="I176" s="337"/>
      <c r="J176" s="15"/>
      <c r="K176" s="401"/>
      <c r="L176" s="315"/>
    </row>
    <row r="177" spans="1:12" ht="15.75" customHeight="1" x14ac:dyDescent="0.25">
      <c r="A177" s="431" t="s">
        <v>188</v>
      </c>
      <c r="B177" s="322">
        <f>SUM(B169:B176)</f>
        <v>73892</v>
      </c>
      <c r="C177" s="405">
        <f>SUM(C169:C176)</f>
        <v>61979</v>
      </c>
      <c r="D177" s="322">
        <f>SUM(D169:D176)</f>
        <v>0</v>
      </c>
      <c r="E177" s="405">
        <f t="shared" si="34"/>
        <v>135871</v>
      </c>
      <c r="F177" s="405">
        <f t="shared" ref="F177:L177" si="35">SUM(F169:F176)</f>
        <v>7724</v>
      </c>
      <c r="G177" s="405">
        <f t="shared" si="35"/>
        <v>0</v>
      </c>
      <c r="H177" s="322">
        <f t="shared" si="35"/>
        <v>0</v>
      </c>
      <c r="I177" s="340">
        <f t="shared" si="35"/>
        <v>0</v>
      </c>
      <c r="J177" s="322">
        <f t="shared" si="35"/>
        <v>0</v>
      </c>
      <c r="K177" s="405">
        <f t="shared" si="35"/>
        <v>0</v>
      </c>
      <c r="L177" s="387">
        <f t="shared" si="35"/>
        <v>0</v>
      </c>
    </row>
    <row r="178" spans="1:12" ht="15.75" customHeight="1" x14ac:dyDescent="0.25">
      <c r="A178" s="423" t="s">
        <v>124</v>
      </c>
      <c r="B178" s="45">
        <v>26065</v>
      </c>
      <c r="C178" s="400">
        <v>1164</v>
      </c>
      <c r="D178" s="45"/>
      <c r="E178" s="400">
        <f t="shared" ref="E178:E185" si="36">SUM(B178:D178)</f>
        <v>27229</v>
      </c>
      <c r="F178" s="401"/>
      <c r="G178" s="401"/>
      <c r="H178" s="15"/>
      <c r="I178" s="337"/>
      <c r="J178" s="15"/>
      <c r="K178" s="401"/>
      <c r="L178" s="315"/>
    </row>
    <row r="179" spans="1:12" ht="15.75" customHeight="1" x14ac:dyDescent="0.25">
      <c r="A179" s="424" t="s">
        <v>230</v>
      </c>
      <c r="B179" s="45"/>
      <c r="C179" s="400">
        <v>8165</v>
      </c>
      <c r="D179" s="45"/>
      <c r="E179" s="400">
        <f t="shared" si="36"/>
        <v>8165</v>
      </c>
      <c r="F179" s="401"/>
      <c r="G179" s="401"/>
      <c r="H179" s="15"/>
      <c r="I179" s="337"/>
      <c r="J179" s="15"/>
      <c r="K179" s="401"/>
      <c r="L179" s="315"/>
    </row>
    <row r="180" spans="1:12" ht="15.75" customHeight="1" x14ac:dyDescent="0.25">
      <c r="A180" s="424" t="s">
        <v>270</v>
      </c>
      <c r="B180" s="15"/>
      <c r="C180" s="400">
        <v>29494</v>
      </c>
      <c r="D180" s="45"/>
      <c r="E180" s="400">
        <f t="shared" si="36"/>
        <v>29494</v>
      </c>
      <c r="F180" s="401"/>
      <c r="G180" s="401"/>
      <c r="H180" s="15"/>
      <c r="I180" s="337"/>
      <c r="J180" s="15"/>
      <c r="K180" s="401"/>
      <c r="L180" s="315"/>
    </row>
    <row r="181" spans="1:12" ht="16.5" customHeight="1" x14ac:dyDescent="0.25">
      <c r="A181" s="424" t="s">
        <v>98</v>
      </c>
      <c r="B181" s="45">
        <v>30824</v>
      </c>
      <c r="C181" s="400">
        <v>14032</v>
      </c>
      <c r="D181" s="45"/>
      <c r="E181" s="400">
        <f t="shared" si="36"/>
        <v>44856</v>
      </c>
      <c r="F181" s="401"/>
      <c r="G181" s="401"/>
      <c r="H181" s="15"/>
      <c r="I181" s="337"/>
      <c r="J181" s="15"/>
      <c r="K181" s="401"/>
      <c r="L181" s="315"/>
    </row>
    <row r="182" spans="1:12" ht="15.75" customHeight="1" x14ac:dyDescent="0.25">
      <c r="A182" s="424" t="s">
        <v>64</v>
      </c>
      <c r="B182" s="45"/>
      <c r="C182" s="400">
        <v>1333</v>
      </c>
      <c r="D182" s="45"/>
      <c r="E182" s="400">
        <f t="shared" si="36"/>
        <v>1333</v>
      </c>
      <c r="F182" s="401"/>
      <c r="G182" s="471"/>
      <c r="H182" s="72"/>
      <c r="I182" s="337"/>
      <c r="J182" s="15"/>
      <c r="K182" s="401"/>
      <c r="L182" s="315"/>
    </row>
    <row r="183" spans="1:12" ht="15.75" customHeight="1" x14ac:dyDescent="0.25">
      <c r="A183" s="424" t="s">
        <v>271</v>
      </c>
      <c r="B183" s="45">
        <v>1051</v>
      </c>
      <c r="C183" s="400">
        <v>1318</v>
      </c>
      <c r="D183" s="45"/>
      <c r="E183" s="400">
        <f t="shared" si="36"/>
        <v>2369</v>
      </c>
      <c r="F183" s="401"/>
      <c r="G183" s="401"/>
      <c r="H183" s="15"/>
      <c r="I183" s="337"/>
      <c r="J183" s="15"/>
      <c r="K183" s="401"/>
      <c r="L183" s="315"/>
    </row>
    <row r="184" spans="1:12" ht="15.75" customHeight="1" x14ac:dyDescent="0.25">
      <c r="A184" s="424" t="s">
        <v>272</v>
      </c>
      <c r="B184" s="45"/>
      <c r="C184" s="400">
        <v>1495</v>
      </c>
      <c r="D184" s="45"/>
      <c r="E184" s="400">
        <f t="shared" si="36"/>
        <v>1495</v>
      </c>
      <c r="F184" s="401"/>
      <c r="G184" s="401"/>
      <c r="H184" s="15"/>
      <c r="I184" s="337"/>
      <c r="J184" s="15"/>
      <c r="K184" s="401"/>
      <c r="L184" s="315"/>
    </row>
    <row r="185" spans="1:12" ht="15.75" customHeight="1" x14ac:dyDescent="0.25">
      <c r="A185" s="424" t="s">
        <v>277</v>
      </c>
      <c r="B185" s="45">
        <v>14237</v>
      </c>
      <c r="C185" s="400">
        <v>4230</v>
      </c>
      <c r="D185" s="45"/>
      <c r="E185" s="400">
        <f t="shared" si="36"/>
        <v>18467</v>
      </c>
      <c r="F185" s="401"/>
      <c r="G185" s="401"/>
      <c r="H185" s="15"/>
      <c r="I185" s="337"/>
      <c r="J185" s="15"/>
      <c r="K185" s="401"/>
      <c r="L185" s="315"/>
    </row>
    <row r="186" spans="1:12" ht="15.75" customHeight="1" x14ac:dyDescent="0.25">
      <c r="A186" s="431" t="s">
        <v>188</v>
      </c>
      <c r="B186" s="322">
        <f>SUM(B178:B185)</f>
        <v>72177</v>
      </c>
      <c r="C186" s="405">
        <f>SUM(C178:C185)</f>
        <v>61231</v>
      </c>
      <c r="D186" s="322">
        <f>SUM(D178:D185)</f>
        <v>0</v>
      </c>
      <c r="E186" s="409">
        <f>SUM(B186:D186)</f>
        <v>133408</v>
      </c>
      <c r="F186" s="409">
        <f t="shared" ref="F186:L186" si="37">SUM(F178:F185)</f>
        <v>0</v>
      </c>
      <c r="G186" s="405">
        <f t="shared" si="37"/>
        <v>0</v>
      </c>
      <c r="H186" s="322">
        <f t="shared" si="37"/>
        <v>0</v>
      </c>
      <c r="I186" s="340">
        <f t="shared" si="37"/>
        <v>0</v>
      </c>
      <c r="J186" s="322">
        <f t="shared" si="37"/>
        <v>0</v>
      </c>
      <c r="K186" s="405">
        <f t="shared" si="37"/>
        <v>0</v>
      </c>
      <c r="L186" s="387">
        <f t="shared" si="37"/>
        <v>0</v>
      </c>
    </row>
    <row r="187" spans="1:12" ht="15.75" customHeight="1" x14ac:dyDescent="0.25">
      <c r="A187" s="432" t="s">
        <v>125</v>
      </c>
      <c r="B187" s="112">
        <v>25113</v>
      </c>
      <c r="C187" s="404">
        <v>757</v>
      </c>
      <c r="D187" s="112"/>
      <c r="E187" s="404">
        <f t="shared" ref="E187:E195" si="38">SUM(B187:D187)</f>
        <v>25870</v>
      </c>
      <c r="F187" s="411"/>
      <c r="G187" s="411"/>
      <c r="H187" s="90"/>
      <c r="I187" s="339"/>
      <c r="J187" s="90"/>
      <c r="K187" s="411"/>
      <c r="L187" s="388"/>
    </row>
    <row r="188" spans="1:12" ht="15.75" customHeight="1" x14ac:dyDescent="0.25">
      <c r="A188" s="424" t="s">
        <v>64</v>
      </c>
      <c r="B188" s="45"/>
      <c r="C188" s="400">
        <v>1546</v>
      </c>
      <c r="D188" s="45"/>
      <c r="E188" s="400">
        <f t="shared" si="38"/>
        <v>1546</v>
      </c>
      <c r="F188" s="401"/>
      <c r="G188" s="401"/>
      <c r="H188" s="15"/>
      <c r="I188" s="337"/>
      <c r="J188" s="15"/>
      <c r="K188" s="401"/>
      <c r="L188" s="315"/>
    </row>
    <row r="189" spans="1:12" ht="15.75" customHeight="1" x14ac:dyDescent="0.25">
      <c r="A189" s="424" t="s">
        <v>232</v>
      </c>
      <c r="B189" s="45">
        <v>51886</v>
      </c>
      <c r="C189" s="400">
        <v>14668</v>
      </c>
      <c r="D189" s="45"/>
      <c r="E189" s="400">
        <f t="shared" si="38"/>
        <v>66554</v>
      </c>
      <c r="F189" s="401"/>
      <c r="G189" s="401"/>
      <c r="H189" s="15"/>
      <c r="I189" s="337"/>
      <c r="J189" s="15"/>
      <c r="K189" s="401"/>
      <c r="L189" s="315"/>
    </row>
    <row r="190" spans="1:12" ht="15.75" customHeight="1" x14ac:dyDescent="0.25">
      <c r="A190" s="424" t="s">
        <v>279</v>
      </c>
      <c r="B190" s="45">
        <v>4746</v>
      </c>
      <c r="C190" s="400"/>
      <c r="D190" s="45"/>
      <c r="E190" s="400">
        <f t="shared" si="38"/>
        <v>4746</v>
      </c>
      <c r="F190" s="400">
        <v>12940</v>
      </c>
      <c r="G190" s="401"/>
      <c r="H190" s="15"/>
      <c r="I190" s="337"/>
      <c r="J190" s="15"/>
      <c r="K190" s="401"/>
      <c r="L190" s="315"/>
    </row>
    <row r="191" spans="1:12" ht="15.75" customHeight="1" x14ac:dyDescent="0.25">
      <c r="A191" s="424" t="s">
        <v>280</v>
      </c>
      <c r="B191" s="45">
        <v>757</v>
      </c>
      <c r="C191" s="400">
        <v>380</v>
      </c>
      <c r="D191" s="45"/>
      <c r="E191" s="400">
        <f t="shared" si="38"/>
        <v>1137</v>
      </c>
      <c r="F191" s="401"/>
      <c r="G191" s="401"/>
      <c r="H191" s="15"/>
      <c r="I191" s="337"/>
      <c r="J191" s="15"/>
      <c r="K191" s="401"/>
      <c r="L191" s="315"/>
    </row>
    <row r="192" spans="1:12" ht="15.75" customHeight="1" x14ac:dyDescent="0.25">
      <c r="A192" s="424" t="s">
        <v>281</v>
      </c>
      <c r="B192" s="45"/>
      <c r="C192" s="400">
        <v>1268</v>
      </c>
      <c r="D192" s="45"/>
      <c r="E192" s="400">
        <f t="shared" si="38"/>
        <v>1268</v>
      </c>
      <c r="F192" s="401"/>
      <c r="G192" s="401"/>
      <c r="H192" s="15"/>
      <c r="I192" s="337"/>
      <c r="J192" s="15"/>
      <c r="K192" s="401"/>
      <c r="L192" s="315"/>
    </row>
    <row r="193" spans="1:12" ht="15.75" customHeight="1" x14ac:dyDescent="0.25">
      <c r="A193" s="424" t="s">
        <v>230</v>
      </c>
      <c r="B193" s="15"/>
      <c r="C193" s="400">
        <v>16587</v>
      </c>
      <c r="D193" s="45"/>
      <c r="E193" s="400">
        <f t="shared" si="38"/>
        <v>16587</v>
      </c>
      <c r="F193" s="401"/>
      <c r="G193" s="401"/>
      <c r="H193" s="15"/>
      <c r="I193" s="337"/>
      <c r="J193" s="15"/>
      <c r="K193" s="401"/>
      <c r="L193" s="315"/>
    </row>
    <row r="194" spans="1:12" ht="15.75" customHeight="1" x14ac:dyDescent="0.25">
      <c r="A194" s="424" t="s">
        <v>270</v>
      </c>
      <c r="B194" s="15"/>
      <c r="C194" s="400">
        <v>15013</v>
      </c>
      <c r="D194" s="45"/>
      <c r="E194" s="400">
        <f t="shared" si="38"/>
        <v>15013</v>
      </c>
      <c r="F194" s="401"/>
      <c r="G194" s="401"/>
      <c r="H194" s="15"/>
      <c r="I194" s="337"/>
      <c r="J194" s="15"/>
      <c r="K194" s="401"/>
      <c r="L194" s="315"/>
    </row>
    <row r="195" spans="1:12" ht="15.75" customHeight="1" x14ac:dyDescent="0.25">
      <c r="A195" s="433" t="s">
        <v>231</v>
      </c>
      <c r="B195" s="15"/>
      <c r="C195" s="401"/>
      <c r="D195" s="15"/>
      <c r="E195" s="401">
        <f t="shared" si="38"/>
        <v>0</v>
      </c>
      <c r="F195" s="401"/>
      <c r="G195" s="401"/>
      <c r="H195" s="15"/>
      <c r="I195" s="337"/>
      <c r="J195" s="15"/>
      <c r="K195" s="401"/>
      <c r="L195" s="315"/>
    </row>
    <row r="196" spans="1:12" ht="30" x14ac:dyDescent="0.25">
      <c r="A196" s="439" t="s">
        <v>282</v>
      </c>
      <c r="B196" s="19"/>
      <c r="C196" s="415"/>
      <c r="D196" s="19"/>
      <c r="E196" s="401">
        <f t="shared" ref="E196" si="39">SUM(B196:D196)</f>
        <v>0</v>
      </c>
      <c r="F196" s="415"/>
      <c r="G196" s="441">
        <v>2000</v>
      </c>
      <c r="H196" s="2"/>
      <c r="I196" s="337"/>
      <c r="J196" s="15"/>
      <c r="K196" s="401"/>
      <c r="L196" s="315"/>
    </row>
    <row r="197" spans="1:12" ht="15.75" customHeight="1" x14ac:dyDescent="0.25">
      <c r="A197" s="431" t="s">
        <v>188</v>
      </c>
      <c r="B197" s="322">
        <f t="shared" ref="B197:D197" si="40">SUM(B187:B196)</f>
        <v>82502</v>
      </c>
      <c r="C197" s="405">
        <f t="shared" si="40"/>
        <v>50219</v>
      </c>
      <c r="D197" s="322">
        <f t="shared" si="40"/>
        <v>0</v>
      </c>
      <c r="E197" s="405">
        <f>SUM(B197:D197)</f>
        <v>132721</v>
      </c>
      <c r="F197" s="405">
        <f t="shared" ref="F197:L197" si="41">SUM(F187:F196)</f>
        <v>12940</v>
      </c>
      <c r="G197" s="405">
        <f t="shared" si="41"/>
        <v>2000</v>
      </c>
      <c r="H197" s="322">
        <f t="shared" si="41"/>
        <v>0</v>
      </c>
      <c r="I197" s="340">
        <f t="shared" si="41"/>
        <v>0</v>
      </c>
      <c r="J197" s="322">
        <f t="shared" si="41"/>
        <v>0</v>
      </c>
      <c r="K197" s="405">
        <f t="shared" si="41"/>
        <v>0</v>
      </c>
      <c r="L197" s="387">
        <f t="shared" si="41"/>
        <v>0</v>
      </c>
    </row>
    <row r="198" spans="1:12" ht="15.75" customHeight="1" x14ac:dyDescent="0.25">
      <c r="A198" s="432" t="s">
        <v>112</v>
      </c>
      <c r="B198" s="112">
        <v>27718</v>
      </c>
      <c r="C198" s="404">
        <v>3359</v>
      </c>
      <c r="D198" s="112"/>
      <c r="E198" s="404">
        <f t="shared" ref="E198:E205" si="42">SUM(B198:D198)</f>
        <v>31077</v>
      </c>
      <c r="F198" s="411"/>
      <c r="G198" s="411"/>
      <c r="H198" s="90"/>
      <c r="I198" s="339"/>
      <c r="J198" s="90"/>
      <c r="K198" s="411"/>
      <c r="L198" s="388"/>
    </row>
    <row r="199" spans="1:12" ht="15.75" customHeight="1" x14ac:dyDescent="0.25">
      <c r="A199" s="424" t="s">
        <v>64</v>
      </c>
      <c r="B199" s="45"/>
      <c r="C199" s="400">
        <v>1894</v>
      </c>
      <c r="D199" s="45"/>
      <c r="E199" s="400">
        <f t="shared" si="42"/>
        <v>1894</v>
      </c>
      <c r="F199" s="401"/>
      <c r="G199" s="401"/>
      <c r="H199" s="15"/>
      <c r="I199" s="337"/>
      <c r="J199" s="15"/>
      <c r="K199" s="401"/>
      <c r="L199" s="315"/>
    </row>
    <row r="200" spans="1:12" ht="15.75" customHeight="1" x14ac:dyDescent="0.25">
      <c r="A200" s="424" t="s">
        <v>232</v>
      </c>
      <c r="B200" s="45">
        <v>116405</v>
      </c>
      <c r="C200" s="400">
        <v>20108</v>
      </c>
      <c r="D200" s="45"/>
      <c r="E200" s="400">
        <f t="shared" si="42"/>
        <v>136513</v>
      </c>
      <c r="F200" s="401"/>
      <c r="G200" s="401"/>
      <c r="H200" s="15"/>
      <c r="I200" s="337"/>
      <c r="J200" s="15"/>
      <c r="K200" s="401"/>
      <c r="L200" s="315"/>
    </row>
    <row r="201" spans="1:12" ht="15.75" customHeight="1" x14ac:dyDescent="0.25">
      <c r="A201" s="424" t="s">
        <v>283</v>
      </c>
      <c r="B201" s="45">
        <v>2529</v>
      </c>
      <c r="C201" s="400"/>
      <c r="D201" s="45"/>
      <c r="E201" s="400">
        <f t="shared" si="42"/>
        <v>2529</v>
      </c>
      <c r="F201" s="400">
        <v>12880</v>
      </c>
      <c r="G201" s="401"/>
      <c r="H201" s="15"/>
      <c r="I201" s="337"/>
      <c r="J201" s="15"/>
      <c r="K201" s="401"/>
      <c r="L201" s="315"/>
    </row>
    <row r="202" spans="1:12" ht="15.75" customHeight="1" x14ac:dyDescent="0.25">
      <c r="A202" s="424" t="s">
        <v>284</v>
      </c>
      <c r="B202" s="45">
        <v>968</v>
      </c>
      <c r="C202" s="400">
        <v>618</v>
      </c>
      <c r="D202" s="45"/>
      <c r="E202" s="400">
        <f t="shared" si="42"/>
        <v>1586</v>
      </c>
      <c r="F202" s="401"/>
      <c r="G202" s="401"/>
      <c r="H202" s="15"/>
      <c r="I202" s="337"/>
      <c r="J202" s="15"/>
      <c r="K202" s="401"/>
      <c r="L202" s="315"/>
    </row>
    <row r="203" spans="1:12" ht="15.75" customHeight="1" x14ac:dyDescent="0.25">
      <c r="A203" s="424" t="s">
        <v>230</v>
      </c>
      <c r="B203" s="45"/>
      <c r="C203" s="400">
        <v>31247</v>
      </c>
      <c r="D203" s="45"/>
      <c r="E203" s="400">
        <f t="shared" si="42"/>
        <v>31247</v>
      </c>
      <c r="F203" s="401"/>
      <c r="G203" s="401"/>
      <c r="H203" s="15"/>
      <c r="I203" s="337"/>
      <c r="J203" s="15"/>
      <c r="K203" s="401"/>
      <c r="L203" s="315"/>
    </row>
    <row r="204" spans="1:12" ht="15.75" customHeight="1" x14ac:dyDescent="0.25">
      <c r="A204" s="424" t="s">
        <v>270</v>
      </c>
      <c r="B204" s="45"/>
      <c r="C204" s="400">
        <v>118033</v>
      </c>
      <c r="D204" s="45"/>
      <c r="E204" s="400">
        <f>SUM(B204:D204)</f>
        <v>118033</v>
      </c>
      <c r="F204" s="401"/>
      <c r="G204" s="401"/>
      <c r="H204" s="15"/>
      <c r="I204" s="337"/>
      <c r="J204" s="15"/>
      <c r="K204" s="401"/>
      <c r="L204" s="315"/>
    </row>
    <row r="205" spans="1:12" ht="15.75" customHeight="1" x14ac:dyDescent="0.25">
      <c r="A205" s="433" t="s">
        <v>231</v>
      </c>
      <c r="B205" s="15"/>
      <c r="C205" s="401"/>
      <c r="D205" s="15"/>
      <c r="E205" s="401">
        <f t="shared" si="42"/>
        <v>0</v>
      </c>
      <c r="F205" s="401"/>
      <c r="G205" s="401"/>
      <c r="H205" s="15"/>
      <c r="I205" s="337"/>
      <c r="J205" s="15"/>
      <c r="K205" s="401"/>
      <c r="L205" s="315"/>
    </row>
    <row r="206" spans="1:12" ht="15.75" customHeight="1" x14ac:dyDescent="0.25">
      <c r="A206" s="424" t="s">
        <v>286</v>
      </c>
      <c r="B206" s="14"/>
      <c r="C206" s="402"/>
      <c r="D206" s="14"/>
      <c r="E206" s="402">
        <f t="shared" ref="E206" si="43">SUM(B206:D206)</f>
        <v>0</v>
      </c>
      <c r="F206" s="402"/>
      <c r="G206" s="469">
        <v>1500</v>
      </c>
      <c r="H206" s="38"/>
      <c r="I206" s="351"/>
      <c r="J206" s="38"/>
      <c r="K206" s="469"/>
      <c r="L206" s="176"/>
    </row>
    <row r="207" spans="1:12" ht="15.75" customHeight="1" x14ac:dyDescent="0.25">
      <c r="A207" s="431" t="s">
        <v>188</v>
      </c>
      <c r="B207" s="322">
        <f>SUM(B198:B206)</f>
        <v>147620</v>
      </c>
      <c r="C207" s="405">
        <f>SUM(C198:C206)</f>
        <v>175259</v>
      </c>
      <c r="D207" s="322">
        <f>SUM(D198:D206)</f>
        <v>0</v>
      </c>
      <c r="E207" s="405">
        <f>SUM(B207:D207)</f>
        <v>322879</v>
      </c>
      <c r="F207" s="405">
        <f t="shared" ref="F207:L207" si="44">SUM(F198:F206)</f>
        <v>12880</v>
      </c>
      <c r="G207" s="405">
        <f t="shared" si="44"/>
        <v>1500</v>
      </c>
      <c r="H207" s="322">
        <f t="shared" si="44"/>
        <v>0</v>
      </c>
      <c r="I207" s="340">
        <f t="shared" si="44"/>
        <v>0</v>
      </c>
      <c r="J207" s="322">
        <f t="shared" si="44"/>
        <v>0</v>
      </c>
      <c r="K207" s="405">
        <f t="shared" si="44"/>
        <v>0</v>
      </c>
      <c r="L207" s="387">
        <f t="shared" si="44"/>
        <v>0</v>
      </c>
    </row>
    <row r="208" spans="1:12" ht="15.75" customHeight="1" x14ac:dyDescent="0.25">
      <c r="A208" s="432" t="s">
        <v>114</v>
      </c>
      <c r="B208" s="112">
        <v>23169</v>
      </c>
      <c r="C208" s="404">
        <v>2275</v>
      </c>
      <c r="D208" s="112"/>
      <c r="E208" s="404">
        <f t="shared" ref="E208:E217" si="45">SUM(B208:D208)</f>
        <v>25444</v>
      </c>
      <c r="F208" s="411"/>
      <c r="G208" s="411"/>
      <c r="H208" s="90"/>
      <c r="I208" s="339"/>
      <c r="J208" s="90"/>
      <c r="K208" s="411"/>
      <c r="L208" s="388"/>
    </row>
    <row r="209" spans="1:12" ht="15.75" customHeight="1" x14ac:dyDescent="0.25">
      <c r="A209" s="424" t="s">
        <v>64</v>
      </c>
      <c r="B209" s="45"/>
      <c r="C209" s="400">
        <v>1871</v>
      </c>
      <c r="D209" s="45"/>
      <c r="E209" s="400">
        <f t="shared" si="45"/>
        <v>1871</v>
      </c>
      <c r="F209" s="401"/>
      <c r="G209" s="401"/>
      <c r="H209" s="15"/>
      <c r="I209" s="337"/>
      <c r="J209" s="15"/>
      <c r="K209" s="401"/>
      <c r="L209" s="315"/>
    </row>
    <row r="210" spans="1:12" ht="15.75" customHeight="1" x14ac:dyDescent="0.25">
      <c r="A210" s="424" t="s">
        <v>232</v>
      </c>
      <c r="B210" s="45">
        <v>80189</v>
      </c>
      <c r="C210" s="400">
        <v>32930</v>
      </c>
      <c r="D210" s="45"/>
      <c r="E210" s="400">
        <f t="shared" si="45"/>
        <v>113119</v>
      </c>
      <c r="F210" s="401"/>
      <c r="G210" s="401"/>
      <c r="H210" s="15"/>
      <c r="I210" s="337"/>
      <c r="J210" s="15"/>
      <c r="K210" s="401"/>
      <c r="L210" s="315"/>
    </row>
    <row r="211" spans="1:12" ht="15.75" customHeight="1" x14ac:dyDescent="0.25">
      <c r="A211" s="424" t="s">
        <v>287</v>
      </c>
      <c r="B211" s="45">
        <v>7119</v>
      </c>
      <c r="C211" s="400"/>
      <c r="D211" s="45"/>
      <c r="E211" s="400">
        <f>SUM(B211:D211)</f>
        <v>7119</v>
      </c>
      <c r="F211" s="400">
        <v>12880</v>
      </c>
      <c r="G211" s="401"/>
      <c r="H211" s="15"/>
      <c r="I211" s="337"/>
      <c r="J211" s="15"/>
      <c r="K211" s="401"/>
      <c r="L211" s="315"/>
    </row>
    <row r="212" spans="1:12" ht="15.75" customHeight="1" x14ac:dyDescent="0.25">
      <c r="A212" s="424" t="s">
        <v>288</v>
      </c>
      <c r="B212" s="45">
        <v>840</v>
      </c>
      <c r="C212" s="400">
        <v>1783</v>
      </c>
      <c r="D212" s="45"/>
      <c r="E212" s="400">
        <f t="shared" si="45"/>
        <v>2623</v>
      </c>
      <c r="F212" s="401"/>
      <c r="G212" s="401"/>
      <c r="H212" s="15"/>
      <c r="I212" s="337"/>
      <c r="J212" s="15"/>
      <c r="K212" s="401"/>
      <c r="L212" s="315"/>
    </row>
    <row r="213" spans="1:12" ht="15.75" customHeight="1" x14ac:dyDescent="0.25">
      <c r="A213" s="424" t="s">
        <v>289</v>
      </c>
      <c r="B213" s="45">
        <v>752</v>
      </c>
      <c r="C213" s="400">
        <v>992</v>
      </c>
      <c r="D213" s="45"/>
      <c r="E213" s="400">
        <f t="shared" si="45"/>
        <v>1744</v>
      </c>
      <c r="F213" s="401"/>
      <c r="G213" s="401"/>
      <c r="H213" s="15"/>
      <c r="I213" s="337"/>
      <c r="J213" s="15"/>
      <c r="K213" s="401"/>
      <c r="L213" s="315"/>
    </row>
    <row r="214" spans="1:12" ht="15.75" customHeight="1" x14ac:dyDescent="0.25">
      <c r="A214" s="424" t="s">
        <v>290</v>
      </c>
      <c r="B214" s="45"/>
      <c r="C214" s="400">
        <v>3237</v>
      </c>
      <c r="D214" s="45"/>
      <c r="E214" s="400">
        <f t="shared" si="45"/>
        <v>3237</v>
      </c>
      <c r="F214" s="401"/>
      <c r="G214" s="401"/>
      <c r="H214" s="15"/>
      <c r="I214" s="337"/>
      <c r="J214" s="15"/>
      <c r="K214" s="401"/>
      <c r="L214" s="315"/>
    </row>
    <row r="215" spans="1:12" ht="15.75" customHeight="1" x14ac:dyDescent="0.25">
      <c r="A215" s="424" t="s">
        <v>230</v>
      </c>
      <c r="B215" s="45"/>
      <c r="C215" s="400">
        <v>18039</v>
      </c>
      <c r="D215" s="45"/>
      <c r="E215" s="400">
        <f t="shared" si="45"/>
        <v>18039</v>
      </c>
      <c r="F215" s="401"/>
      <c r="G215" s="401"/>
      <c r="H215" s="15"/>
      <c r="I215" s="337"/>
      <c r="J215" s="15"/>
      <c r="K215" s="401"/>
      <c r="L215" s="315"/>
    </row>
    <row r="216" spans="1:12" ht="15.75" customHeight="1" x14ac:dyDescent="0.25">
      <c r="A216" s="424" t="s">
        <v>270</v>
      </c>
      <c r="B216" s="45"/>
      <c r="C216" s="400">
        <v>13058</v>
      </c>
      <c r="D216" s="45"/>
      <c r="E216" s="400">
        <f>SUM(B216:D216)</f>
        <v>13058</v>
      </c>
      <c r="F216" s="401"/>
      <c r="G216" s="401"/>
      <c r="H216" s="15"/>
      <c r="I216" s="337"/>
      <c r="J216" s="15"/>
      <c r="K216" s="401"/>
      <c r="L216" s="315"/>
    </row>
    <row r="217" spans="1:12" ht="15.75" customHeight="1" x14ac:dyDescent="0.25">
      <c r="A217" s="433" t="s">
        <v>231</v>
      </c>
      <c r="B217" s="15"/>
      <c r="C217" s="401"/>
      <c r="D217" s="15"/>
      <c r="E217" s="401">
        <f t="shared" si="45"/>
        <v>0</v>
      </c>
      <c r="F217" s="401"/>
      <c r="G217" s="401"/>
      <c r="H217" s="15"/>
      <c r="I217" s="337"/>
      <c r="J217" s="15"/>
      <c r="K217" s="401"/>
      <c r="L217" s="315"/>
    </row>
    <row r="218" spans="1:12" ht="30" x14ac:dyDescent="0.25">
      <c r="A218" s="440" t="s">
        <v>291</v>
      </c>
      <c r="B218" s="15"/>
      <c r="C218" s="401"/>
      <c r="D218" s="15"/>
      <c r="E218" s="401">
        <f t="shared" ref="E218:E220" si="46">SUM(B218:D218)</f>
        <v>0</v>
      </c>
      <c r="F218" s="401"/>
      <c r="G218" s="400">
        <v>750</v>
      </c>
      <c r="H218" s="15"/>
      <c r="I218" s="337"/>
      <c r="J218" s="15"/>
      <c r="K218" s="401"/>
      <c r="L218" s="315"/>
    </row>
    <row r="219" spans="1:12" ht="15.75" customHeight="1" x14ac:dyDescent="0.25">
      <c r="A219" s="424" t="s">
        <v>1105</v>
      </c>
      <c r="B219" s="15"/>
      <c r="C219" s="401"/>
      <c r="D219" s="15"/>
      <c r="E219" s="401">
        <f t="shared" si="46"/>
        <v>0</v>
      </c>
      <c r="F219" s="401"/>
      <c r="G219" s="400">
        <v>450</v>
      </c>
      <c r="H219" s="15"/>
      <c r="I219" s="337"/>
      <c r="J219" s="15"/>
      <c r="K219" s="401"/>
      <c r="L219" s="315"/>
    </row>
    <row r="220" spans="1:12" ht="15.75" customHeight="1" x14ac:dyDescent="0.25">
      <c r="A220" s="431" t="s">
        <v>188</v>
      </c>
      <c r="B220" s="322">
        <f>SUM(B208:B219)</f>
        <v>112069</v>
      </c>
      <c r="C220" s="405">
        <f>SUM(C208:C219)</f>
        <v>74185</v>
      </c>
      <c r="D220" s="322">
        <f>SUM(D208:D219)</f>
        <v>0</v>
      </c>
      <c r="E220" s="405">
        <f t="shared" si="46"/>
        <v>186254</v>
      </c>
      <c r="F220" s="405">
        <f t="shared" ref="F220:L220" si="47">SUM(F208:F219)</f>
        <v>12880</v>
      </c>
      <c r="G220" s="405">
        <f t="shared" si="47"/>
        <v>1200</v>
      </c>
      <c r="H220" s="322">
        <f t="shared" si="47"/>
        <v>0</v>
      </c>
      <c r="I220" s="340">
        <f t="shared" si="47"/>
        <v>0</v>
      </c>
      <c r="J220" s="322">
        <f t="shared" si="47"/>
        <v>0</v>
      </c>
      <c r="K220" s="405">
        <f t="shared" si="47"/>
        <v>0</v>
      </c>
      <c r="L220" s="387">
        <f t="shared" si="47"/>
        <v>0</v>
      </c>
    </row>
    <row r="221" spans="1:12" ht="15.75" customHeight="1" x14ac:dyDescent="0.25">
      <c r="A221" s="432" t="s">
        <v>118</v>
      </c>
      <c r="B221" s="112">
        <v>27985</v>
      </c>
      <c r="C221" s="404">
        <v>4904</v>
      </c>
      <c r="D221" s="112"/>
      <c r="E221" s="404">
        <f t="shared" ref="E221:E227" si="48">SUM(B221:D221)</f>
        <v>32889</v>
      </c>
      <c r="F221" s="411"/>
      <c r="G221" s="411"/>
      <c r="H221" s="90"/>
      <c r="I221" s="339"/>
      <c r="J221" s="90"/>
      <c r="K221" s="411"/>
      <c r="L221" s="388"/>
    </row>
    <row r="222" spans="1:12" ht="15.75" customHeight="1" x14ac:dyDescent="0.25">
      <c r="A222" s="424" t="s">
        <v>64</v>
      </c>
      <c r="B222" s="45"/>
      <c r="C222" s="400">
        <v>1393</v>
      </c>
      <c r="D222" s="45"/>
      <c r="E222" s="400">
        <f t="shared" si="48"/>
        <v>1393</v>
      </c>
      <c r="F222" s="401"/>
      <c r="G222" s="401"/>
      <c r="H222" s="15"/>
      <c r="I222" s="337"/>
      <c r="J222" s="15"/>
      <c r="K222" s="401"/>
      <c r="L222" s="315"/>
    </row>
    <row r="223" spans="1:12" ht="15.75" customHeight="1" x14ac:dyDescent="0.25">
      <c r="A223" s="424" t="s">
        <v>232</v>
      </c>
      <c r="B223" s="45">
        <v>54768</v>
      </c>
      <c r="C223" s="400">
        <v>12603</v>
      </c>
      <c r="D223" s="45"/>
      <c r="E223" s="400">
        <f t="shared" si="48"/>
        <v>67371</v>
      </c>
      <c r="F223" s="401"/>
      <c r="G223" s="401"/>
      <c r="H223" s="15"/>
      <c r="I223" s="337"/>
      <c r="J223" s="15"/>
      <c r="K223" s="401"/>
      <c r="L223" s="315"/>
    </row>
    <row r="224" spans="1:12" ht="15.75" customHeight="1" x14ac:dyDescent="0.25">
      <c r="A224" s="424" t="s">
        <v>292</v>
      </c>
      <c r="B224" s="45">
        <v>8338</v>
      </c>
      <c r="C224" s="400">
        <v>1113</v>
      </c>
      <c r="D224" s="45"/>
      <c r="E224" s="400">
        <f>SUM(B224:D224)</f>
        <v>9451</v>
      </c>
      <c r="F224" s="400">
        <v>12904</v>
      </c>
      <c r="G224" s="401"/>
      <c r="H224" s="15"/>
      <c r="I224" s="337"/>
      <c r="J224" s="15"/>
      <c r="K224" s="401"/>
      <c r="L224" s="315"/>
    </row>
    <row r="225" spans="1:12" ht="15.75" customHeight="1" x14ac:dyDescent="0.25">
      <c r="A225" s="424" t="s">
        <v>293</v>
      </c>
      <c r="B225" s="45">
        <v>1008</v>
      </c>
      <c r="C225" s="400">
        <v>591</v>
      </c>
      <c r="D225" s="45"/>
      <c r="E225" s="400">
        <f t="shared" si="48"/>
        <v>1599</v>
      </c>
      <c r="F225" s="401"/>
      <c r="G225" s="401"/>
      <c r="H225" s="15"/>
      <c r="I225" s="337"/>
      <c r="J225" s="15"/>
      <c r="K225" s="401"/>
      <c r="L225" s="315"/>
    </row>
    <row r="226" spans="1:12" ht="15.75" customHeight="1" x14ac:dyDescent="0.25">
      <c r="A226" s="424" t="s">
        <v>294</v>
      </c>
      <c r="B226" s="45"/>
      <c r="C226" s="400">
        <v>6275</v>
      </c>
      <c r="D226" s="45"/>
      <c r="E226" s="400">
        <f t="shared" si="48"/>
        <v>6275</v>
      </c>
      <c r="F226" s="401"/>
      <c r="G226" s="401"/>
      <c r="H226" s="15"/>
      <c r="I226" s="337"/>
      <c r="J226" s="15"/>
      <c r="K226" s="401"/>
      <c r="L226" s="315"/>
    </row>
    <row r="227" spans="1:12" ht="15.75" customHeight="1" x14ac:dyDescent="0.25">
      <c r="A227" s="424" t="s">
        <v>230</v>
      </c>
      <c r="B227" s="45"/>
      <c r="C227" s="400">
        <v>47710</v>
      </c>
      <c r="D227" s="45"/>
      <c r="E227" s="400">
        <f t="shared" si="48"/>
        <v>47710</v>
      </c>
      <c r="F227" s="401"/>
      <c r="G227" s="401"/>
      <c r="H227" s="15"/>
      <c r="I227" s="337"/>
      <c r="J227" s="15"/>
      <c r="K227" s="401"/>
      <c r="L227" s="315"/>
    </row>
    <row r="228" spans="1:12" ht="15.75" customHeight="1" x14ac:dyDescent="0.25">
      <c r="A228" s="424" t="s">
        <v>270</v>
      </c>
      <c r="B228" s="15"/>
      <c r="C228" s="400">
        <v>24478</v>
      </c>
      <c r="D228" s="45"/>
      <c r="E228" s="400">
        <f>SUM(B228:D228)</f>
        <v>24478</v>
      </c>
      <c r="F228" s="401"/>
      <c r="G228" s="401"/>
      <c r="H228" s="15"/>
      <c r="I228" s="337"/>
      <c r="J228" s="15"/>
      <c r="K228" s="401"/>
      <c r="L228" s="315"/>
    </row>
    <row r="229" spans="1:12" ht="15.75" customHeight="1" x14ac:dyDescent="0.25">
      <c r="A229" s="433" t="s">
        <v>231</v>
      </c>
      <c r="B229" s="15"/>
      <c r="C229" s="401"/>
      <c r="D229" s="15"/>
      <c r="E229" s="401"/>
      <c r="F229" s="401"/>
      <c r="G229" s="469"/>
      <c r="H229" s="15"/>
      <c r="I229" s="337"/>
      <c r="J229" s="15"/>
      <c r="K229" s="401"/>
      <c r="L229" s="315"/>
    </row>
    <row r="230" spans="1:12" ht="30" x14ac:dyDescent="0.25">
      <c r="A230" s="440" t="s">
        <v>295</v>
      </c>
      <c r="B230" s="14"/>
      <c r="C230" s="402"/>
      <c r="D230" s="14"/>
      <c r="E230" s="402">
        <f>SUM(B230:D230)</f>
        <v>0</v>
      </c>
      <c r="F230" s="402"/>
      <c r="G230" s="469">
        <v>3750</v>
      </c>
      <c r="H230" s="38"/>
      <c r="I230" s="351"/>
      <c r="J230" s="38"/>
      <c r="K230" s="469"/>
      <c r="L230" s="176"/>
    </row>
    <row r="231" spans="1:12" ht="15.75" customHeight="1" x14ac:dyDescent="0.25">
      <c r="A231" s="431" t="s">
        <v>188</v>
      </c>
      <c r="B231" s="322">
        <f>SUM(B221:B230)</f>
        <v>92099</v>
      </c>
      <c r="C231" s="405">
        <f>SUM(C221:C230)</f>
        <v>99067</v>
      </c>
      <c r="D231" s="322">
        <f>SUM(D221:D230)</f>
        <v>0</v>
      </c>
      <c r="E231" s="405">
        <f>SUM(B231:D231)</f>
        <v>191166</v>
      </c>
      <c r="F231" s="405">
        <f t="shared" ref="F231:L231" si="49">SUM(F221:F230)</f>
        <v>12904</v>
      </c>
      <c r="G231" s="405">
        <f t="shared" si="49"/>
        <v>3750</v>
      </c>
      <c r="H231" s="322">
        <f t="shared" si="49"/>
        <v>0</v>
      </c>
      <c r="I231" s="340">
        <f t="shared" si="49"/>
        <v>0</v>
      </c>
      <c r="J231" s="322">
        <f t="shared" si="49"/>
        <v>0</v>
      </c>
      <c r="K231" s="405">
        <f t="shared" si="49"/>
        <v>0</v>
      </c>
      <c r="L231" s="387">
        <f t="shared" si="49"/>
        <v>0</v>
      </c>
    </row>
    <row r="232" spans="1:12" ht="15.75" customHeight="1" x14ac:dyDescent="0.25">
      <c r="A232" s="432" t="s">
        <v>119</v>
      </c>
      <c r="B232" s="112">
        <v>24513</v>
      </c>
      <c r="C232" s="404">
        <v>4958</v>
      </c>
      <c r="D232" s="112"/>
      <c r="E232" s="404">
        <f t="shared" ref="E232:E239" si="50">SUM(B232:D232)</f>
        <v>29471</v>
      </c>
      <c r="F232" s="411"/>
      <c r="G232" s="411"/>
      <c r="H232" s="90"/>
      <c r="I232" s="339"/>
      <c r="J232" s="90"/>
      <c r="K232" s="411"/>
      <c r="L232" s="388"/>
    </row>
    <row r="233" spans="1:12" ht="15.75" customHeight="1" x14ac:dyDescent="0.25">
      <c r="A233" s="424" t="s">
        <v>64</v>
      </c>
      <c r="B233" s="45"/>
      <c r="C233" s="400">
        <v>618</v>
      </c>
      <c r="D233" s="45"/>
      <c r="E233" s="400">
        <f t="shared" si="50"/>
        <v>618</v>
      </c>
      <c r="F233" s="401"/>
      <c r="G233" s="401"/>
      <c r="H233" s="15"/>
      <c r="I233" s="337"/>
      <c r="J233" s="15"/>
      <c r="K233" s="401"/>
      <c r="L233" s="315"/>
    </row>
    <row r="234" spans="1:12" ht="15.75" customHeight="1" x14ac:dyDescent="0.25">
      <c r="A234" s="424" t="s">
        <v>232</v>
      </c>
      <c r="B234" s="45">
        <v>75603</v>
      </c>
      <c r="C234" s="400">
        <v>11340</v>
      </c>
      <c r="D234" s="45"/>
      <c r="E234" s="400">
        <f t="shared" si="50"/>
        <v>86943</v>
      </c>
      <c r="F234" s="401"/>
      <c r="G234" s="401"/>
      <c r="H234" s="15"/>
      <c r="I234" s="337"/>
      <c r="J234" s="15"/>
      <c r="K234" s="401"/>
      <c r="L234" s="315"/>
    </row>
    <row r="235" spans="1:12" ht="15.75" customHeight="1" x14ac:dyDescent="0.25">
      <c r="A235" s="424" t="s">
        <v>296</v>
      </c>
      <c r="B235" s="45">
        <v>4703</v>
      </c>
      <c r="C235" s="400"/>
      <c r="D235" s="45"/>
      <c r="E235" s="400">
        <f t="shared" si="50"/>
        <v>4703</v>
      </c>
      <c r="F235" s="400">
        <v>12904</v>
      </c>
      <c r="G235" s="401"/>
      <c r="H235" s="15"/>
      <c r="I235" s="337"/>
      <c r="J235" s="15"/>
      <c r="K235" s="401"/>
      <c r="L235" s="315"/>
    </row>
    <row r="236" spans="1:12" ht="15.75" customHeight="1" x14ac:dyDescent="0.25">
      <c r="A236" s="424" t="s">
        <v>297</v>
      </c>
      <c r="B236" s="45">
        <v>798</v>
      </c>
      <c r="C236" s="400">
        <v>956</v>
      </c>
      <c r="D236" s="45"/>
      <c r="E236" s="400">
        <f t="shared" si="50"/>
        <v>1754</v>
      </c>
      <c r="F236" s="401"/>
      <c r="G236" s="401"/>
      <c r="H236" s="15"/>
      <c r="I236" s="337"/>
      <c r="J236" s="15"/>
      <c r="K236" s="401"/>
      <c r="L236" s="315"/>
    </row>
    <row r="237" spans="1:12" ht="15.75" customHeight="1" x14ac:dyDescent="0.25">
      <c r="A237" s="424" t="s">
        <v>298</v>
      </c>
      <c r="B237" s="45"/>
      <c r="C237" s="400">
        <v>15102</v>
      </c>
      <c r="D237" s="45"/>
      <c r="E237" s="400">
        <f t="shared" si="50"/>
        <v>15102</v>
      </c>
      <c r="F237" s="400"/>
      <c r="G237" s="401"/>
      <c r="H237" s="15"/>
      <c r="I237" s="337"/>
      <c r="J237" s="15"/>
      <c r="K237" s="401"/>
      <c r="L237" s="315"/>
    </row>
    <row r="238" spans="1:12" ht="15.75" customHeight="1" x14ac:dyDescent="0.25">
      <c r="A238" s="441" t="s">
        <v>230</v>
      </c>
      <c r="B238" s="45"/>
      <c r="C238" s="400">
        <v>5097</v>
      </c>
      <c r="D238" s="45"/>
      <c r="E238" s="400">
        <f t="shared" si="50"/>
        <v>5097</v>
      </c>
      <c r="F238" s="401"/>
      <c r="G238" s="401"/>
      <c r="H238" s="15"/>
      <c r="I238" s="337"/>
      <c r="J238" s="15"/>
      <c r="K238" s="401"/>
      <c r="L238" s="315"/>
    </row>
    <row r="239" spans="1:12" ht="15.75" customHeight="1" x14ac:dyDescent="0.25">
      <c r="A239" s="424" t="s">
        <v>270</v>
      </c>
      <c r="B239" s="45"/>
      <c r="C239" s="400">
        <v>16547</v>
      </c>
      <c r="D239" s="45"/>
      <c r="E239" s="400">
        <f t="shared" si="50"/>
        <v>16547</v>
      </c>
      <c r="F239" s="401"/>
      <c r="G239" s="401"/>
      <c r="H239" s="15"/>
      <c r="I239" s="337"/>
      <c r="J239" s="15"/>
      <c r="K239" s="401"/>
      <c r="L239" s="315"/>
    </row>
    <row r="240" spans="1:12" ht="15.75" customHeight="1" x14ac:dyDescent="0.25">
      <c r="A240" s="431" t="s">
        <v>188</v>
      </c>
      <c r="B240" s="322">
        <f>SUM(B232:B239)</f>
        <v>105617</v>
      </c>
      <c r="C240" s="405">
        <f>SUM(C232:C239)</f>
        <v>54618</v>
      </c>
      <c r="D240" s="322">
        <f>SUM(D232:D239)</f>
        <v>0</v>
      </c>
      <c r="E240" s="405">
        <f>SUM(B240:D240)</f>
        <v>160235</v>
      </c>
      <c r="F240" s="405">
        <f t="shared" ref="F240:L240" si="51">SUM(F232:F239)</f>
        <v>12904</v>
      </c>
      <c r="G240" s="405">
        <f t="shared" si="51"/>
        <v>0</v>
      </c>
      <c r="H240" s="322">
        <f t="shared" si="51"/>
        <v>0</v>
      </c>
      <c r="I240" s="340">
        <f t="shared" si="51"/>
        <v>0</v>
      </c>
      <c r="J240" s="322">
        <f t="shared" si="51"/>
        <v>0</v>
      </c>
      <c r="K240" s="405">
        <f t="shared" si="51"/>
        <v>0</v>
      </c>
      <c r="L240" s="387">
        <f t="shared" si="51"/>
        <v>0</v>
      </c>
    </row>
    <row r="241" spans="1:12" ht="15.75" customHeight="1" x14ac:dyDescent="0.25">
      <c r="A241" s="432" t="s">
        <v>129</v>
      </c>
      <c r="B241" s="112">
        <v>30957</v>
      </c>
      <c r="C241" s="404">
        <v>1200</v>
      </c>
      <c r="D241" s="112"/>
      <c r="E241" s="404">
        <f t="shared" ref="E241:E249" si="52">SUM(B241:D241)</f>
        <v>32157</v>
      </c>
      <c r="F241" s="411"/>
      <c r="G241" s="411"/>
      <c r="H241" s="90"/>
      <c r="I241" s="339"/>
      <c r="J241" s="90"/>
      <c r="K241" s="411"/>
      <c r="L241" s="388"/>
    </row>
    <row r="242" spans="1:12" ht="15.75" customHeight="1" x14ac:dyDescent="0.25">
      <c r="A242" s="424" t="s">
        <v>64</v>
      </c>
      <c r="B242" s="45"/>
      <c r="C242" s="400">
        <v>987</v>
      </c>
      <c r="D242" s="45"/>
      <c r="E242" s="400">
        <f t="shared" si="52"/>
        <v>987</v>
      </c>
      <c r="F242" s="401"/>
      <c r="G242" s="401"/>
      <c r="H242" s="15"/>
      <c r="I242" s="337"/>
      <c r="J242" s="15"/>
      <c r="K242" s="401"/>
      <c r="L242" s="315"/>
    </row>
    <row r="243" spans="1:12" ht="15.75" customHeight="1" x14ac:dyDescent="0.25">
      <c r="A243" s="424" t="s">
        <v>232</v>
      </c>
      <c r="B243" s="45">
        <v>23439</v>
      </c>
      <c r="C243" s="400">
        <v>9326</v>
      </c>
      <c r="D243" s="45"/>
      <c r="E243" s="400">
        <f t="shared" si="52"/>
        <v>32765</v>
      </c>
      <c r="F243" s="401"/>
      <c r="G243" s="401"/>
      <c r="H243" s="15"/>
      <c r="I243" s="337"/>
      <c r="J243" s="15"/>
      <c r="K243" s="401"/>
      <c r="L243" s="315"/>
    </row>
    <row r="244" spans="1:12" ht="15.75" customHeight="1" x14ac:dyDescent="0.25">
      <c r="A244" s="424" t="s">
        <v>229</v>
      </c>
      <c r="B244" s="15"/>
      <c r="C244" s="400">
        <v>10683</v>
      </c>
      <c r="D244" s="45"/>
      <c r="E244" s="400">
        <f t="shared" si="52"/>
        <v>10683</v>
      </c>
      <c r="F244" s="401"/>
      <c r="G244" s="401"/>
      <c r="H244" s="15"/>
      <c r="I244" s="337"/>
      <c r="J244" s="15"/>
      <c r="K244" s="401"/>
      <c r="L244" s="315"/>
    </row>
    <row r="245" spans="1:12" ht="15.75" customHeight="1" x14ac:dyDescent="0.25">
      <c r="A245" s="424" t="s">
        <v>230</v>
      </c>
      <c r="B245" s="15"/>
      <c r="C245" s="400">
        <v>8417</v>
      </c>
      <c r="D245" s="45"/>
      <c r="E245" s="400">
        <f>SUM(B245:D245)</f>
        <v>8417</v>
      </c>
      <c r="F245" s="401"/>
      <c r="G245" s="401"/>
      <c r="H245" s="15"/>
      <c r="I245" s="337"/>
      <c r="J245" s="15"/>
      <c r="K245" s="401"/>
      <c r="L245" s="315"/>
    </row>
    <row r="246" spans="1:12" ht="15.75" customHeight="1" x14ac:dyDescent="0.25">
      <c r="A246" s="424" t="s">
        <v>299</v>
      </c>
      <c r="B246" s="45">
        <v>828</v>
      </c>
      <c r="C246" s="400">
        <v>1302</v>
      </c>
      <c r="D246" s="45"/>
      <c r="E246" s="400">
        <f t="shared" si="52"/>
        <v>2130</v>
      </c>
      <c r="F246" s="401"/>
      <c r="G246" s="401"/>
      <c r="H246" s="15"/>
      <c r="I246" s="337"/>
      <c r="J246" s="15"/>
      <c r="K246" s="401"/>
      <c r="L246" s="315"/>
    </row>
    <row r="247" spans="1:12" ht="15.75" customHeight="1" x14ac:dyDescent="0.25">
      <c r="A247" s="424" t="s">
        <v>300</v>
      </c>
      <c r="B247" s="15"/>
      <c r="C247" s="400">
        <v>1234</v>
      </c>
      <c r="D247" s="45"/>
      <c r="E247" s="400">
        <f t="shared" si="52"/>
        <v>1234</v>
      </c>
      <c r="F247" s="401"/>
      <c r="G247" s="401"/>
      <c r="H247" s="15"/>
      <c r="I247" s="337"/>
      <c r="J247" s="15"/>
      <c r="K247" s="401"/>
      <c r="L247" s="315"/>
    </row>
    <row r="248" spans="1:12" ht="15.75" customHeight="1" x14ac:dyDescent="0.25">
      <c r="A248" s="433" t="s">
        <v>231</v>
      </c>
      <c r="B248" s="15"/>
      <c r="C248" s="401"/>
      <c r="D248" s="15"/>
      <c r="E248" s="401">
        <f>SUM(B248:D248)</f>
        <v>0</v>
      </c>
      <c r="F248" s="401"/>
      <c r="G248" s="401"/>
      <c r="H248" s="15"/>
      <c r="I248" s="337"/>
      <c r="J248" s="15"/>
      <c r="K248" s="401"/>
      <c r="L248" s="315"/>
    </row>
    <row r="249" spans="1:12" ht="15.75" customHeight="1" x14ac:dyDescent="0.25">
      <c r="A249" s="425" t="s">
        <v>506</v>
      </c>
      <c r="B249" s="15"/>
      <c r="C249" s="401"/>
      <c r="D249" s="15"/>
      <c r="E249" s="401">
        <f t="shared" si="52"/>
        <v>0</v>
      </c>
      <c r="F249" s="401"/>
      <c r="G249" s="469">
        <v>700</v>
      </c>
      <c r="H249" s="15"/>
      <c r="I249" s="337"/>
      <c r="J249" s="15"/>
      <c r="K249" s="401"/>
      <c r="L249" s="315"/>
    </row>
    <row r="250" spans="1:12" ht="15.75" customHeight="1" x14ac:dyDescent="0.25">
      <c r="A250" s="431" t="s">
        <v>188</v>
      </c>
      <c r="B250" s="322">
        <f>SUM(B241:B249)</f>
        <v>55224</v>
      </c>
      <c r="C250" s="405">
        <f>SUM(C241:C249)</f>
        <v>33149</v>
      </c>
      <c r="D250" s="322">
        <f>SUM(D241:D249)</f>
        <v>0</v>
      </c>
      <c r="E250" s="405">
        <f>SUM(B250:D250)</f>
        <v>88373</v>
      </c>
      <c r="F250" s="405">
        <f t="shared" ref="F250:L250" si="53">SUM(F241:F249)</f>
        <v>0</v>
      </c>
      <c r="G250" s="405">
        <f t="shared" si="53"/>
        <v>700</v>
      </c>
      <c r="H250" s="322">
        <f t="shared" si="53"/>
        <v>0</v>
      </c>
      <c r="I250" s="340">
        <f t="shared" si="53"/>
        <v>0</v>
      </c>
      <c r="J250" s="322">
        <f t="shared" si="53"/>
        <v>0</v>
      </c>
      <c r="K250" s="405">
        <f t="shared" si="53"/>
        <v>0</v>
      </c>
      <c r="L250" s="387">
        <f t="shared" si="53"/>
        <v>0</v>
      </c>
    </row>
    <row r="251" spans="1:12" ht="15.75" customHeight="1" x14ac:dyDescent="0.25">
      <c r="A251" s="432" t="s">
        <v>127</v>
      </c>
      <c r="B251" s="112">
        <v>35122</v>
      </c>
      <c r="C251" s="404">
        <v>1440</v>
      </c>
      <c r="D251" s="112"/>
      <c r="E251" s="404">
        <f t="shared" ref="E251:E261" si="54">SUM(B251:D251)</f>
        <v>36562</v>
      </c>
      <c r="F251" s="411"/>
      <c r="G251" s="411"/>
      <c r="H251" s="90"/>
      <c r="I251" s="339"/>
      <c r="J251" s="90"/>
      <c r="K251" s="411"/>
      <c r="L251" s="388"/>
    </row>
    <row r="252" spans="1:12" ht="15.75" customHeight="1" x14ac:dyDescent="0.25">
      <c r="A252" s="424" t="s">
        <v>64</v>
      </c>
      <c r="B252" s="45"/>
      <c r="C252" s="400">
        <v>2823</v>
      </c>
      <c r="D252" s="45"/>
      <c r="E252" s="400">
        <f t="shared" si="54"/>
        <v>2823</v>
      </c>
      <c r="F252" s="401"/>
      <c r="G252" s="401"/>
      <c r="H252" s="15"/>
      <c r="I252" s="337"/>
      <c r="J252" s="15"/>
      <c r="K252" s="401"/>
      <c r="L252" s="315"/>
    </row>
    <row r="253" spans="1:12" ht="15.75" customHeight="1" x14ac:dyDescent="0.25">
      <c r="A253" s="424" t="s">
        <v>232</v>
      </c>
      <c r="B253" s="45">
        <v>59021</v>
      </c>
      <c r="C253" s="400">
        <v>12600</v>
      </c>
      <c r="D253" s="45"/>
      <c r="E253" s="400">
        <f t="shared" si="54"/>
        <v>71621</v>
      </c>
      <c r="F253" s="401"/>
      <c r="G253" s="401"/>
      <c r="H253" s="15"/>
      <c r="I253" s="337"/>
      <c r="J253" s="15"/>
      <c r="K253" s="401"/>
      <c r="L253" s="315"/>
    </row>
    <row r="254" spans="1:12" ht="15.75" customHeight="1" x14ac:dyDescent="0.25">
      <c r="A254" s="424" t="s">
        <v>301</v>
      </c>
      <c r="B254" s="45"/>
      <c r="C254" s="400"/>
      <c r="D254" s="45"/>
      <c r="E254" s="400">
        <f t="shared" si="54"/>
        <v>0</v>
      </c>
      <c r="F254" s="400">
        <v>12892</v>
      </c>
      <c r="G254" s="401"/>
      <c r="H254" s="15"/>
      <c r="I254" s="337"/>
      <c r="J254" s="15"/>
      <c r="K254" s="401"/>
      <c r="L254" s="315"/>
    </row>
    <row r="255" spans="1:12" ht="15.75" customHeight="1" x14ac:dyDescent="0.25">
      <c r="A255" s="424" t="s">
        <v>302</v>
      </c>
      <c r="B255" s="45">
        <v>535</v>
      </c>
      <c r="C255" s="400">
        <v>706</v>
      </c>
      <c r="D255" s="45"/>
      <c r="E255" s="400">
        <f t="shared" si="54"/>
        <v>1241</v>
      </c>
      <c r="F255" s="401"/>
      <c r="G255" s="401"/>
      <c r="H255" s="15"/>
      <c r="I255" s="337"/>
      <c r="J255" s="15"/>
      <c r="K255" s="401"/>
      <c r="L255" s="315"/>
    </row>
    <row r="256" spans="1:12" ht="15.75" customHeight="1" x14ac:dyDescent="0.25">
      <c r="A256" s="424" t="s">
        <v>303</v>
      </c>
      <c r="B256" s="15"/>
      <c r="C256" s="400">
        <v>837</v>
      </c>
      <c r="D256" s="45"/>
      <c r="E256" s="400">
        <f t="shared" si="54"/>
        <v>837</v>
      </c>
      <c r="F256" s="401"/>
      <c r="G256" s="401"/>
      <c r="H256" s="15"/>
      <c r="I256" s="337"/>
      <c r="J256" s="15"/>
      <c r="K256" s="401"/>
      <c r="L256" s="315"/>
    </row>
    <row r="257" spans="1:12" ht="15.75" customHeight="1" x14ac:dyDescent="0.25">
      <c r="A257" s="424" t="s">
        <v>230</v>
      </c>
      <c r="B257" s="45"/>
      <c r="C257" s="400">
        <v>7333</v>
      </c>
      <c r="D257" s="45"/>
      <c r="E257" s="400">
        <f t="shared" si="54"/>
        <v>7333</v>
      </c>
      <c r="F257" s="400"/>
      <c r="G257" s="401"/>
      <c r="H257" s="15"/>
      <c r="I257" s="337"/>
      <c r="J257" s="15"/>
      <c r="K257" s="401"/>
      <c r="L257" s="315"/>
    </row>
    <row r="258" spans="1:12" ht="15.75" customHeight="1" x14ac:dyDescent="0.25">
      <c r="A258" s="424" t="s">
        <v>229</v>
      </c>
      <c r="B258" s="45"/>
      <c r="C258" s="400">
        <v>32100</v>
      </c>
      <c r="D258" s="45"/>
      <c r="E258" s="400">
        <f>SUM(B258:D258)</f>
        <v>32100</v>
      </c>
      <c r="F258" s="401"/>
      <c r="G258" s="401"/>
      <c r="H258" s="15"/>
      <c r="I258" s="337"/>
      <c r="J258" s="15"/>
      <c r="K258" s="401"/>
      <c r="L258" s="315"/>
    </row>
    <row r="259" spans="1:12" ht="15.75" customHeight="1" x14ac:dyDescent="0.25">
      <c r="A259" s="423" t="s">
        <v>231</v>
      </c>
      <c r="B259" s="15"/>
      <c r="C259" s="401"/>
      <c r="D259" s="15"/>
      <c r="E259" s="401">
        <f>SUM(B259:D259)</f>
        <v>0</v>
      </c>
      <c r="F259" s="401"/>
      <c r="G259" s="401"/>
      <c r="H259" s="15"/>
      <c r="I259" s="337"/>
      <c r="J259" s="15"/>
      <c r="K259" s="401"/>
      <c r="L259" s="315"/>
    </row>
    <row r="260" spans="1:12" ht="15.75" customHeight="1" x14ac:dyDescent="0.25">
      <c r="A260" s="424" t="s">
        <v>1106</v>
      </c>
      <c r="B260" s="15"/>
      <c r="C260" s="401"/>
      <c r="D260" s="15"/>
      <c r="E260" s="401">
        <f>SUM(B260:D260)</f>
        <v>0</v>
      </c>
      <c r="F260" s="401"/>
      <c r="G260" s="400">
        <v>1000</v>
      </c>
      <c r="H260" s="15"/>
      <c r="I260" s="337"/>
      <c r="J260" s="15"/>
      <c r="K260" s="401"/>
      <c r="L260" s="315"/>
    </row>
    <row r="261" spans="1:12" ht="15.75" customHeight="1" x14ac:dyDescent="0.25">
      <c r="A261" s="431" t="s">
        <v>188</v>
      </c>
      <c r="B261" s="322">
        <f t="shared" ref="B261:D261" si="55">SUM(B251:B260)</f>
        <v>94678</v>
      </c>
      <c r="C261" s="405">
        <f t="shared" si="55"/>
        <v>57839</v>
      </c>
      <c r="D261" s="322">
        <f t="shared" si="55"/>
        <v>0</v>
      </c>
      <c r="E261" s="405">
        <f t="shared" si="54"/>
        <v>152517</v>
      </c>
      <c r="F261" s="405">
        <f t="shared" ref="F261:L261" si="56">SUM(F251:F260)</f>
        <v>12892</v>
      </c>
      <c r="G261" s="405">
        <f t="shared" si="56"/>
        <v>1000</v>
      </c>
      <c r="H261" s="322">
        <f t="shared" si="56"/>
        <v>0</v>
      </c>
      <c r="I261" s="340">
        <f t="shared" si="56"/>
        <v>0</v>
      </c>
      <c r="J261" s="322">
        <f t="shared" si="56"/>
        <v>0</v>
      </c>
      <c r="K261" s="405">
        <f t="shared" si="56"/>
        <v>0</v>
      </c>
      <c r="L261" s="387">
        <f t="shared" si="56"/>
        <v>0</v>
      </c>
    </row>
    <row r="262" spans="1:12" ht="15.75" customHeight="1" x14ac:dyDescent="0.25">
      <c r="A262" s="442" t="s">
        <v>304</v>
      </c>
      <c r="B262" s="331">
        <f t="shared" ref="B262:L262" si="57">B261+B250+B240+B231+B220+B207+B197+B186+B177+B168+B159+B147+B139+B129+B119+B108+B96+B85+B77+B64+B53</f>
        <v>1983246</v>
      </c>
      <c r="C262" s="464">
        <f t="shared" si="57"/>
        <v>1384777</v>
      </c>
      <c r="D262" s="331">
        <f t="shared" si="57"/>
        <v>0</v>
      </c>
      <c r="E262" s="410">
        <f t="shared" si="57"/>
        <v>3368023</v>
      </c>
      <c r="F262" s="464">
        <f t="shared" si="57"/>
        <v>175224</v>
      </c>
      <c r="G262" s="464">
        <f t="shared" si="57"/>
        <v>68735</v>
      </c>
      <c r="H262" s="332">
        <f t="shared" si="57"/>
        <v>0</v>
      </c>
      <c r="I262" s="350">
        <f t="shared" si="57"/>
        <v>0</v>
      </c>
      <c r="J262" s="332">
        <f t="shared" si="57"/>
        <v>0</v>
      </c>
      <c r="K262" s="473">
        <f t="shared" si="57"/>
        <v>0</v>
      </c>
      <c r="L262" s="389">
        <f t="shared" si="57"/>
        <v>0</v>
      </c>
    </row>
    <row r="263" spans="1:12" ht="15.75" customHeight="1" x14ac:dyDescent="0.25">
      <c r="A263" s="432" t="s">
        <v>81</v>
      </c>
      <c r="B263" s="112"/>
      <c r="C263" s="404">
        <v>998214</v>
      </c>
      <c r="D263" s="112"/>
      <c r="E263" s="404">
        <f t="shared" ref="E263:E268" si="58">SUM(B263:D263)</f>
        <v>998214</v>
      </c>
      <c r="F263" s="411"/>
      <c r="G263" s="411"/>
      <c r="H263" s="90"/>
      <c r="I263" s="339"/>
      <c r="J263" s="90"/>
      <c r="K263" s="411"/>
      <c r="L263" s="388"/>
    </row>
    <row r="264" spans="1:12" ht="15.75" customHeight="1" x14ac:dyDescent="0.25">
      <c r="A264" s="423" t="s">
        <v>96</v>
      </c>
      <c r="B264" s="15"/>
      <c r="C264" s="400">
        <v>20102</v>
      </c>
      <c r="D264" s="15"/>
      <c r="E264" s="400">
        <f t="shared" si="58"/>
        <v>20102</v>
      </c>
      <c r="F264" s="401"/>
      <c r="G264" s="401"/>
      <c r="H264" s="15"/>
      <c r="I264" s="337"/>
      <c r="J264" s="15"/>
      <c r="K264" s="401"/>
      <c r="L264" s="315"/>
    </row>
    <row r="265" spans="1:12" ht="15.75" customHeight="1" x14ac:dyDescent="0.25">
      <c r="A265" s="424" t="s">
        <v>60</v>
      </c>
      <c r="B265" s="45">
        <v>20000</v>
      </c>
      <c r="C265" s="400"/>
      <c r="D265" s="45"/>
      <c r="E265" s="400">
        <f t="shared" si="58"/>
        <v>20000</v>
      </c>
      <c r="F265" s="401"/>
      <c r="G265" s="401"/>
      <c r="H265" s="15"/>
      <c r="I265" s="337"/>
      <c r="J265" s="15"/>
      <c r="K265" s="401"/>
      <c r="L265" s="315"/>
    </row>
    <row r="266" spans="1:12" ht="15.75" customHeight="1" x14ac:dyDescent="0.25">
      <c r="A266" s="424" t="s">
        <v>305</v>
      </c>
      <c r="B266" s="45">
        <v>15087</v>
      </c>
      <c r="C266" s="401"/>
      <c r="D266" s="15"/>
      <c r="E266" s="400">
        <f t="shared" si="58"/>
        <v>15087</v>
      </c>
      <c r="F266" s="400">
        <v>1301</v>
      </c>
      <c r="G266" s="401"/>
      <c r="H266" s="15"/>
      <c r="I266" s="337"/>
      <c r="J266" s="15"/>
      <c r="K266" s="401"/>
      <c r="L266" s="315"/>
    </row>
    <row r="267" spans="1:12" x14ac:dyDescent="0.25">
      <c r="A267" s="439" t="s">
        <v>306</v>
      </c>
      <c r="B267" s="110"/>
      <c r="C267" s="414"/>
      <c r="D267" s="110"/>
      <c r="E267" s="400">
        <f t="shared" si="58"/>
        <v>0</v>
      </c>
      <c r="F267" s="415"/>
      <c r="G267" s="415"/>
      <c r="H267" s="110">
        <v>5444</v>
      </c>
      <c r="I267" s="343"/>
      <c r="J267" s="19"/>
      <c r="K267" s="415"/>
      <c r="L267" s="317"/>
    </row>
    <row r="268" spans="1:12" ht="15.75" customHeight="1" x14ac:dyDescent="0.25">
      <c r="A268" s="425" t="s">
        <v>307</v>
      </c>
      <c r="B268" s="19"/>
      <c r="C268" s="414"/>
      <c r="D268" s="19"/>
      <c r="E268" s="400">
        <f t="shared" si="58"/>
        <v>0</v>
      </c>
      <c r="F268" s="415"/>
      <c r="G268" s="415"/>
      <c r="H268" s="110">
        <v>50000</v>
      </c>
      <c r="I268" s="343"/>
      <c r="J268" s="19"/>
      <c r="K268" s="415"/>
      <c r="L268" s="317"/>
    </row>
    <row r="269" spans="1:12" ht="15.75" customHeight="1" x14ac:dyDescent="0.25">
      <c r="A269" s="425" t="s">
        <v>308</v>
      </c>
      <c r="B269" s="110"/>
      <c r="C269" s="414">
        <v>3751</v>
      </c>
      <c r="D269" s="110"/>
      <c r="E269" s="400">
        <f>SUM(B269:D269)</f>
        <v>3751</v>
      </c>
      <c r="F269" s="415"/>
      <c r="G269" s="415"/>
      <c r="H269" s="19"/>
      <c r="I269" s="343"/>
      <c r="J269" s="19"/>
      <c r="K269" s="415"/>
      <c r="L269" s="317"/>
    </row>
    <row r="270" spans="1:12" ht="15.75" customHeight="1" x14ac:dyDescent="0.25">
      <c r="A270" s="424" t="s">
        <v>62</v>
      </c>
      <c r="B270" s="15"/>
      <c r="C270" s="400">
        <v>8000</v>
      </c>
      <c r="D270" s="45"/>
      <c r="E270" s="400">
        <f t="shared" ref="E270:E279" si="59">SUM(B270:D270)</f>
        <v>8000</v>
      </c>
      <c r="F270" s="400"/>
      <c r="G270" s="400"/>
      <c r="H270" s="15"/>
      <c r="I270" s="337"/>
      <c r="J270" s="15"/>
      <c r="K270" s="401"/>
      <c r="L270" s="315"/>
    </row>
    <row r="271" spans="1:12" ht="15.75" customHeight="1" x14ac:dyDescent="0.25">
      <c r="A271" s="423" t="s">
        <v>310</v>
      </c>
      <c r="B271" s="15"/>
      <c r="C271" s="400"/>
      <c r="D271" s="15"/>
      <c r="E271" s="400">
        <f t="shared" si="59"/>
        <v>0</v>
      </c>
      <c r="F271" s="401"/>
      <c r="G271" s="401"/>
      <c r="H271" s="15"/>
      <c r="I271" s="337"/>
      <c r="J271" s="15"/>
      <c r="K271" s="401"/>
      <c r="L271" s="315"/>
    </row>
    <row r="272" spans="1:12" ht="15.75" customHeight="1" x14ac:dyDescent="0.25">
      <c r="A272" s="425" t="s">
        <v>311</v>
      </c>
      <c r="B272" s="45"/>
      <c r="C272" s="400">
        <v>1250</v>
      </c>
      <c r="D272" s="45"/>
      <c r="E272" s="400">
        <f t="shared" si="59"/>
        <v>1250</v>
      </c>
      <c r="F272" s="401"/>
      <c r="G272" s="401"/>
      <c r="H272" s="15"/>
      <c r="I272" s="337"/>
      <c r="J272" s="15"/>
      <c r="K272" s="401"/>
      <c r="L272" s="315"/>
    </row>
    <row r="273" spans="1:12" ht="15.75" customHeight="1" x14ac:dyDescent="0.25">
      <c r="A273" s="425" t="s">
        <v>312</v>
      </c>
      <c r="B273" s="45"/>
      <c r="C273" s="400">
        <v>1533</v>
      </c>
      <c r="D273" s="45"/>
      <c r="E273" s="400">
        <f t="shared" si="59"/>
        <v>1533</v>
      </c>
      <c r="F273" s="401"/>
      <c r="G273" s="401"/>
      <c r="H273" s="15"/>
      <c r="I273" s="337"/>
      <c r="J273" s="15"/>
      <c r="K273" s="401"/>
      <c r="L273" s="315"/>
    </row>
    <row r="274" spans="1:12" ht="15.75" customHeight="1" x14ac:dyDescent="0.25">
      <c r="A274" s="425" t="s">
        <v>313</v>
      </c>
      <c r="B274" s="45"/>
      <c r="C274" s="400">
        <v>750</v>
      </c>
      <c r="D274" s="45"/>
      <c r="E274" s="400">
        <f t="shared" si="59"/>
        <v>750</v>
      </c>
      <c r="F274" s="401"/>
      <c r="G274" s="401"/>
      <c r="H274" s="15"/>
      <c r="I274" s="337"/>
      <c r="J274" s="15"/>
      <c r="K274" s="401"/>
      <c r="L274" s="315"/>
    </row>
    <row r="275" spans="1:12" ht="15.75" customHeight="1" x14ac:dyDescent="0.25">
      <c r="A275" s="443" t="s">
        <v>314</v>
      </c>
      <c r="B275" s="354"/>
      <c r="C275" s="465">
        <v>15086</v>
      </c>
      <c r="D275" s="354"/>
      <c r="E275" s="400">
        <f t="shared" si="59"/>
        <v>15086</v>
      </c>
      <c r="F275" s="420"/>
      <c r="G275" s="420"/>
      <c r="H275" s="97"/>
      <c r="I275" s="344"/>
      <c r="J275" s="97"/>
      <c r="K275" s="420"/>
      <c r="L275" s="390"/>
    </row>
    <row r="276" spans="1:12" ht="15.75" customHeight="1" x14ac:dyDescent="0.25">
      <c r="A276" s="431" t="s">
        <v>188</v>
      </c>
      <c r="B276" s="322">
        <f>SUM(B263:B275)</f>
        <v>35087</v>
      </c>
      <c r="C276" s="405">
        <f>SUM(C263:C275)</f>
        <v>1048686</v>
      </c>
      <c r="D276" s="322">
        <f>SUM(D263:D275)</f>
        <v>0</v>
      </c>
      <c r="E276" s="405">
        <f t="shared" si="59"/>
        <v>1083773</v>
      </c>
      <c r="F276" s="405">
        <f t="shared" ref="F276:L276" si="60">SUM(F263:F275)</f>
        <v>1301</v>
      </c>
      <c r="G276" s="405">
        <f t="shared" si="60"/>
        <v>0</v>
      </c>
      <c r="H276" s="322">
        <f t="shared" si="60"/>
        <v>55444</v>
      </c>
      <c r="I276" s="340">
        <f t="shared" si="60"/>
        <v>0</v>
      </c>
      <c r="J276" s="322">
        <f t="shared" si="60"/>
        <v>0</v>
      </c>
      <c r="K276" s="405">
        <f t="shared" si="60"/>
        <v>0</v>
      </c>
      <c r="L276" s="387">
        <f t="shared" si="60"/>
        <v>0</v>
      </c>
    </row>
    <row r="277" spans="1:12" ht="15.75" customHeight="1" x14ac:dyDescent="0.25">
      <c r="A277" s="444" t="s">
        <v>50</v>
      </c>
      <c r="B277" s="110"/>
      <c r="C277" s="414"/>
      <c r="D277" s="110"/>
      <c r="E277" s="400">
        <f t="shared" si="59"/>
        <v>0</v>
      </c>
      <c r="F277" s="414">
        <v>1257745</v>
      </c>
      <c r="G277" s="414"/>
      <c r="H277" s="110"/>
      <c r="I277" s="355">
        <f t="shared" ref="I277:I279" si="61">SUM(J277:L277)</f>
        <v>770838</v>
      </c>
      <c r="J277" s="110"/>
      <c r="K277" s="414"/>
      <c r="L277" s="391">
        <v>770838</v>
      </c>
    </row>
    <row r="278" spans="1:12" ht="15.75" customHeight="1" x14ac:dyDescent="0.25">
      <c r="A278" s="424" t="s">
        <v>315</v>
      </c>
      <c r="B278" s="15"/>
      <c r="C278" s="401"/>
      <c r="D278" s="15"/>
      <c r="E278" s="401">
        <f t="shared" si="59"/>
        <v>0</v>
      </c>
      <c r="F278" s="400">
        <v>146017</v>
      </c>
      <c r="G278" s="401"/>
      <c r="H278" s="15"/>
      <c r="I278" s="355">
        <f t="shared" si="61"/>
        <v>0</v>
      </c>
      <c r="J278" s="15"/>
      <c r="K278" s="401"/>
      <c r="L278" s="315"/>
    </row>
    <row r="279" spans="1:12" ht="15.75" customHeight="1" x14ac:dyDescent="0.25">
      <c r="A279" s="423" t="s">
        <v>316</v>
      </c>
      <c r="B279" s="15"/>
      <c r="C279" s="401"/>
      <c r="D279" s="15"/>
      <c r="E279" s="401">
        <f t="shared" si="59"/>
        <v>0</v>
      </c>
      <c r="F279" s="401"/>
      <c r="G279" s="401"/>
      <c r="H279" s="15"/>
      <c r="I279" s="355">
        <f t="shared" si="61"/>
        <v>0</v>
      </c>
      <c r="J279" s="15"/>
      <c r="K279" s="401"/>
      <c r="L279" s="315"/>
    </row>
    <row r="280" spans="1:12" s="318" customFormat="1" ht="30" x14ac:dyDescent="0.25">
      <c r="A280" s="445" t="s">
        <v>317</v>
      </c>
      <c r="B280" s="45"/>
      <c r="C280" s="400"/>
      <c r="D280" s="45"/>
      <c r="E280" s="400">
        <f>SUM(B280:D280)</f>
        <v>0</v>
      </c>
      <c r="F280" s="400"/>
      <c r="G280" s="400"/>
      <c r="H280" s="45"/>
      <c r="I280" s="355">
        <f t="shared" ref="I280" si="62">SUM(J280:L280)</f>
        <v>108335</v>
      </c>
      <c r="J280" s="45">
        <v>108335</v>
      </c>
      <c r="K280" s="400"/>
      <c r="L280" s="392"/>
    </row>
    <row r="281" spans="1:12" ht="15.75" customHeight="1" x14ac:dyDescent="0.25">
      <c r="A281" s="431" t="s">
        <v>188</v>
      </c>
      <c r="B281" s="356">
        <f>SUM(B277:B280)</f>
        <v>0</v>
      </c>
      <c r="C281" s="431">
        <f>SUM(C277:C280)</f>
        <v>0</v>
      </c>
      <c r="D281" s="356">
        <f>SUM(D277:D280)</f>
        <v>0</v>
      </c>
      <c r="E281" s="405">
        <f t="shared" ref="E281:E285" si="63">SUM(B281:D281)</f>
        <v>0</v>
      </c>
      <c r="F281" s="405">
        <f>SUM(F277:F280)</f>
        <v>1403762</v>
      </c>
      <c r="G281" s="405">
        <f>SUM(G277:G280)</f>
        <v>0</v>
      </c>
      <c r="H281" s="322">
        <f>SUM(H277:H280)</f>
        <v>0</v>
      </c>
      <c r="I281" s="340">
        <f>SUM(Table13[[#This Row],[Pašv.līdz.]:[Aizņēmums]])</f>
        <v>879173</v>
      </c>
      <c r="J281" s="322">
        <f>SUM(J277:J280)</f>
        <v>108335</v>
      </c>
      <c r="K281" s="405">
        <f>SUM(K277:K280)</f>
        <v>0</v>
      </c>
      <c r="L281" s="387">
        <f>SUM(L277:L280)</f>
        <v>770838</v>
      </c>
    </row>
    <row r="282" spans="1:12" ht="15.75" customHeight="1" x14ac:dyDescent="0.25">
      <c r="A282" s="432" t="s">
        <v>104</v>
      </c>
      <c r="B282" s="112">
        <v>80895</v>
      </c>
      <c r="C282" s="404">
        <v>15324</v>
      </c>
      <c r="D282" s="112"/>
      <c r="E282" s="400">
        <f t="shared" si="63"/>
        <v>96219</v>
      </c>
      <c r="F282" s="411"/>
      <c r="G282" s="411"/>
      <c r="H282" s="90"/>
      <c r="I282" s="339"/>
      <c r="J282" s="90"/>
      <c r="K282" s="411"/>
      <c r="L282" s="388"/>
    </row>
    <row r="283" spans="1:12" ht="15.75" customHeight="1" x14ac:dyDescent="0.25">
      <c r="A283" s="425" t="s">
        <v>318</v>
      </c>
      <c r="B283" s="15"/>
      <c r="C283" s="400"/>
      <c r="D283" s="15"/>
      <c r="E283" s="400">
        <f t="shared" si="63"/>
        <v>0</v>
      </c>
      <c r="F283" s="474"/>
      <c r="G283" s="400">
        <v>860</v>
      </c>
      <c r="H283" s="216"/>
      <c r="I283" s="352"/>
      <c r="J283" s="216"/>
      <c r="K283" s="474"/>
      <c r="L283" s="393"/>
    </row>
    <row r="284" spans="1:12" ht="15.75" customHeight="1" x14ac:dyDescent="0.25">
      <c r="A284" s="433" t="s">
        <v>231</v>
      </c>
      <c r="B284" s="15"/>
      <c r="C284" s="401"/>
      <c r="D284" s="15"/>
      <c r="E284" s="401">
        <f t="shared" si="63"/>
        <v>0</v>
      </c>
      <c r="F284" s="401"/>
      <c r="G284" s="401"/>
      <c r="H284" s="15"/>
      <c r="I284" s="337"/>
      <c r="J284" s="15"/>
      <c r="K284" s="401"/>
      <c r="L284" s="315"/>
    </row>
    <row r="285" spans="1:12" ht="15.75" customHeight="1" x14ac:dyDescent="0.25">
      <c r="A285" s="424" t="s">
        <v>1115</v>
      </c>
      <c r="B285" s="15"/>
      <c r="C285" s="401"/>
      <c r="D285" s="15"/>
      <c r="E285" s="401">
        <f t="shared" si="63"/>
        <v>0</v>
      </c>
      <c r="F285" s="401"/>
      <c r="G285" s="400">
        <v>3500</v>
      </c>
      <c r="H285" s="15"/>
      <c r="I285" s="337">
        <f>SUM(J285:L285)</f>
        <v>0</v>
      </c>
      <c r="J285" s="15"/>
      <c r="K285" s="401"/>
      <c r="L285" s="315"/>
    </row>
    <row r="286" spans="1:12" ht="15.75" customHeight="1" x14ac:dyDescent="0.25">
      <c r="A286" s="424" t="s">
        <v>319</v>
      </c>
      <c r="B286" s="15"/>
      <c r="C286" s="401"/>
      <c r="D286" s="15"/>
      <c r="E286" s="401">
        <f t="shared" ref="E286:E289" si="64">SUM(B286:D286)</f>
        <v>0</v>
      </c>
      <c r="F286" s="401"/>
      <c r="G286" s="400">
        <v>1980</v>
      </c>
      <c r="H286" s="15"/>
      <c r="I286" s="337"/>
      <c r="J286" s="15"/>
      <c r="K286" s="401"/>
      <c r="L286" s="315"/>
    </row>
    <row r="287" spans="1:12" ht="15.75" customHeight="1" x14ac:dyDescent="0.25">
      <c r="A287" s="424" t="s">
        <v>320</v>
      </c>
      <c r="B287" s="15"/>
      <c r="C287" s="401"/>
      <c r="D287" s="15"/>
      <c r="E287" s="401">
        <f t="shared" si="64"/>
        <v>0</v>
      </c>
      <c r="F287" s="401"/>
      <c r="G287" s="400">
        <v>130</v>
      </c>
      <c r="H287" s="15"/>
      <c r="I287" s="337"/>
      <c r="J287" s="15"/>
      <c r="K287" s="401"/>
      <c r="L287" s="315"/>
    </row>
    <row r="288" spans="1:12" ht="15.75" customHeight="1" x14ac:dyDescent="0.25">
      <c r="A288" s="424" t="s">
        <v>321</v>
      </c>
      <c r="B288" s="14"/>
      <c r="C288" s="402"/>
      <c r="D288" s="14"/>
      <c r="E288" s="402">
        <f t="shared" si="64"/>
        <v>0</v>
      </c>
      <c r="F288" s="402"/>
      <c r="G288" s="469"/>
      <c r="H288" s="38"/>
      <c r="I288" s="351">
        <f>SUM(Table13[[#This Row],[Pašv.līdz.]:[Aizņēmums]])</f>
        <v>4500</v>
      </c>
      <c r="J288" s="38">
        <v>4500</v>
      </c>
      <c r="K288" s="469"/>
      <c r="L288" s="176"/>
    </row>
    <row r="289" spans="1:12" ht="15.75" customHeight="1" x14ac:dyDescent="0.25">
      <c r="A289" s="431" t="s">
        <v>188</v>
      </c>
      <c r="B289" s="322">
        <f>SUM(B282:B286)</f>
        <v>80895</v>
      </c>
      <c r="C289" s="405">
        <f>SUM(C282:C286)</f>
        <v>15324</v>
      </c>
      <c r="D289" s="322">
        <f>SUM(D282:D286)</f>
        <v>0</v>
      </c>
      <c r="E289" s="407">
        <f t="shared" si="64"/>
        <v>96219</v>
      </c>
      <c r="F289" s="405">
        <f t="shared" ref="F289:L289" si="65">SUM(F282:F288)</f>
        <v>0</v>
      </c>
      <c r="G289" s="405">
        <f t="shared" si="65"/>
        <v>6470</v>
      </c>
      <c r="H289" s="322">
        <f t="shared" si="65"/>
        <v>0</v>
      </c>
      <c r="I289" s="340">
        <f t="shared" si="65"/>
        <v>4500</v>
      </c>
      <c r="J289" s="322">
        <f t="shared" si="65"/>
        <v>4500</v>
      </c>
      <c r="K289" s="405">
        <f t="shared" si="65"/>
        <v>0</v>
      </c>
      <c r="L289" s="387">
        <f t="shared" si="65"/>
        <v>0</v>
      </c>
    </row>
    <row r="290" spans="1:12" ht="15.75" hidden="1" customHeight="1" x14ac:dyDescent="0.25">
      <c r="A290" s="424"/>
      <c r="B290" s="15"/>
      <c r="C290" s="400"/>
      <c r="D290" s="15"/>
      <c r="E290" s="400">
        <f t="shared" ref="E290:E292" si="66">SUM(B290:D290)</f>
        <v>0</v>
      </c>
      <c r="F290" s="401"/>
      <c r="G290" s="401"/>
      <c r="H290" s="15"/>
      <c r="I290" s="337"/>
      <c r="J290" s="15"/>
      <c r="K290" s="401"/>
      <c r="L290" s="315"/>
    </row>
    <row r="291" spans="1:12" ht="15.75" hidden="1" customHeight="1" x14ac:dyDescent="0.25">
      <c r="A291" s="431" t="s">
        <v>188</v>
      </c>
      <c r="B291" s="322">
        <f>SUM(B290:B290)</f>
        <v>0</v>
      </c>
      <c r="C291" s="405">
        <f>SUM(C290:C290)</f>
        <v>0</v>
      </c>
      <c r="D291" s="322">
        <f>SUM(D290:D290)</f>
        <v>0</v>
      </c>
      <c r="E291" s="405">
        <f t="shared" si="66"/>
        <v>0</v>
      </c>
      <c r="F291" s="405">
        <f t="shared" ref="F291:L291" si="67">SUM(F290:F290)</f>
        <v>0</v>
      </c>
      <c r="G291" s="405">
        <f t="shared" si="67"/>
        <v>0</v>
      </c>
      <c r="H291" s="322">
        <f t="shared" si="67"/>
        <v>0</v>
      </c>
      <c r="I291" s="340">
        <f t="shared" si="67"/>
        <v>0</v>
      </c>
      <c r="J291" s="322">
        <f t="shared" si="67"/>
        <v>0</v>
      </c>
      <c r="K291" s="405">
        <f t="shared" si="67"/>
        <v>0</v>
      </c>
      <c r="L291" s="387">
        <f t="shared" si="67"/>
        <v>0</v>
      </c>
    </row>
    <row r="292" spans="1:12" ht="15.75" customHeight="1" x14ac:dyDescent="0.25">
      <c r="A292" s="425" t="s">
        <v>322</v>
      </c>
      <c r="B292" s="19"/>
      <c r="C292" s="415"/>
      <c r="D292" s="19"/>
      <c r="E292" s="401">
        <f t="shared" si="66"/>
        <v>0</v>
      </c>
      <c r="F292" s="415"/>
      <c r="G292" s="415"/>
      <c r="H292" s="110">
        <v>15375</v>
      </c>
      <c r="I292" s="337"/>
      <c r="J292" s="15"/>
      <c r="K292" s="401"/>
      <c r="L292" s="315"/>
    </row>
    <row r="293" spans="1:12" ht="15.75" customHeight="1" x14ac:dyDescent="0.25">
      <c r="A293" s="425" t="s">
        <v>323</v>
      </c>
      <c r="B293" s="110"/>
      <c r="C293" s="414">
        <v>1452</v>
      </c>
      <c r="D293" s="110"/>
      <c r="E293" s="400">
        <f>SUM(B293:D293)</f>
        <v>1452</v>
      </c>
      <c r="F293" s="415"/>
      <c r="G293" s="415"/>
      <c r="H293" s="19"/>
      <c r="I293" s="343"/>
      <c r="J293" s="19"/>
      <c r="K293" s="415"/>
      <c r="L293" s="317"/>
    </row>
    <row r="294" spans="1:12" ht="15.75" customHeight="1" x14ac:dyDescent="0.25">
      <c r="A294" s="431" t="s">
        <v>188</v>
      </c>
      <c r="B294" s="322">
        <f>SUM(B292:B293)</f>
        <v>0</v>
      </c>
      <c r="C294" s="405">
        <f>SUM(C292:C293)</f>
        <v>1452</v>
      </c>
      <c r="D294" s="322">
        <f>SUM(D292:D293)</f>
        <v>0</v>
      </c>
      <c r="E294" s="405">
        <f>SUM(B294:D294)</f>
        <v>1452</v>
      </c>
      <c r="F294" s="405">
        <f t="shared" ref="F294:L294" si="68">SUM(F292:F293)</f>
        <v>0</v>
      </c>
      <c r="G294" s="405">
        <f t="shared" si="68"/>
        <v>0</v>
      </c>
      <c r="H294" s="322">
        <f t="shared" si="68"/>
        <v>15375</v>
      </c>
      <c r="I294" s="340">
        <f t="shared" si="68"/>
        <v>0</v>
      </c>
      <c r="J294" s="322">
        <f t="shared" si="68"/>
        <v>0</v>
      </c>
      <c r="K294" s="405">
        <f t="shared" si="68"/>
        <v>0</v>
      </c>
      <c r="L294" s="387">
        <f t="shared" si="68"/>
        <v>0</v>
      </c>
    </row>
    <row r="295" spans="1:12" ht="15.75" customHeight="1" x14ac:dyDescent="0.25">
      <c r="A295" s="446" t="s">
        <v>102</v>
      </c>
      <c r="B295" s="15"/>
      <c r="C295" s="401"/>
      <c r="D295" s="15"/>
      <c r="E295" s="401"/>
      <c r="F295" s="401"/>
      <c r="G295" s="401"/>
      <c r="H295" s="15"/>
      <c r="I295" s="337"/>
      <c r="J295" s="15"/>
      <c r="K295" s="401"/>
      <c r="L295" s="315"/>
    </row>
    <row r="296" spans="1:12" ht="15.75" customHeight="1" x14ac:dyDescent="0.25">
      <c r="A296" s="432" t="s">
        <v>324</v>
      </c>
      <c r="B296" s="90"/>
      <c r="C296" s="411"/>
      <c r="D296" s="90"/>
      <c r="E296" s="411"/>
      <c r="F296" s="411"/>
      <c r="G296" s="411"/>
      <c r="H296" s="90"/>
      <c r="I296" s="339"/>
      <c r="J296" s="90"/>
      <c r="K296" s="411"/>
      <c r="L296" s="388"/>
    </row>
    <row r="297" spans="1:12" ht="15.75" customHeight="1" x14ac:dyDescent="0.25">
      <c r="A297" s="425" t="s">
        <v>325</v>
      </c>
      <c r="B297" s="15"/>
      <c r="C297" s="400">
        <v>10772</v>
      </c>
      <c r="D297" s="15"/>
      <c r="E297" s="400">
        <f t="shared" ref="E297:E346" si="69">SUM(B297:D297)</f>
        <v>10772</v>
      </c>
      <c r="F297" s="401"/>
      <c r="G297" s="401"/>
      <c r="H297" s="15"/>
      <c r="I297" s="337"/>
      <c r="J297" s="15"/>
      <c r="K297" s="401"/>
      <c r="L297" s="315"/>
    </row>
    <row r="298" spans="1:12" ht="15.75" customHeight="1" x14ac:dyDescent="0.25">
      <c r="A298" s="425" t="s">
        <v>326</v>
      </c>
      <c r="B298" s="15"/>
      <c r="C298" s="400">
        <v>10000</v>
      </c>
      <c r="D298" s="15"/>
      <c r="E298" s="400">
        <f t="shared" si="69"/>
        <v>10000</v>
      </c>
      <c r="F298" s="401"/>
      <c r="G298" s="401"/>
      <c r="H298" s="15"/>
      <c r="I298" s="337"/>
      <c r="J298" s="15"/>
      <c r="K298" s="401"/>
      <c r="L298" s="315"/>
    </row>
    <row r="299" spans="1:12" ht="15.75" customHeight="1" x14ac:dyDescent="0.25">
      <c r="A299" s="425" t="s">
        <v>327</v>
      </c>
      <c r="B299" s="15"/>
      <c r="C299" s="400">
        <v>10000</v>
      </c>
      <c r="D299" s="15"/>
      <c r="E299" s="400">
        <f t="shared" si="69"/>
        <v>10000</v>
      </c>
      <c r="F299" s="401"/>
      <c r="G299" s="401"/>
      <c r="H299" s="15"/>
      <c r="I299" s="337"/>
      <c r="J299" s="15"/>
      <c r="K299" s="401"/>
      <c r="L299" s="315"/>
    </row>
    <row r="300" spans="1:12" ht="15.75" customHeight="1" x14ac:dyDescent="0.25">
      <c r="A300" s="425" t="s">
        <v>328</v>
      </c>
      <c r="B300" s="15"/>
      <c r="C300" s="400">
        <v>25000</v>
      </c>
      <c r="D300" s="15"/>
      <c r="E300" s="400">
        <f t="shared" si="69"/>
        <v>25000</v>
      </c>
      <c r="F300" s="401"/>
      <c r="G300" s="401"/>
      <c r="H300" s="15"/>
      <c r="I300" s="337"/>
      <c r="J300" s="15"/>
      <c r="K300" s="401"/>
      <c r="L300" s="315"/>
    </row>
    <row r="301" spans="1:12" ht="15.75" customHeight="1" x14ac:dyDescent="0.25">
      <c r="A301" s="425" t="s">
        <v>329</v>
      </c>
      <c r="B301" s="15"/>
      <c r="C301" s="400">
        <v>67000</v>
      </c>
      <c r="D301" s="15"/>
      <c r="E301" s="400">
        <f t="shared" si="69"/>
        <v>67000</v>
      </c>
      <c r="F301" s="401"/>
      <c r="G301" s="401"/>
      <c r="H301" s="15"/>
      <c r="I301" s="337"/>
      <c r="J301" s="15"/>
      <c r="K301" s="401"/>
      <c r="L301" s="315"/>
    </row>
    <row r="302" spans="1:12" ht="15.75" customHeight="1" x14ac:dyDescent="0.25">
      <c r="A302" s="425" t="s">
        <v>330</v>
      </c>
      <c r="B302" s="15"/>
      <c r="C302" s="400">
        <v>1000</v>
      </c>
      <c r="D302" s="45"/>
      <c r="E302" s="400">
        <f>SUM(B302:D302)</f>
        <v>1000</v>
      </c>
      <c r="F302" s="401"/>
      <c r="G302" s="401"/>
      <c r="H302" s="15"/>
      <c r="I302" s="337"/>
      <c r="J302" s="15"/>
      <c r="K302" s="401"/>
      <c r="L302" s="315"/>
    </row>
    <row r="303" spans="1:12" ht="15.75" customHeight="1" x14ac:dyDescent="0.25">
      <c r="A303" s="425" t="s">
        <v>331</v>
      </c>
      <c r="B303" s="15"/>
      <c r="C303" s="401"/>
      <c r="D303" s="15"/>
      <c r="E303" s="401">
        <f>SUM(B303:D303)</f>
        <v>0</v>
      </c>
      <c r="F303" s="401"/>
      <c r="G303" s="401"/>
      <c r="H303" s="15"/>
      <c r="I303" s="348">
        <f>SUM(Table13[[#This Row],[Pašv.līdz.]:[Aizņēmums]])</f>
        <v>88568</v>
      </c>
      <c r="J303" s="45">
        <v>8857</v>
      </c>
      <c r="K303" s="400">
        <v>79711</v>
      </c>
      <c r="L303" s="392"/>
    </row>
    <row r="304" spans="1:12" ht="15.75" customHeight="1" x14ac:dyDescent="0.25">
      <c r="A304" s="423" t="s">
        <v>333</v>
      </c>
      <c r="B304" s="15"/>
      <c r="C304" s="401"/>
      <c r="D304" s="15"/>
      <c r="E304" s="401">
        <f t="shared" si="69"/>
        <v>0</v>
      </c>
      <c r="F304" s="401"/>
      <c r="G304" s="401"/>
      <c r="H304" s="15"/>
      <c r="I304" s="337"/>
      <c r="J304" s="15"/>
      <c r="K304" s="401"/>
      <c r="L304" s="315"/>
    </row>
    <row r="305" spans="1:12" ht="15.75" customHeight="1" x14ac:dyDescent="0.25">
      <c r="A305" s="425" t="s">
        <v>325</v>
      </c>
      <c r="B305" s="14"/>
      <c r="C305" s="400">
        <v>11000</v>
      </c>
      <c r="D305" s="45"/>
      <c r="E305" s="400">
        <f>SUM(B305:D305)</f>
        <v>11000</v>
      </c>
      <c r="F305" s="402"/>
      <c r="G305" s="469"/>
      <c r="H305" s="38"/>
      <c r="I305" s="351"/>
      <c r="J305" s="38"/>
      <c r="K305" s="469"/>
      <c r="L305" s="176"/>
    </row>
    <row r="306" spans="1:12" ht="15.75" customHeight="1" x14ac:dyDescent="0.25">
      <c r="A306" s="425" t="s">
        <v>213</v>
      </c>
      <c r="B306" s="15"/>
      <c r="C306" s="400">
        <v>300</v>
      </c>
      <c r="D306" s="45"/>
      <c r="E306" s="400">
        <f t="shared" si="69"/>
        <v>300</v>
      </c>
      <c r="F306" s="401"/>
      <c r="G306" s="401"/>
      <c r="H306" s="15"/>
      <c r="I306" s="337"/>
      <c r="J306" s="15"/>
      <c r="K306" s="401"/>
      <c r="L306" s="315"/>
    </row>
    <row r="307" spans="1:12" ht="15.75" customHeight="1" x14ac:dyDescent="0.25">
      <c r="A307" s="425" t="s">
        <v>329</v>
      </c>
      <c r="B307" s="15"/>
      <c r="C307" s="400">
        <v>5800</v>
      </c>
      <c r="D307" s="45"/>
      <c r="E307" s="400">
        <f t="shared" si="69"/>
        <v>5800</v>
      </c>
      <c r="F307" s="401"/>
      <c r="G307" s="401"/>
      <c r="H307" s="15"/>
      <c r="I307" s="337"/>
      <c r="J307" s="15"/>
      <c r="K307" s="401"/>
      <c r="L307" s="315"/>
    </row>
    <row r="308" spans="1:12" ht="15.75" customHeight="1" x14ac:dyDescent="0.25">
      <c r="A308" s="425" t="s">
        <v>334</v>
      </c>
      <c r="B308" s="15"/>
      <c r="C308" s="401"/>
      <c r="D308" s="15"/>
      <c r="E308" s="401">
        <f t="shared" si="69"/>
        <v>0</v>
      </c>
      <c r="F308" s="401"/>
      <c r="G308" s="401"/>
      <c r="H308" s="45">
        <v>10000</v>
      </c>
      <c r="I308" s="337"/>
      <c r="J308" s="15"/>
      <c r="K308" s="401"/>
      <c r="L308" s="315"/>
    </row>
    <row r="309" spans="1:12" ht="15.75" customHeight="1" x14ac:dyDescent="0.25">
      <c r="A309" s="425" t="s">
        <v>335</v>
      </c>
      <c r="B309" s="15"/>
      <c r="C309" s="401"/>
      <c r="D309" s="15"/>
      <c r="E309" s="401">
        <f t="shared" si="69"/>
        <v>0</v>
      </c>
      <c r="F309" s="401"/>
      <c r="G309" s="401"/>
      <c r="H309" s="45">
        <v>100000</v>
      </c>
      <c r="I309" s="337"/>
      <c r="J309" s="15"/>
      <c r="K309" s="401"/>
      <c r="L309" s="315"/>
    </row>
    <row r="310" spans="1:12" ht="15.75" customHeight="1" x14ac:dyDescent="0.25">
      <c r="A310" s="425" t="s">
        <v>336</v>
      </c>
      <c r="B310" s="15"/>
      <c r="C310" s="401"/>
      <c r="D310" s="15"/>
      <c r="E310" s="401">
        <f t="shared" si="69"/>
        <v>0</v>
      </c>
      <c r="F310" s="401"/>
      <c r="G310" s="401"/>
      <c r="H310" s="45">
        <v>40000</v>
      </c>
      <c r="I310" s="337"/>
      <c r="J310" s="15"/>
      <c r="K310" s="401"/>
      <c r="L310" s="315"/>
    </row>
    <row r="311" spans="1:12" ht="15.75" customHeight="1" x14ac:dyDescent="0.25">
      <c r="A311" s="425" t="s">
        <v>337</v>
      </c>
      <c r="B311" s="15"/>
      <c r="C311" s="401"/>
      <c r="D311" s="15"/>
      <c r="E311" s="401">
        <f t="shared" si="69"/>
        <v>0</v>
      </c>
      <c r="F311" s="401"/>
      <c r="G311" s="401"/>
      <c r="H311" s="45">
        <v>10000</v>
      </c>
      <c r="I311" s="337"/>
      <c r="J311" s="15"/>
      <c r="K311" s="401"/>
      <c r="L311" s="315"/>
    </row>
    <row r="312" spans="1:12" ht="15.75" customHeight="1" x14ac:dyDescent="0.25">
      <c r="A312" s="431" t="s">
        <v>188</v>
      </c>
      <c r="B312" s="322">
        <f>SUM(B296:B311)</f>
        <v>0</v>
      </c>
      <c r="C312" s="405">
        <f>SUM(C296:C311)</f>
        <v>140872</v>
      </c>
      <c r="D312" s="322">
        <f>SUM(D296:D311)</f>
        <v>0</v>
      </c>
      <c r="E312" s="405">
        <f t="shared" si="69"/>
        <v>140872</v>
      </c>
      <c r="F312" s="405">
        <f t="shared" ref="F312:L312" si="70">SUM(F297:F311)</f>
        <v>0</v>
      </c>
      <c r="G312" s="405">
        <f t="shared" si="70"/>
        <v>0</v>
      </c>
      <c r="H312" s="322">
        <f t="shared" si="70"/>
        <v>160000</v>
      </c>
      <c r="I312" s="340">
        <f t="shared" si="70"/>
        <v>88568</v>
      </c>
      <c r="J312" s="322">
        <f t="shared" si="70"/>
        <v>8857</v>
      </c>
      <c r="K312" s="405">
        <f t="shared" si="70"/>
        <v>79711</v>
      </c>
      <c r="L312" s="387">
        <f t="shared" si="70"/>
        <v>0</v>
      </c>
    </row>
    <row r="313" spans="1:12" ht="15.75" customHeight="1" x14ac:dyDescent="0.25">
      <c r="A313" s="432" t="s">
        <v>97</v>
      </c>
      <c r="B313" s="15"/>
      <c r="C313" s="401"/>
      <c r="D313" s="15"/>
      <c r="E313" s="401">
        <f t="shared" si="69"/>
        <v>0</v>
      </c>
      <c r="F313" s="401"/>
      <c r="G313" s="401"/>
      <c r="H313" s="15"/>
      <c r="I313" s="337"/>
      <c r="J313" s="15"/>
      <c r="K313" s="401"/>
      <c r="L313" s="388"/>
    </row>
    <row r="314" spans="1:12" ht="15.75" customHeight="1" x14ac:dyDescent="0.25">
      <c r="A314" s="438" t="s">
        <v>339</v>
      </c>
      <c r="B314" s="15"/>
      <c r="C314" s="401"/>
      <c r="D314" s="15"/>
      <c r="E314" s="401">
        <f t="shared" si="69"/>
        <v>0</v>
      </c>
      <c r="F314" s="401"/>
      <c r="G314" s="400">
        <v>25000</v>
      </c>
      <c r="H314" s="15"/>
      <c r="I314" s="337"/>
      <c r="J314" s="15"/>
      <c r="K314" s="401"/>
      <c r="L314" s="315"/>
    </row>
    <row r="315" spans="1:12" ht="15.75" customHeight="1" x14ac:dyDescent="0.25">
      <c r="A315" s="431" t="s">
        <v>188</v>
      </c>
      <c r="B315" s="322">
        <f>SUM(B314:B314)</f>
        <v>0</v>
      </c>
      <c r="C315" s="405">
        <f>SUM(C314:C314)</f>
        <v>0</v>
      </c>
      <c r="D315" s="322">
        <f>SUM(D314:D314)</f>
        <v>0</v>
      </c>
      <c r="E315" s="405">
        <f t="shared" si="69"/>
        <v>0</v>
      </c>
      <c r="F315" s="405">
        <f t="shared" ref="F315:L315" si="71">SUM(F313:F314)</f>
        <v>0</v>
      </c>
      <c r="G315" s="405">
        <f t="shared" si="71"/>
        <v>25000</v>
      </c>
      <c r="H315" s="322">
        <f t="shared" si="71"/>
        <v>0</v>
      </c>
      <c r="I315" s="340">
        <f t="shared" si="71"/>
        <v>0</v>
      </c>
      <c r="J315" s="322">
        <f t="shared" si="71"/>
        <v>0</v>
      </c>
      <c r="K315" s="405">
        <f t="shared" si="71"/>
        <v>0</v>
      </c>
      <c r="L315" s="387">
        <f t="shared" si="71"/>
        <v>0</v>
      </c>
    </row>
    <row r="316" spans="1:12" ht="15.75" hidden="1" customHeight="1" x14ac:dyDescent="0.25">
      <c r="A316" s="432" t="s">
        <v>105</v>
      </c>
      <c r="B316" s="90"/>
      <c r="C316" s="411"/>
      <c r="D316" s="90"/>
      <c r="E316" s="401">
        <f t="shared" si="69"/>
        <v>0</v>
      </c>
      <c r="F316" s="411"/>
      <c r="G316" s="411"/>
      <c r="H316" s="90"/>
      <c r="I316" s="339"/>
      <c r="J316" s="90"/>
      <c r="K316" s="411"/>
      <c r="L316" s="388"/>
    </row>
    <row r="317" spans="1:12" ht="15.75" hidden="1" customHeight="1" x14ac:dyDescent="0.25">
      <c r="A317" s="424"/>
      <c r="B317" s="14"/>
      <c r="C317" s="402"/>
      <c r="D317" s="14"/>
      <c r="E317" s="402">
        <f t="shared" ref="E317:E323" si="72">SUM(B317:D317)</f>
        <v>0</v>
      </c>
      <c r="F317" s="402"/>
      <c r="G317" s="469"/>
      <c r="H317" s="38"/>
      <c r="I317" s="351"/>
      <c r="J317" s="38"/>
      <c r="K317" s="469"/>
      <c r="L317" s="176"/>
    </row>
    <row r="318" spans="1:12" ht="15.75" hidden="1" customHeight="1" x14ac:dyDescent="0.25">
      <c r="A318" s="424"/>
      <c r="B318" s="14"/>
      <c r="C318" s="402"/>
      <c r="D318" s="14"/>
      <c r="E318" s="402">
        <f t="shared" si="72"/>
        <v>0</v>
      </c>
      <c r="F318" s="402"/>
      <c r="G318" s="469"/>
      <c r="H318" s="38"/>
      <c r="I318" s="351"/>
      <c r="J318" s="38"/>
      <c r="K318" s="469"/>
      <c r="L318" s="176"/>
    </row>
    <row r="319" spans="1:12" ht="15.75" hidden="1" customHeight="1" x14ac:dyDescent="0.25">
      <c r="A319" s="432" t="s">
        <v>340</v>
      </c>
      <c r="B319" s="14"/>
      <c r="C319" s="402"/>
      <c r="D319" s="14"/>
      <c r="E319" s="402">
        <f t="shared" si="72"/>
        <v>0</v>
      </c>
      <c r="F319" s="402"/>
      <c r="G319" s="469"/>
      <c r="H319" s="38"/>
      <c r="I319" s="351"/>
      <c r="J319" s="38"/>
      <c r="K319" s="469"/>
      <c r="L319" s="176"/>
    </row>
    <row r="320" spans="1:12" ht="15.75" hidden="1" customHeight="1" x14ac:dyDescent="0.25">
      <c r="A320" s="424" t="s">
        <v>341</v>
      </c>
      <c r="B320" s="14"/>
      <c r="C320" s="402"/>
      <c r="D320" s="14"/>
      <c r="E320" s="402">
        <f t="shared" si="72"/>
        <v>0</v>
      </c>
      <c r="F320" s="402"/>
      <c r="G320" s="469"/>
      <c r="H320" s="38"/>
      <c r="I320" s="351"/>
      <c r="J320" s="38"/>
      <c r="K320" s="469"/>
      <c r="L320" s="176"/>
    </row>
    <row r="321" spans="1:12" ht="15.75" hidden="1" customHeight="1" x14ac:dyDescent="0.25">
      <c r="A321" s="424" t="s">
        <v>342</v>
      </c>
      <c r="B321" s="14"/>
      <c r="C321" s="402"/>
      <c r="D321" s="14"/>
      <c r="E321" s="402">
        <f t="shared" si="72"/>
        <v>0</v>
      </c>
      <c r="F321" s="402"/>
      <c r="G321" s="469"/>
      <c r="H321" s="38"/>
      <c r="I321" s="351"/>
      <c r="J321" s="38"/>
      <c r="K321" s="469"/>
      <c r="L321" s="176"/>
    </row>
    <row r="322" spans="1:12" ht="15.75" hidden="1" customHeight="1" x14ac:dyDescent="0.25">
      <c r="A322" s="424" t="s">
        <v>343</v>
      </c>
      <c r="B322" s="14"/>
      <c r="C322" s="402"/>
      <c r="D322" s="14"/>
      <c r="E322" s="402">
        <f t="shared" si="72"/>
        <v>0</v>
      </c>
      <c r="F322" s="402"/>
      <c r="G322" s="469"/>
      <c r="H322" s="38"/>
      <c r="I322" s="351"/>
      <c r="J322" s="38"/>
      <c r="K322" s="469"/>
      <c r="L322" s="176"/>
    </row>
    <row r="323" spans="1:12" ht="15.75" customHeight="1" x14ac:dyDescent="0.25">
      <c r="A323" s="432" t="s">
        <v>344</v>
      </c>
      <c r="B323" s="14"/>
      <c r="C323" s="402"/>
      <c r="D323" s="14"/>
      <c r="E323" s="402">
        <f t="shared" si="72"/>
        <v>0</v>
      </c>
      <c r="F323" s="402"/>
      <c r="G323" s="469"/>
      <c r="H323" s="38"/>
      <c r="I323" s="351"/>
      <c r="J323" s="38"/>
      <c r="K323" s="469"/>
      <c r="L323" s="176"/>
    </row>
    <row r="324" spans="1:12" ht="15.75" customHeight="1" x14ac:dyDescent="0.25">
      <c r="A324" s="424" t="s">
        <v>345</v>
      </c>
      <c r="B324" s="15"/>
      <c r="C324" s="401"/>
      <c r="D324" s="15"/>
      <c r="E324" s="401">
        <f t="shared" si="69"/>
        <v>0</v>
      </c>
      <c r="F324" s="401"/>
      <c r="G324" s="401"/>
      <c r="H324" s="45">
        <v>6000</v>
      </c>
      <c r="I324" s="337"/>
      <c r="J324" s="15"/>
      <c r="K324" s="401"/>
      <c r="L324" s="315"/>
    </row>
    <row r="325" spans="1:12" ht="15.75" customHeight="1" x14ac:dyDescent="0.25">
      <c r="A325" s="431" t="s">
        <v>188</v>
      </c>
      <c r="B325" s="322">
        <f>SUM(B316:B324)</f>
        <v>0</v>
      </c>
      <c r="C325" s="405">
        <f>SUM(C316:C324)</f>
        <v>0</v>
      </c>
      <c r="D325" s="322">
        <f>SUM(D316:D324)</f>
        <v>0</v>
      </c>
      <c r="E325" s="405">
        <f t="shared" si="69"/>
        <v>0</v>
      </c>
      <c r="F325" s="405">
        <f t="shared" ref="F325:L325" si="73">SUM(F316:F324)</f>
        <v>0</v>
      </c>
      <c r="G325" s="405">
        <f t="shared" si="73"/>
        <v>0</v>
      </c>
      <c r="H325" s="322">
        <f t="shared" si="73"/>
        <v>6000</v>
      </c>
      <c r="I325" s="340">
        <f t="shared" si="73"/>
        <v>0</v>
      </c>
      <c r="J325" s="322">
        <f t="shared" si="73"/>
        <v>0</v>
      </c>
      <c r="K325" s="405">
        <f t="shared" si="73"/>
        <v>0</v>
      </c>
      <c r="L325" s="387">
        <f t="shared" si="73"/>
        <v>0</v>
      </c>
    </row>
    <row r="326" spans="1:12" ht="15.75" customHeight="1" x14ac:dyDescent="0.25">
      <c r="A326" s="432" t="s">
        <v>346</v>
      </c>
      <c r="B326" s="90"/>
      <c r="C326" s="411"/>
      <c r="D326" s="90"/>
      <c r="E326" s="401">
        <f t="shared" si="69"/>
        <v>0</v>
      </c>
      <c r="F326" s="411"/>
      <c r="G326" s="411"/>
      <c r="H326" s="90"/>
      <c r="I326" s="339"/>
      <c r="J326" s="90"/>
      <c r="K326" s="411"/>
      <c r="L326" s="388"/>
    </row>
    <row r="327" spans="1:12" ht="15.75" customHeight="1" x14ac:dyDescent="0.25">
      <c r="A327" s="425" t="s">
        <v>347</v>
      </c>
      <c r="B327" s="15"/>
      <c r="C327" s="400">
        <v>107776</v>
      </c>
      <c r="D327" s="45"/>
      <c r="E327" s="400">
        <f t="shared" si="69"/>
        <v>107776</v>
      </c>
      <c r="F327" s="401"/>
      <c r="G327" s="401"/>
      <c r="H327" s="15"/>
      <c r="I327" s="337"/>
      <c r="J327" s="15"/>
      <c r="K327" s="401"/>
      <c r="L327" s="315"/>
    </row>
    <row r="328" spans="1:12" ht="15.75" customHeight="1" x14ac:dyDescent="0.25">
      <c r="A328" s="425" t="s">
        <v>348</v>
      </c>
      <c r="B328" s="15"/>
      <c r="C328" s="400">
        <v>15000</v>
      </c>
      <c r="D328" s="45"/>
      <c r="E328" s="400">
        <f t="shared" si="69"/>
        <v>15000</v>
      </c>
      <c r="F328" s="401"/>
      <c r="G328" s="401"/>
      <c r="H328" s="15"/>
      <c r="I328" s="337"/>
      <c r="J328" s="15"/>
      <c r="K328" s="401"/>
      <c r="L328" s="315"/>
    </row>
    <row r="329" spans="1:12" ht="15.75" customHeight="1" x14ac:dyDescent="0.25">
      <c r="A329" s="426" t="s">
        <v>349</v>
      </c>
      <c r="B329" s="15"/>
      <c r="C329" s="400">
        <v>15000</v>
      </c>
      <c r="D329" s="45"/>
      <c r="E329" s="400">
        <f>SUM(B329:D329)</f>
        <v>15000</v>
      </c>
      <c r="F329" s="401"/>
      <c r="G329" s="401"/>
      <c r="H329" s="15"/>
      <c r="I329" s="337"/>
      <c r="J329" s="15"/>
      <c r="K329" s="401"/>
      <c r="L329" s="315"/>
    </row>
    <row r="330" spans="1:12" ht="15.75" customHeight="1" x14ac:dyDescent="0.25">
      <c r="A330" s="423" t="s">
        <v>350</v>
      </c>
      <c r="B330" s="15"/>
      <c r="C330" s="401"/>
      <c r="D330" s="15"/>
      <c r="E330" s="401">
        <f t="shared" si="69"/>
        <v>0</v>
      </c>
      <c r="F330" s="401"/>
      <c r="G330" s="401"/>
      <c r="H330" s="15"/>
      <c r="I330" s="337"/>
      <c r="J330" s="15"/>
      <c r="K330" s="401"/>
      <c r="L330" s="315"/>
    </row>
    <row r="331" spans="1:12" ht="15.75" customHeight="1" x14ac:dyDescent="0.25">
      <c r="A331" s="425" t="s">
        <v>347</v>
      </c>
      <c r="B331" s="45"/>
      <c r="C331" s="400">
        <v>17063</v>
      </c>
      <c r="D331" s="45"/>
      <c r="E331" s="400">
        <f t="shared" si="69"/>
        <v>17063</v>
      </c>
      <c r="F331" s="401"/>
      <c r="G331" s="401"/>
      <c r="H331" s="15"/>
      <c r="I331" s="337"/>
      <c r="J331" s="15"/>
      <c r="K331" s="401"/>
      <c r="L331" s="315"/>
    </row>
    <row r="332" spans="1:12" ht="15.75" customHeight="1" x14ac:dyDescent="0.25">
      <c r="A332" s="425" t="s">
        <v>351</v>
      </c>
      <c r="B332" s="45"/>
      <c r="C332" s="400">
        <v>1000</v>
      </c>
      <c r="D332" s="45"/>
      <c r="E332" s="400">
        <f t="shared" si="69"/>
        <v>1000</v>
      </c>
      <c r="F332" s="401"/>
      <c r="G332" s="401"/>
      <c r="H332" s="15"/>
      <c r="I332" s="337"/>
      <c r="J332" s="15"/>
      <c r="K332" s="401"/>
      <c r="L332" s="315"/>
    </row>
    <row r="333" spans="1:12" ht="15.75" customHeight="1" x14ac:dyDescent="0.25">
      <c r="A333" s="423" t="s">
        <v>352</v>
      </c>
      <c r="B333" s="15"/>
      <c r="C333" s="401"/>
      <c r="D333" s="15"/>
      <c r="E333" s="401">
        <f t="shared" si="69"/>
        <v>0</v>
      </c>
      <c r="F333" s="401"/>
      <c r="G333" s="401"/>
      <c r="H333" s="15"/>
      <c r="I333" s="337"/>
      <c r="J333" s="15"/>
      <c r="K333" s="401"/>
      <c r="L333" s="315"/>
    </row>
    <row r="334" spans="1:12" ht="15.75" customHeight="1" x14ac:dyDescent="0.25">
      <c r="A334" s="424" t="s">
        <v>347</v>
      </c>
      <c r="B334" s="45">
        <v>6779</v>
      </c>
      <c r="C334" s="400">
        <v>27452</v>
      </c>
      <c r="D334" s="45"/>
      <c r="E334" s="400">
        <f t="shared" si="69"/>
        <v>34231</v>
      </c>
      <c r="F334" s="401"/>
      <c r="G334" s="401"/>
      <c r="H334" s="15"/>
      <c r="I334" s="337"/>
      <c r="J334" s="15"/>
      <c r="K334" s="401"/>
      <c r="L334" s="315"/>
    </row>
    <row r="335" spans="1:12" ht="15.75" customHeight="1" x14ac:dyDescent="0.25">
      <c r="A335" s="431" t="s">
        <v>188</v>
      </c>
      <c r="B335" s="322">
        <f>SUM(B326:B334)</f>
        <v>6779</v>
      </c>
      <c r="C335" s="405">
        <f>SUM(C326:C334)</f>
        <v>183291</v>
      </c>
      <c r="D335" s="322">
        <f>SUM(D326:D334)</f>
        <v>0</v>
      </c>
      <c r="E335" s="405">
        <f t="shared" si="69"/>
        <v>190070</v>
      </c>
      <c r="F335" s="405">
        <f t="shared" ref="F335:L335" si="74">SUM(F326:F334)</f>
        <v>0</v>
      </c>
      <c r="G335" s="405">
        <f t="shared" si="74"/>
        <v>0</v>
      </c>
      <c r="H335" s="322">
        <f t="shared" si="74"/>
        <v>0</v>
      </c>
      <c r="I335" s="340">
        <f t="shared" si="74"/>
        <v>0</v>
      </c>
      <c r="J335" s="322">
        <f t="shared" si="74"/>
        <v>0</v>
      </c>
      <c r="K335" s="405">
        <f t="shared" si="74"/>
        <v>0</v>
      </c>
      <c r="L335" s="387">
        <f t="shared" si="74"/>
        <v>0</v>
      </c>
    </row>
    <row r="336" spans="1:12" ht="15.75" customHeight="1" x14ac:dyDescent="0.25">
      <c r="A336" s="447" t="s">
        <v>99</v>
      </c>
      <c r="B336" s="100"/>
      <c r="C336" s="413">
        <v>57853</v>
      </c>
      <c r="D336" s="100"/>
      <c r="E336" s="400">
        <f t="shared" si="69"/>
        <v>57853</v>
      </c>
      <c r="F336" s="472"/>
      <c r="G336" s="472"/>
      <c r="H336" s="100"/>
      <c r="I336" s="345"/>
      <c r="J336" s="100"/>
      <c r="K336" s="472"/>
      <c r="L336" s="394"/>
    </row>
    <row r="337" spans="1:12" ht="14.25" customHeight="1" x14ac:dyDescent="0.25">
      <c r="A337" s="425" t="s">
        <v>353</v>
      </c>
      <c r="B337" s="19"/>
      <c r="C337" s="414">
        <v>774365</v>
      </c>
      <c r="D337" s="19"/>
      <c r="E337" s="400">
        <f t="shared" si="69"/>
        <v>774365</v>
      </c>
      <c r="F337" s="415"/>
      <c r="G337" s="415"/>
      <c r="H337" s="19"/>
      <c r="I337" s="343"/>
      <c r="J337" s="19"/>
      <c r="K337" s="415"/>
      <c r="L337" s="317"/>
    </row>
    <row r="338" spans="1:12" ht="15.75" customHeight="1" x14ac:dyDescent="0.25">
      <c r="A338" s="426" t="s">
        <v>354</v>
      </c>
      <c r="B338" s="19"/>
      <c r="C338" s="414">
        <v>20000</v>
      </c>
      <c r="D338" s="19"/>
      <c r="E338" s="400">
        <f t="shared" si="69"/>
        <v>20000</v>
      </c>
      <c r="F338" s="415"/>
      <c r="G338" s="415"/>
      <c r="H338" s="19"/>
      <c r="I338" s="343"/>
      <c r="J338" s="19"/>
      <c r="K338" s="415"/>
      <c r="L338" s="317"/>
    </row>
    <row r="339" spans="1:12" ht="15.75" customHeight="1" x14ac:dyDescent="0.25">
      <c r="A339" s="426" t="s">
        <v>355</v>
      </c>
      <c r="B339" s="19"/>
      <c r="C339" s="414">
        <v>10000</v>
      </c>
      <c r="D339" s="19"/>
      <c r="E339" s="400">
        <f t="shared" si="69"/>
        <v>10000</v>
      </c>
      <c r="F339" s="415"/>
      <c r="G339" s="415"/>
      <c r="H339" s="19"/>
      <c r="I339" s="343"/>
      <c r="J339" s="19"/>
      <c r="K339" s="415"/>
      <c r="L339" s="317"/>
    </row>
    <row r="340" spans="1:12" ht="15.75" customHeight="1" x14ac:dyDescent="0.25">
      <c r="A340" s="425" t="s">
        <v>356</v>
      </c>
      <c r="B340" s="19"/>
      <c r="C340" s="414">
        <v>5000</v>
      </c>
      <c r="D340" s="19"/>
      <c r="E340" s="400">
        <f t="shared" si="69"/>
        <v>5000</v>
      </c>
      <c r="F340" s="415"/>
      <c r="G340" s="415"/>
      <c r="H340" s="19"/>
      <c r="I340" s="343"/>
      <c r="J340" s="19"/>
      <c r="K340" s="415"/>
      <c r="L340" s="317"/>
    </row>
    <row r="341" spans="1:12" ht="15.75" customHeight="1" x14ac:dyDescent="0.25">
      <c r="A341" s="425" t="s">
        <v>357</v>
      </c>
      <c r="B341" s="19"/>
      <c r="C341" s="414">
        <v>28550</v>
      </c>
      <c r="D341" s="19"/>
      <c r="E341" s="400">
        <f t="shared" si="69"/>
        <v>28550</v>
      </c>
      <c r="F341" s="415"/>
      <c r="G341" s="415"/>
      <c r="H341" s="19"/>
      <c r="I341" s="343"/>
      <c r="J341" s="19"/>
      <c r="K341" s="415"/>
      <c r="L341" s="317"/>
    </row>
    <row r="342" spans="1:12" ht="15.75" customHeight="1" x14ac:dyDescent="0.25">
      <c r="A342" s="425" t="s">
        <v>358</v>
      </c>
      <c r="B342" s="15"/>
      <c r="C342" s="401"/>
      <c r="D342" s="15"/>
      <c r="E342" s="401">
        <f>SUM(B342:D342)</f>
        <v>0</v>
      </c>
      <c r="F342" s="401"/>
      <c r="G342" s="401"/>
      <c r="H342" s="15"/>
      <c r="I342" s="348">
        <f>SUM(Table13[[#This Row],[Pašv.līdz.]:[Aizņēmums]])</f>
        <v>321278</v>
      </c>
      <c r="J342" s="45">
        <v>48192</v>
      </c>
      <c r="K342" s="400"/>
      <c r="L342" s="392">
        <v>273086</v>
      </c>
    </row>
    <row r="343" spans="1:12" x14ac:dyDescent="0.25">
      <c r="A343" s="439" t="s">
        <v>359</v>
      </c>
      <c r="B343" s="15"/>
      <c r="C343" s="401"/>
      <c r="D343" s="15"/>
      <c r="E343" s="401">
        <f>SUM(B343:D343)</f>
        <v>0</v>
      </c>
      <c r="F343" s="401"/>
      <c r="G343" s="401"/>
      <c r="H343" s="15"/>
      <c r="I343" s="348">
        <f>SUM(Table13[[#This Row],[Pašv.līdz.]:[Aizņēmums]])</f>
        <v>100000</v>
      </c>
      <c r="J343" s="45">
        <v>20000</v>
      </c>
      <c r="K343" s="400">
        <v>80000</v>
      </c>
      <c r="L343" s="315"/>
    </row>
    <row r="344" spans="1:12" x14ac:dyDescent="0.25">
      <c r="A344" s="440" t="s">
        <v>360</v>
      </c>
      <c r="B344" s="14"/>
      <c r="C344" s="402"/>
      <c r="D344" s="14"/>
      <c r="E344" s="402">
        <f>SUM(B344:D344)</f>
        <v>0</v>
      </c>
      <c r="F344" s="402"/>
      <c r="G344" s="469"/>
      <c r="H344" s="38"/>
      <c r="I344" s="348">
        <f>SUM(Table13[[#This Row],[Pašv.līdz.]:[Aizņēmums]])</f>
        <v>80000</v>
      </c>
      <c r="J344" s="38">
        <v>16000</v>
      </c>
      <c r="K344" s="469">
        <v>64000</v>
      </c>
      <c r="L344" s="176"/>
    </row>
    <row r="345" spans="1:12" s="274" customFormat="1" ht="15.75" customHeight="1" x14ac:dyDescent="0.25">
      <c r="A345" s="426" t="s">
        <v>361</v>
      </c>
      <c r="B345" s="19"/>
      <c r="C345" s="415"/>
      <c r="D345" s="19"/>
      <c r="E345" s="401">
        <f t="shared" si="69"/>
        <v>0</v>
      </c>
      <c r="F345" s="415"/>
      <c r="G345" s="415"/>
      <c r="H345" s="110">
        <v>1145</v>
      </c>
      <c r="I345" s="343"/>
      <c r="J345" s="19"/>
      <c r="K345" s="415"/>
      <c r="L345" s="317"/>
    </row>
    <row r="346" spans="1:12" ht="15.75" customHeight="1" x14ac:dyDescent="0.25">
      <c r="A346" s="425" t="s">
        <v>362</v>
      </c>
      <c r="B346" s="19"/>
      <c r="C346" s="415"/>
      <c r="D346" s="19"/>
      <c r="E346" s="401">
        <f t="shared" si="69"/>
        <v>0</v>
      </c>
      <c r="F346" s="415"/>
      <c r="G346" s="415"/>
      <c r="H346" s="110">
        <v>6050</v>
      </c>
      <c r="I346" s="343"/>
      <c r="J346" s="19"/>
      <c r="K346" s="415"/>
      <c r="L346" s="317"/>
    </row>
    <row r="347" spans="1:12" x14ac:dyDescent="0.25">
      <c r="A347" s="448" t="s">
        <v>100</v>
      </c>
      <c r="B347" s="45">
        <v>81329</v>
      </c>
      <c r="C347" s="400">
        <v>49538</v>
      </c>
      <c r="D347" s="45"/>
      <c r="E347" s="400">
        <f t="shared" ref="E347:E348" si="75">SUM(B347:D347)</f>
        <v>130867</v>
      </c>
      <c r="F347" s="401"/>
      <c r="G347" s="401"/>
      <c r="H347" s="15"/>
      <c r="I347" s="343"/>
      <c r="J347" s="15"/>
      <c r="K347" s="401"/>
      <c r="L347" s="315"/>
    </row>
    <row r="348" spans="1:12" ht="30" x14ac:dyDescent="0.25">
      <c r="A348" s="449" t="s">
        <v>365</v>
      </c>
      <c r="B348" s="15"/>
      <c r="C348" s="414">
        <v>169559</v>
      </c>
      <c r="D348" s="45"/>
      <c r="E348" s="400">
        <f t="shared" si="75"/>
        <v>169559</v>
      </c>
      <c r="F348" s="401"/>
      <c r="G348" s="401"/>
      <c r="H348" s="15"/>
      <c r="I348" s="343"/>
      <c r="J348" s="15"/>
      <c r="K348" s="401"/>
      <c r="L348" s="315"/>
    </row>
    <row r="349" spans="1:12" ht="15.75" customHeight="1" x14ac:dyDescent="0.25">
      <c r="A349" s="438" t="s">
        <v>367</v>
      </c>
      <c r="B349" s="14"/>
      <c r="C349" s="402"/>
      <c r="D349" s="14"/>
      <c r="E349" s="402">
        <f t="shared" ref="E349:E350" si="76">SUM(B349:D349)</f>
        <v>0</v>
      </c>
      <c r="F349" s="402"/>
      <c r="G349" s="469">
        <v>9480</v>
      </c>
      <c r="H349" s="38"/>
      <c r="I349" s="351"/>
      <c r="J349" s="38"/>
      <c r="K349" s="469"/>
      <c r="L349" s="176"/>
    </row>
    <row r="350" spans="1:12" ht="15.75" customHeight="1" x14ac:dyDescent="0.25">
      <c r="A350" s="448" t="s">
        <v>101</v>
      </c>
      <c r="B350" s="45">
        <v>149649</v>
      </c>
      <c r="C350" s="400">
        <v>75681</v>
      </c>
      <c r="D350" s="45">
        <v>800</v>
      </c>
      <c r="E350" s="400">
        <f t="shared" si="76"/>
        <v>226130</v>
      </c>
      <c r="F350" s="401"/>
      <c r="G350" s="401"/>
      <c r="H350" s="15"/>
      <c r="I350" s="337"/>
      <c r="J350" s="15"/>
      <c r="K350" s="401"/>
      <c r="L350" s="315"/>
    </row>
    <row r="351" spans="1:12" ht="15.75" customHeight="1" x14ac:dyDescent="0.25">
      <c r="A351" s="427" t="s">
        <v>368</v>
      </c>
      <c r="B351" s="15"/>
      <c r="C351" s="401"/>
      <c r="D351" s="15"/>
      <c r="E351" s="401">
        <f t="shared" ref="E351:E352" si="77">SUM(B351:D351)</f>
        <v>0</v>
      </c>
      <c r="F351" s="401"/>
      <c r="G351" s="401"/>
      <c r="H351" s="15"/>
      <c r="I351" s="348">
        <f>SUM(J351:L351)</f>
        <v>12000</v>
      </c>
      <c r="J351" s="45">
        <v>2000</v>
      </c>
      <c r="K351" s="400">
        <v>10000</v>
      </c>
      <c r="L351" s="315"/>
    </row>
    <row r="352" spans="1:12" ht="15.75" customHeight="1" x14ac:dyDescent="0.25">
      <c r="A352" s="427" t="s">
        <v>248</v>
      </c>
      <c r="B352" s="15"/>
      <c r="C352" s="401"/>
      <c r="D352" s="19"/>
      <c r="E352" s="401">
        <f t="shared" si="77"/>
        <v>0</v>
      </c>
      <c r="F352" s="401"/>
      <c r="G352" s="400">
        <v>5000</v>
      </c>
      <c r="H352" s="15"/>
      <c r="I352" s="337"/>
      <c r="J352" s="15"/>
      <c r="K352" s="401"/>
      <c r="L352" s="315"/>
    </row>
    <row r="353" spans="1:12" ht="15.75" customHeight="1" x14ac:dyDescent="0.25">
      <c r="A353" s="435" t="s">
        <v>188</v>
      </c>
      <c r="B353" s="322">
        <f>SUM(B336:B352)</f>
        <v>230978</v>
      </c>
      <c r="C353" s="405">
        <f>SUM(C336:C352)</f>
        <v>1190546</v>
      </c>
      <c r="D353" s="320">
        <f>SUM(D336:D352)</f>
        <v>800</v>
      </c>
      <c r="E353" s="403">
        <f>SUM(B353:D353)</f>
        <v>1422324</v>
      </c>
      <c r="F353" s="403">
        <f t="shared" ref="F353:L353" si="78">SUM(F336:F352)</f>
        <v>0</v>
      </c>
      <c r="G353" s="403">
        <f t="shared" si="78"/>
        <v>14480</v>
      </c>
      <c r="H353" s="320">
        <f t="shared" si="78"/>
        <v>7195</v>
      </c>
      <c r="I353" s="338">
        <f t="shared" si="78"/>
        <v>513278</v>
      </c>
      <c r="J353" s="320">
        <f t="shared" si="78"/>
        <v>86192</v>
      </c>
      <c r="K353" s="403">
        <f t="shared" si="78"/>
        <v>154000</v>
      </c>
      <c r="L353" s="385">
        <f t="shared" si="78"/>
        <v>273086</v>
      </c>
    </row>
    <row r="354" spans="1:12" ht="15.75" customHeight="1" x14ac:dyDescent="0.25">
      <c r="A354" s="450" t="s">
        <v>21</v>
      </c>
      <c r="B354" s="137"/>
      <c r="C354" s="412"/>
      <c r="D354" s="137"/>
      <c r="E354" s="412"/>
      <c r="F354" s="412"/>
      <c r="G354" s="412"/>
      <c r="H354" s="137"/>
      <c r="I354" s="341"/>
      <c r="J354" s="137"/>
      <c r="K354" s="412"/>
      <c r="L354" s="316"/>
    </row>
    <row r="355" spans="1:12" ht="15.75" customHeight="1" x14ac:dyDescent="0.25">
      <c r="A355" s="425" t="s">
        <v>369</v>
      </c>
      <c r="B355" s="45">
        <v>1854</v>
      </c>
      <c r="C355" s="400">
        <v>27382</v>
      </c>
      <c r="D355" s="45">
        <v>1300</v>
      </c>
      <c r="E355" s="400">
        <f t="shared" ref="E355:E361" si="79">SUM(B355:D355)</f>
        <v>30536</v>
      </c>
      <c r="F355" s="401"/>
      <c r="G355" s="401"/>
      <c r="H355" s="15"/>
      <c r="I355" s="337"/>
      <c r="J355" s="15"/>
      <c r="K355" s="401"/>
      <c r="L355" s="315"/>
    </row>
    <row r="356" spans="1:12" ht="15.75" customHeight="1" x14ac:dyDescent="0.25">
      <c r="A356" s="425" t="s">
        <v>370</v>
      </c>
      <c r="B356" s="45"/>
      <c r="C356" s="400">
        <v>78624</v>
      </c>
      <c r="D356" s="45"/>
      <c r="E356" s="400">
        <f t="shared" si="79"/>
        <v>78624</v>
      </c>
      <c r="F356" s="401"/>
      <c r="G356" s="401"/>
      <c r="H356" s="15"/>
      <c r="I356" s="337"/>
      <c r="J356" s="15"/>
      <c r="K356" s="401"/>
      <c r="L356" s="315"/>
    </row>
    <row r="357" spans="1:12" ht="15.75" customHeight="1" x14ac:dyDescent="0.25">
      <c r="A357" s="425" t="s">
        <v>371</v>
      </c>
      <c r="B357" s="110">
        <v>19198</v>
      </c>
      <c r="C357" s="414">
        <v>13196</v>
      </c>
      <c r="D357" s="110"/>
      <c r="E357" s="400">
        <f t="shared" si="79"/>
        <v>32394</v>
      </c>
      <c r="F357" s="415"/>
      <c r="G357" s="415"/>
      <c r="H357" s="19"/>
      <c r="I357" s="343"/>
      <c r="J357" s="19"/>
      <c r="K357" s="415"/>
      <c r="L357" s="317"/>
    </row>
    <row r="358" spans="1:12" ht="15.75" customHeight="1" x14ac:dyDescent="0.25">
      <c r="A358" s="436" t="s">
        <v>188</v>
      </c>
      <c r="B358" s="326">
        <f t="shared" ref="B358:D358" si="80">SUM(B354:B357)</f>
        <v>21052</v>
      </c>
      <c r="C358" s="407">
        <f t="shared" si="80"/>
        <v>119202</v>
      </c>
      <c r="D358" s="326">
        <f t="shared" si="80"/>
        <v>1300</v>
      </c>
      <c r="E358" s="407">
        <f t="shared" si="79"/>
        <v>141554</v>
      </c>
      <c r="F358" s="407">
        <f t="shared" ref="F358:L358" si="81">SUM(F355:F357)</f>
        <v>0</v>
      </c>
      <c r="G358" s="407">
        <f t="shared" si="81"/>
        <v>0</v>
      </c>
      <c r="H358" s="326">
        <f t="shared" si="81"/>
        <v>0</v>
      </c>
      <c r="I358" s="342">
        <f t="shared" si="81"/>
        <v>0</v>
      </c>
      <c r="J358" s="326">
        <f t="shared" si="81"/>
        <v>0</v>
      </c>
      <c r="K358" s="407">
        <f t="shared" si="81"/>
        <v>0</v>
      </c>
      <c r="L358" s="327">
        <f t="shared" si="81"/>
        <v>0</v>
      </c>
    </row>
    <row r="359" spans="1:12" ht="15.75" customHeight="1" x14ac:dyDescent="0.25">
      <c r="A359" s="423" t="s">
        <v>18</v>
      </c>
      <c r="B359" s="45">
        <v>646770</v>
      </c>
      <c r="C359" s="400">
        <v>68315</v>
      </c>
      <c r="D359" s="45">
        <v>29745</v>
      </c>
      <c r="E359" s="400">
        <f t="shared" si="79"/>
        <v>744830</v>
      </c>
      <c r="F359" s="401"/>
      <c r="G359" s="401"/>
      <c r="H359" s="15"/>
      <c r="I359" s="337"/>
      <c r="J359" s="15"/>
      <c r="K359" s="401"/>
      <c r="L359" s="315"/>
    </row>
    <row r="360" spans="1:12" ht="15.75" customHeight="1" x14ac:dyDescent="0.25">
      <c r="A360" s="424" t="s">
        <v>372</v>
      </c>
      <c r="B360" s="15"/>
      <c r="C360" s="401"/>
      <c r="D360" s="15"/>
      <c r="E360" s="401">
        <f>SUM(B360:D360)</f>
        <v>0</v>
      </c>
      <c r="F360" s="401"/>
      <c r="G360" s="401"/>
      <c r="H360" s="45">
        <v>17647</v>
      </c>
      <c r="I360" s="337"/>
      <c r="J360" s="15"/>
      <c r="K360" s="401"/>
      <c r="L360" s="315"/>
    </row>
    <row r="361" spans="1:12" ht="15.75" customHeight="1" x14ac:dyDescent="0.25">
      <c r="A361" s="425" t="s">
        <v>373</v>
      </c>
      <c r="B361" s="15"/>
      <c r="C361" s="401"/>
      <c r="D361" s="15"/>
      <c r="E361" s="401">
        <f t="shared" si="79"/>
        <v>0</v>
      </c>
      <c r="F361" s="401"/>
      <c r="G361" s="401"/>
      <c r="H361" s="45">
        <v>4477</v>
      </c>
      <c r="I361" s="337"/>
      <c r="J361" s="15"/>
      <c r="K361" s="401"/>
      <c r="L361" s="315"/>
    </row>
    <row r="362" spans="1:12" ht="15.75" customHeight="1" x14ac:dyDescent="0.25">
      <c r="A362" s="423" t="s">
        <v>231</v>
      </c>
      <c r="B362" s="15"/>
      <c r="C362" s="401"/>
      <c r="D362" s="15"/>
      <c r="E362" s="401">
        <f t="shared" ref="E362:E364" si="82">SUM(B362:D362)</f>
        <v>0</v>
      </c>
      <c r="F362" s="401"/>
      <c r="G362" s="401"/>
      <c r="H362" s="15"/>
      <c r="I362" s="337"/>
      <c r="J362" s="15"/>
      <c r="K362" s="401"/>
      <c r="L362" s="315"/>
    </row>
    <row r="363" spans="1:12" ht="15.75" customHeight="1" x14ac:dyDescent="0.25">
      <c r="A363" s="441" t="s">
        <v>374</v>
      </c>
      <c r="B363" s="45"/>
      <c r="C363" s="400"/>
      <c r="D363" s="45"/>
      <c r="E363" s="400">
        <f t="shared" si="82"/>
        <v>0</v>
      </c>
      <c r="F363" s="400"/>
      <c r="G363" s="400">
        <v>2000</v>
      </c>
      <c r="H363" s="15"/>
      <c r="I363" s="337"/>
      <c r="J363" s="15"/>
      <c r="K363" s="401"/>
      <c r="L363" s="315"/>
    </row>
    <row r="364" spans="1:12" ht="15.75" customHeight="1" x14ac:dyDescent="0.25">
      <c r="A364" s="423" t="s">
        <v>27</v>
      </c>
      <c r="B364" s="45">
        <v>3125</v>
      </c>
      <c r="C364" s="400">
        <v>9405</v>
      </c>
      <c r="D364" s="45">
        <v>2000</v>
      </c>
      <c r="E364" s="400">
        <f t="shared" si="82"/>
        <v>14530</v>
      </c>
      <c r="F364" s="401"/>
      <c r="G364" s="401"/>
      <c r="H364" s="15"/>
      <c r="I364" s="337">
        <f t="shared" ref="I364:I365" si="83">SUM(J364:L364)</f>
        <v>0</v>
      </c>
      <c r="J364" s="15"/>
      <c r="K364" s="401"/>
      <c r="L364" s="315"/>
    </row>
    <row r="365" spans="1:12" ht="15.75" customHeight="1" x14ac:dyDescent="0.25">
      <c r="A365" s="423" t="s">
        <v>26</v>
      </c>
      <c r="B365" s="45">
        <v>3024</v>
      </c>
      <c r="C365" s="400">
        <v>7833</v>
      </c>
      <c r="D365" s="45">
        <v>1700</v>
      </c>
      <c r="E365" s="400">
        <f>SUM(B365:D365)</f>
        <v>12557</v>
      </c>
      <c r="F365" s="401"/>
      <c r="G365" s="401"/>
      <c r="H365" s="15"/>
      <c r="I365" s="337">
        <f t="shared" si="83"/>
        <v>0</v>
      </c>
      <c r="J365" s="15"/>
      <c r="K365" s="401"/>
      <c r="L365" s="315"/>
    </row>
    <row r="366" spans="1:12" ht="15.75" customHeight="1" x14ac:dyDescent="0.25">
      <c r="A366" s="448" t="s">
        <v>31</v>
      </c>
      <c r="B366" s="45">
        <v>1008</v>
      </c>
      <c r="C366" s="400">
        <v>3341</v>
      </c>
      <c r="D366" s="45"/>
      <c r="E366" s="400">
        <f>SUM(B366:D366)</f>
        <v>4349</v>
      </c>
      <c r="F366" s="401"/>
      <c r="G366" s="401"/>
      <c r="H366" s="15"/>
      <c r="I366" s="337"/>
      <c r="J366" s="15"/>
      <c r="K366" s="401"/>
      <c r="L366" s="315"/>
    </row>
    <row r="367" spans="1:12" ht="15.75" customHeight="1" x14ac:dyDescent="0.25">
      <c r="A367" s="431" t="s">
        <v>188</v>
      </c>
      <c r="B367" s="322">
        <f>SUM(B359:B366)</f>
        <v>653927</v>
      </c>
      <c r="C367" s="405">
        <f>SUM(C359:C366)</f>
        <v>88894</v>
      </c>
      <c r="D367" s="322">
        <f>SUM(D359:D366)</f>
        <v>33445</v>
      </c>
      <c r="E367" s="405">
        <f>SUM(B367:D367)</f>
        <v>776266</v>
      </c>
      <c r="F367" s="405">
        <f t="shared" ref="F367:L367" si="84">SUM(F359:F366)</f>
        <v>0</v>
      </c>
      <c r="G367" s="405">
        <f t="shared" si="84"/>
        <v>2000</v>
      </c>
      <c r="H367" s="322">
        <f t="shared" si="84"/>
        <v>22124</v>
      </c>
      <c r="I367" s="340">
        <f t="shared" si="84"/>
        <v>0</v>
      </c>
      <c r="J367" s="322">
        <f t="shared" si="84"/>
        <v>0</v>
      </c>
      <c r="K367" s="405">
        <f t="shared" si="84"/>
        <v>0</v>
      </c>
      <c r="L367" s="387">
        <f t="shared" si="84"/>
        <v>0</v>
      </c>
    </row>
    <row r="368" spans="1:12" ht="15.75" customHeight="1" x14ac:dyDescent="0.25">
      <c r="A368" s="432" t="s">
        <v>20</v>
      </c>
      <c r="B368" s="112">
        <v>188463</v>
      </c>
      <c r="C368" s="404">
        <v>22752</v>
      </c>
      <c r="D368" s="112">
        <v>500</v>
      </c>
      <c r="E368" s="404">
        <f t="shared" ref="E368:E373" si="85">SUM(B368:D368)</f>
        <v>211715</v>
      </c>
      <c r="F368" s="411"/>
      <c r="G368" s="411"/>
      <c r="H368" s="90"/>
      <c r="I368" s="339"/>
      <c r="J368" s="90"/>
      <c r="K368" s="411"/>
      <c r="L368" s="388"/>
    </row>
    <row r="369" spans="1:12" ht="15.75" customHeight="1" x14ac:dyDescent="0.25">
      <c r="A369" s="425" t="s">
        <v>375</v>
      </c>
      <c r="B369" s="15"/>
      <c r="C369" s="400">
        <v>3401</v>
      </c>
      <c r="D369" s="45"/>
      <c r="E369" s="400">
        <f t="shared" si="85"/>
        <v>3401</v>
      </c>
      <c r="F369" s="401"/>
      <c r="G369" s="401"/>
      <c r="H369" s="15"/>
      <c r="I369" s="337"/>
      <c r="J369" s="15"/>
      <c r="K369" s="401"/>
      <c r="L369" s="315"/>
    </row>
    <row r="370" spans="1:12" ht="15.75" customHeight="1" x14ac:dyDescent="0.25">
      <c r="A370" s="425" t="s">
        <v>376</v>
      </c>
      <c r="B370" s="15"/>
      <c r="C370" s="401"/>
      <c r="D370" s="15"/>
      <c r="E370" s="401">
        <f t="shared" ref="E370:E372" si="86">SUM(B370:D370)</f>
        <v>0</v>
      </c>
      <c r="F370" s="401"/>
      <c r="G370" s="401"/>
      <c r="H370" s="15"/>
      <c r="I370" s="348">
        <f>SUM(J370:L370)</f>
        <v>1250</v>
      </c>
      <c r="J370" s="45"/>
      <c r="K370" s="400">
        <v>1250</v>
      </c>
      <c r="L370" s="315"/>
    </row>
    <row r="371" spans="1:12" ht="15.75" customHeight="1" x14ac:dyDescent="0.25">
      <c r="A371" s="433" t="s">
        <v>231</v>
      </c>
      <c r="B371" s="15"/>
      <c r="C371" s="401"/>
      <c r="D371" s="15"/>
      <c r="E371" s="401">
        <f t="shared" si="86"/>
        <v>0</v>
      </c>
      <c r="F371" s="401"/>
      <c r="G371" s="401"/>
      <c r="H371" s="15"/>
      <c r="I371" s="337"/>
      <c r="J371" s="15"/>
      <c r="K371" s="401"/>
      <c r="L371" s="315"/>
    </row>
    <row r="372" spans="1:12" ht="15.75" customHeight="1" x14ac:dyDescent="0.25">
      <c r="A372" s="424" t="s">
        <v>377</v>
      </c>
      <c r="B372" s="15"/>
      <c r="C372" s="401"/>
      <c r="D372" s="15"/>
      <c r="E372" s="401">
        <f t="shared" si="86"/>
        <v>0</v>
      </c>
      <c r="F372" s="401"/>
      <c r="G372" s="400">
        <v>1000</v>
      </c>
      <c r="H372" s="15"/>
      <c r="I372" s="337"/>
      <c r="J372" s="15"/>
      <c r="K372" s="401"/>
      <c r="L372" s="315"/>
    </row>
    <row r="373" spans="1:12" ht="15.75" customHeight="1" x14ac:dyDescent="0.25">
      <c r="A373" s="423" t="s">
        <v>17</v>
      </c>
      <c r="B373" s="45">
        <v>9093</v>
      </c>
      <c r="C373" s="400">
        <v>2841</v>
      </c>
      <c r="D373" s="45"/>
      <c r="E373" s="400">
        <f t="shared" si="85"/>
        <v>11934</v>
      </c>
      <c r="F373" s="401"/>
      <c r="G373" s="401"/>
      <c r="H373" s="15"/>
      <c r="I373" s="337"/>
      <c r="J373" s="15"/>
      <c r="K373" s="401"/>
      <c r="L373" s="315"/>
    </row>
    <row r="374" spans="1:12" ht="15.75" customHeight="1" x14ac:dyDescent="0.25">
      <c r="A374" s="423" t="s">
        <v>378</v>
      </c>
      <c r="B374" s="15"/>
      <c r="C374" s="400">
        <v>752</v>
      </c>
      <c r="D374" s="15"/>
      <c r="E374" s="400">
        <f>SUM(B374:D374)</f>
        <v>752</v>
      </c>
      <c r="F374" s="401"/>
      <c r="G374" s="401"/>
      <c r="H374" s="15"/>
      <c r="I374" s="337"/>
      <c r="J374" s="15"/>
      <c r="K374" s="401"/>
      <c r="L374" s="315"/>
    </row>
    <row r="375" spans="1:12" ht="15.75" customHeight="1" x14ac:dyDescent="0.25">
      <c r="A375" s="425" t="s">
        <v>379</v>
      </c>
      <c r="B375" s="19"/>
      <c r="C375" s="414">
        <v>5000</v>
      </c>
      <c r="D375" s="110"/>
      <c r="E375" s="400">
        <f t="shared" ref="E375" si="87">SUM(B375:D375)</f>
        <v>5000</v>
      </c>
      <c r="F375" s="415"/>
      <c r="G375" s="415"/>
      <c r="H375" s="19"/>
      <c r="I375" s="343"/>
      <c r="J375" s="19"/>
      <c r="K375" s="415"/>
      <c r="L375" s="317"/>
    </row>
    <row r="376" spans="1:12" ht="15.75" customHeight="1" x14ac:dyDescent="0.25">
      <c r="A376" s="423" t="s">
        <v>28</v>
      </c>
      <c r="B376" s="45">
        <v>23687</v>
      </c>
      <c r="C376" s="400">
        <v>8953</v>
      </c>
      <c r="D376" s="45"/>
      <c r="E376" s="400">
        <f t="shared" ref="E376:E377" si="88">SUM(B376:D376)</f>
        <v>32640</v>
      </c>
      <c r="F376" s="415"/>
      <c r="G376" s="415"/>
      <c r="H376" s="19"/>
      <c r="I376" s="343"/>
      <c r="J376" s="19"/>
      <c r="K376" s="415"/>
      <c r="L376" s="317"/>
    </row>
    <row r="377" spans="1:12" ht="15.75" customHeight="1" x14ac:dyDescent="0.25">
      <c r="A377" s="431" t="s">
        <v>188</v>
      </c>
      <c r="B377" s="322">
        <f>SUM(B368:B376)</f>
        <v>221243</v>
      </c>
      <c r="C377" s="405">
        <f>SUM(C368:C376)</f>
        <v>43699</v>
      </c>
      <c r="D377" s="322">
        <f>SUM(D368:D376)</f>
        <v>500</v>
      </c>
      <c r="E377" s="403">
        <f t="shared" si="88"/>
        <v>265442</v>
      </c>
      <c r="F377" s="405">
        <f t="shared" ref="F377:L377" si="89">SUM(F368:F376)</f>
        <v>0</v>
      </c>
      <c r="G377" s="405">
        <f t="shared" si="89"/>
        <v>1000</v>
      </c>
      <c r="H377" s="322">
        <f t="shared" si="89"/>
        <v>0</v>
      </c>
      <c r="I377" s="340">
        <f t="shared" si="89"/>
        <v>1250</v>
      </c>
      <c r="J377" s="322">
        <f t="shared" si="89"/>
        <v>0</v>
      </c>
      <c r="K377" s="405">
        <f t="shared" si="89"/>
        <v>1250</v>
      </c>
      <c r="L377" s="387">
        <f t="shared" si="89"/>
        <v>0</v>
      </c>
    </row>
    <row r="378" spans="1:12" ht="15.75" customHeight="1" x14ac:dyDescent="0.25">
      <c r="A378" s="432" t="s">
        <v>19</v>
      </c>
      <c r="B378" s="112">
        <v>101052</v>
      </c>
      <c r="C378" s="404">
        <v>43867</v>
      </c>
      <c r="D378" s="112">
        <v>1050</v>
      </c>
      <c r="E378" s="413">
        <f t="shared" ref="E378" si="90">SUM(B378:D378)</f>
        <v>145969</v>
      </c>
      <c r="F378" s="411"/>
      <c r="G378" s="411"/>
      <c r="H378" s="90"/>
      <c r="I378" s="339"/>
      <c r="J378" s="90"/>
      <c r="K378" s="411"/>
      <c r="L378" s="388"/>
    </row>
    <row r="379" spans="1:12" ht="15.75" customHeight="1" x14ac:dyDescent="0.25">
      <c r="A379" s="441" t="s">
        <v>380</v>
      </c>
      <c r="B379" s="45">
        <v>10716</v>
      </c>
      <c r="C379" s="400">
        <v>11229</v>
      </c>
      <c r="D379" s="15"/>
      <c r="E379" s="414">
        <f t="shared" ref="E379:E384" si="91">SUM(B379:D379)</f>
        <v>21945</v>
      </c>
      <c r="F379" s="401"/>
      <c r="G379" s="401"/>
      <c r="H379" s="38"/>
      <c r="I379" s="351"/>
      <c r="J379" s="38"/>
      <c r="K379" s="469"/>
      <c r="L379" s="176"/>
    </row>
    <row r="380" spans="1:12" ht="15.75" customHeight="1" x14ac:dyDescent="0.25">
      <c r="A380" s="424" t="s">
        <v>842</v>
      </c>
      <c r="B380" s="14"/>
      <c r="C380" s="402"/>
      <c r="D380" s="14"/>
      <c r="E380" s="402">
        <f t="shared" si="91"/>
        <v>0</v>
      </c>
      <c r="F380" s="402"/>
      <c r="G380" s="469">
        <v>25000</v>
      </c>
      <c r="H380" s="38"/>
      <c r="I380" s="351"/>
      <c r="J380" s="38"/>
      <c r="K380" s="469"/>
      <c r="L380" s="176"/>
    </row>
    <row r="381" spans="1:12" ht="15.75" customHeight="1" x14ac:dyDescent="0.25">
      <c r="A381" s="424" t="s">
        <v>1116</v>
      </c>
      <c r="B381" s="15"/>
      <c r="C381" s="401"/>
      <c r="D381" s="15"/>
      <c r="E381" s="415">
        <f t="shared" si="91"/>
        <v>0</v>
      </c>
      <c r="F381" s="401"/>
      <c r="G381" s="401"/>
      <c r="H381" s="38">
        <v>38000</v>
      </c>
      <c r="I381" s="351"/>
      <c r="J381" s="38"/>
      <c r="K381" s="469"/>
      <c r="L381" s="176"/>
    </row>
    <row r="382" spans="1:12" ht="15.75" customHeight="1" x14ac:dyDescent="0.25">
      <c r="A382" s="423" t="s">
        <v>23</v>
      </c>
      <c r="B382" s="45">
        <v>63988</v>
      </c>
      <c r="C382" s="400">
        <v>42887</v>
      </c>
      <c r="D382" s="110"/>
      <c r="E382" s="414">
        <f t="shared" si="91"/>
        <v>106875</v>
      </c>
      <c r="F382" s="415"/>
      <c r="G382" s="415"/>
      <c r="H382" s="38"/>
      <c r="I382" s="351"/>
      <c r="J382" s="38"/>
      <c r="K382" s="469"/>
      <c r="L382" s="176"/>
    </row>
    <row r="383" spans="1:12" ht="15.75" customHeight="1" x14ac:dyDescent="0.25">
      <c r="A383" s="425" t="s">
        <v>381</v>
      </c>
      <c r="B383" s="19"/>
      <c r="C383" s="415"/>
      <c r="D383" s="19"/>
      <c r="E383" s="415">
        <f t="shared" si="91"/>
        <v>0</v>
      </c>
      <c r="F383" s="415"/>
      <c r="G383" s="415"/>
      <c r="H383" s="38"/>
      <c r="I383" s="351">
        <f>SUM(Table13[[#This Row],[Pašv.līdz.]:[Aizņēmums]])</f>
        <v>33770</v>
      </c>
      <c r="J383" s="38"/>
      <c r="K383" s="469">
        <v>33770</v>
      </c>
      <c r="L383" s="176"/>
    </row>
    <row r="384" spans="1:12" ht="15.75" customHeight="1" x14ac:dyDescent="0.25">
      <c r="A384" s="423" t="s">
        <v>22</v>
      </c>
      <c r="B384" s="110">
        <v>80148</v>
      </c>
      <c r="C384" s="414">
        <v>32347</v>
      </c>
      <c r="D384" s="110">
        <v>217</v>
      </c>
      <c r="E384" s="414">
        <f t="shared" si="91"/>
        <v>112712</v>
      </c>
      <c r="F384" s="415"/>
      <c r="G384" s="415"/>
      <c r="H384" s="38"/>
      <c r="I384" s="351"/>
      <c r="J384" s="38"/>
      <c r="K384" s="469"/>
      <c r="L384" s="176"/>
    </row>
    <row r="385" spans="1:12" ht="15.75" customHeight="1" x14ac:dyDescent="0.25">
      <c r="A385" s="425" t="s">
        <v>382</v>
      </c>
      <c r="B385" s="19"/>
      <c r="C385" s="414">
        <v>2165</v>
      </c>
      <c r="D385" s="110"/>
      <c r="E385" s="414">
        <f t="shared" ref="E385:E399" si="92">SUM(B385:D385)</f>
        <v>2165</v>
      </c>
      <c r="F385" s="415"/>
      <c r="G385" s="415"/>
      <c r="H385" s="38"/>
      <c r="I385" s="351"/>
      <c r="J385" s="38"/>
      <c r="K385" s="469"/>
      <c r="L385" s="176"/>
    </row>
    <row r="386" spans="1:12" ht="15.75" customHeight="1" x14ac:dyDescent="0.25">
      <c r="A386" s="423" t="s">
        <v>383</v>
      </c>
      <c r="B386" s="45">
        <v>327183</v>
      </c>
      <c r="C386" s="402">
        <v>82091</v>
      </c>
      <c r="D386" s="14"/>
      <c r="E386" s="414">
        <f t="shared" si="92"/>
        <v>409274</v>
      </c>
      <c r="F386" s="402"/>
      <c r="G386" s="469"/>
      <c r="H386" s="15"/>
      <c r="I386" s="337"/>
      <c r="J386" s="15"/>
      <c r="K386" s="401"/>
      <c r="L386" s="315"/>
    </row>
    <row r="387" spans="1:12" ht="15.75" customHeight="1" x14ac:dyDescent="0.25">
      <c r="A387" s="424" t="s">
        <v>384</v>
      </c>
      <c r="B387" s="14"/>
      <c r="C387" s="402"/>
      <c r="D387" s="14">
        <v>2600</v>
      </c>
      <c r="E387" s="414">
        <f t="shared" si="92"/>
        <v>2600</v>
      </c>
      <c r="F387" s="402"/>
      <c r="G387" s="469"/>
      <c r="H387" s="15"/>
      <c r="I387" s="337"/>
      <c r="J387" s="15"/>
      <c r="K387" s="401"/>
      <c r="L387" s="315"/>
    </row>
    <row r="388" spans="1:12" ht="30" x14ac:dyDescent="0.25">
      <c r="A388" s="440" t="s">
        <v>1107</v>
      </c>
      <c r="B388" s="14"/>
      <c r="C388" s="402"/>
      <c r="D388" s="14">
        <v>2000</v>
      </c>
      <c r="E388" s="414">
        <f t="shared" si="92"/>
        <v>2000</v>
      </c>
      <c r="F388" s="402"/>
      <c r="G388" s="469"/>
      <c r="H388" s="15"/>
      <c r="I388" s="337"/>
      <c r="J388" s="15"/>
      <c r="K388" s="401"/>
      <c r="L388" s="315"/>
    </row>
    <row r="389" spans="1:12" x14ac:dyDescent="0.25">
      <c r="A389" s="424" t="s">
        <v>1117</v>
      </c>
      <c r="B389" s="14"/>
      <c r="C389" s="402"/>
      <c r="D389" s="14">
        <v>1265</v>
      </c>
      <c r="E389" s="414">
        <f t="shared" si="92"/>
        <v>1265</v>
      </c>
      <c r="F389" s="402"/>
      <c r="G389" s="469"/>
      <c r="H389" s="15"/>
      <c r="I389" s="337"/>
      <c r="J389" s="15"/>
      <c r="K389" s="401"/>
      <c r="L389" s="315"/>
    </row>
    <row r="390" spans="1:12" x14ac:dyDescent="0.25">
      <c r="A390" s="424" t="s">
        <v>385</v>
      </c>
      <c r="B390" s="14"/>
      <c r="C390" s="402"/>
      <c r="D390" s="14">
        <v>800</v>
      </c>
      <c r="E390" s="414">
        <f t="shared" si="92"/>
        <v>800</v>
      </c>
      <c r="F390" s="402"/>
      <c r="G390" s="469"/>
      <c r="H390" s="19"/>
      <c r="I390" s="343"/>
      <c r="J390" s="19"/>
      <c r="K390" s="415"/>
      <c r="L390" s="317"/>
    </row>
    <row r="391" spans="1:12" ht="30" x14ac:dyDescent="0.25">
      <c r="A391" s="440" t="s">
        <v>386</v>
      </c>
      <c r="B391" s="14"/>
      <c r="C391" s="402"/>
      <c r="D391" s="14">
        <v>1050</v>
      </c>
      <c r="E391" s="414">
        <f t="shared" si="92"/>
        <v>1050</v>
      </c>
      <c r="F391" s="402"/>
      <c r="G391" s="469"/>
      <c r="H391" s="19"/>
      <c r="I391" s="343"/>
      <c r="J391" s="19"/>
      <c r="K391" s="415"/>
      <c r="L391" s="317"/>
    </row>
    <row r="392" spans="1:12" ht="30" customHeight="1" x14ac:dyDescent="0.25">
      <c r="A392" s="440" t="s">
        <v>1108</v>
      </c>
      <c r="B392" s="14"/>
      <c r="C392" s="402"/>
      <c r="D392" s="14">
        <v>3000</v>
      </c>
      <c r="E392" s="414">
        <f t="shared" si="92"/>
        <v>3000</v>
      </c>
      <c r="F392" s="402"/>
      <c r="G392" s="469"/>
      <c r="H392" s="19"/>
      <c r="I392" s="343"/>
      <c r="J392" s="19"/>
      <c r="K392" s="415"/>
      <c r="L392" s="317"/>
    </row>
    <row r="393" spans="1:12" ht="15.75" customHeight="1" x14ac:dyDescent="0.25">
      <c r="A393" s="423" t="s">
        <v>387</v>
      </c>
      <c r="B393" s="14"/>
      <c r="C393" s="402"/>
      <c r="D393" s="14"/>
      <c r="E393" s="414">
        <f t="shared" si="92"/>
        <v>0</v>
      </c>
      <c r="F393" s="402"/>
      <c r="G393" s="469"/>
      <c r="H393" s="19"/>
      <c r="I393" s="343"/>
      <c r="J393" s="19"/>
      <c r="K393" s="415"/>
      <c r="L393" s="317"/>
    </row>
    <row r="394" spans="1:12" ht="15.75" customHeight="1" x14ac:dyDescent="0.25">
      <c r="A394" s="441" t="s">
        <v>388</v>
      </c>
      <c r="B394" s="14">
        <v>618</v>
      </c>
      <c r="C394" s="402">
        <v>49050</v>
      </c>
      <c r="D394" s="14"/>
      <c r="E394" s="414">
        <f t="shared" si="92"/>
        <v>49668</v>
      </c>
      <c r="F394" s="402"/>
      <c r="G394" s="469"/>
      <c r="H394" s="19"/>
      <c r="I394" s="343"/>
      <c r="J394" s="19"/>
      <c r="K394" s="415"/>
      <c r="L394" s="317"/>
    </row>
    <row r="395" spans="1:12" ht="15.75" customHeight="1" x14ac:dyDescent="0.25">
      <c r="A395" s="441" t="s">
        <v>389</v>
      </c>
      <c r="B395" s="14">
        <v>618</v>
      </c>
      <c r="C395" s="402">
        <v>15000</v>
      </c>
      <c r="D395" s="14"/>
      <c r="E395" s="414">
        <f t="shared" si="92"/>
        <v>15618</v>
      </c>
      <c r="F395" s="402"/>
      <c r="G395" s="469"/>
      <c r="H395" s="19"/>
      <c r="I395" s="343"/>
      <c r="J395" s="19"/>
      <c r="K395" s="415"/>
      <c r="L395" s="317"/>
    </row>
    <row r="396" spans="1:12" ht="15.75" customHeight="1" x14ac:dyDescent="0.25">
      <c r="A396" s="441" t="s">
        <v>390</v>
      </c>
      <c r="B396" s="14"/>
      <c r="C396" s="402">
        <v>18000</v>
      </c>
      <c r="D396" s="14"/>
      <c r="E396" s="414">
        <f t="shared" si="92"/>
        <v>18000</v>
      </c>
      <c r="F396" s="402"/>
      <c r="G396" s="469"/>
      <c r="H396" s="19"/>
      <c r="I396" s="343"/>
      <c r="J396" s="19"/>
      <c r="K396" s="415"/>
      <c r="L396" s="317"/>
    </row>
    <row r="397" spans="1:12" ht="15.75" customHeight="1" x14ac:dyDescent="0.25">
      <c r="A397" s="441" t="s">
        <v>391</v>
      </c>
      <c r="B397" s="14">
        <v>495</v>
      </c>
      <c r="C397" s="402">
        <v>3805</v>
      </c>
      <c r="D397" s="14"/>
      <c r="E397" s="414">
        <f t="shared" si="92"/>
        <v>4300</v>
      </c>
      <c r="F397" s="402"/>
      <c r="G397" s="469"/>
      <c r="H397" s="19"/>
      <c r="I397" s="343"/>
      <c r="J397" s="19"/>
      <c r="K397" s="415"/>
      <c r="L397" s="317"/>
    </row>
    <row r="398" spans="1:12" ht="15.75" customHeight="1" x14ac:dyDescent="0.25">
      <c r="A398" s="441" t="s">
        <v>392</v>
      </c>
      <c r="B398" s="14">
        <v>1854</v>
      </c>
      <c r="C398" s="402">
        <v>4100</v>
      </c>
      <c r="D398" s="14"/>
      <c r="E398" s="414">
        <f t="shared" si="92"/>
        <v>5954</v>
      </c>
      <c r="F398" s="402"/>
      <c r="G398" s="469"/>
      <c r="H398" s="19"/>
      <c r="I398" s="343"/>
      <c r="J398" s="19"/>
      <c r="K398" s="415"/>
      <c r="L398" s="317"/>
    </row>
    <row r="399" spans="1:12" ht="15.75" customHeight="1" x14ac:dyDescent="0.25">
      <c r="A399" s="441" t="s">
        <v>393</v>
      </c>
      <c r="B399" s="14">
        <v>495</v>
      </c>
      <c r="C399" s="402">
        <v>2305</v>
      </c>
      <c r="D399" s="14"/>
      <c r="E399" s="414">
        <f t="shared" si="92"/>
        <v>2800</v>
      </c>
      <c r="F399" s="402"/>
      <c r="G399" s="469"/>
      <c r="H399" s="19"/>
      <c r="I399" s="343"/>
      <c r="J399" s="19"/>
      <c r="K399" s="415"/>
      <c r="L399" s="317"/>
    </row>
    <row r="400" spans="1:12" ht="15.75" customHeight="1" x14ac:dyDescent="0.25">
      <c r="A400" s="423" t="s">
        <v>394</v>
      </c>
      <c r="B400" s="45">
        <v>265030</v>
      </c>
      <c r="C400" s="400"/>
      <c r="D400" s="15"/>
      <c r="E400" s="400">
        <f>SUM(B400:D400)</f>
        <v>265030</v>
      </c>
      <c r="F400" s="402"/>
      <c r="G400" s="469"/>
      <c r="H400" s="38"/>
      <c r="I400" s="351"/>
      <c r="J400" s="38"/>
      <c r="K400" s="469"/>
      <c r="L400" s="176"/>
    </row>
    <row r="401" spans="1:12" ht="15.75" customHeight="1" x14ac:dyDescent="0.25">
      <c r="A401" s="424" t="s">
        <v>395</v>
      </c>
      <c r="B401" s="14"/>
      <c r="C401" s="402"/>
      <c r="D401" s="14"/>
      <c r="E401" s="402">
        <f>SUM(B401:D401)</f>
        <v>0</v>
      </c>
      <c r="F401" s="402">
        <v>19344</v>
      </c>
      <c r="G401" s="469"/>
      <c r="H401" s="38"/>
      <c r="I401" s="351"/>
      <c r="J401" s="38"/>
      <c r="K401" s="469"/>
      <c r="L401" s="176"/>
    </row>
    <row r="402" spans="1:12" ht="15.75" customHeight="1" x14ac:dyDescent="0.25">
      <c r="A402" s="433" t="s">
        <v>231</v>
      </c>
      <c r="B402" s="14"/>
      <c r="C402" s="402"/>
      <c r="D402" s="14"/>
      <c r="E402" s="402">
        <f>SUM(B402:D402)</f>
        <v>0</v>
      </c>
      <c r="F402" s="402"/>
      <c r="G402" s="469"/>
      <c r="H402" s="38"/>
      <c r="I402" s="351"/>
      <c r="J402" s="38"/>
      <c r="K402" s="469"/>
      <c r="L402" s="176"/>
    </row>
    <row r="403" spans="1:12" ht="30" x14ac:dyDescent="0.25">
      <c r="A403" s="451" t="s">
        <v>396</v>
      </c>
      <c r="B403" s="14"/>
      <c r="C403" s="402"/>
      <c r="D403" s="14"/>
      <c r="E403" s="402">
        <f t="shared" ref="E403:E404" si="93">SUM(B403:D403)</f>
        <v>0</v>
      </c>
      <c r="F403" s="402"/>
      <c r="G403" s="469">
        <v>9000</v>
      </c>
      <c r="H403" s="38"/>
      <c r="I403" s="351"/>
      <c r="J403" s="38"/>
      <c r="K403" s="469"/>
      <c r="L403" s="176"/>
    </row>
    <row r="404" spans="1:12" ht="30" x14ac:dyDescent="0.25">
      <c r="A404" s="451" t="s">
        <v>397</v>
      </c>
      <c r="B404" s="14"/>
      <c r="C404" s="402"/>
      <c r="D404" s="14"/>
      <c r="E404" s="402">
        <f t="shared" si="93"/>
        <v>0</v>
      </c>
      <c r="F404" s="402"/>
      <c r="G404" s="469">
        <v>1490</v>
      </c>
      <c r="H404" s="38"/>
      <c r="I404" s="351"/>
      <c r="J404" s="38"/>
      <c r="K404" s="469"/>
      <c r="L404" s="176"/>
    </row>
    <row r="405" spans="1:12" ht="15.75" customHeight="1" x14ac:dyDescent="0.25">
      <c r="A405" s="424" t="s">
        <v>398</v>
      </c>
      <c r="B405" s="14"/>
      <c r="C405" s="402"/>
      <c r="D405" s="14"/>
      <c r="E405" s="402">
        <f>SUM(B405:D405)</f>
        <v>0</v>
      </c>
      <c r="F405" s="402"/>
      <c r="G405" s="469">
        <v>2000</v>
      </c>
      <c r="H405" s="38"/>
      <c r="I405" s="351"/>
      <c r="J405" s="38"/>
      <c r="K405" s="469"/>
      <c r="L405" s="176"/>
    </row>
    <row r="406" spans="1:12" ht="15.75" customHeight="1" x14ac:dyDescent="0.25">
      <c r="A406" s="435" t="s">
        <v>188</v>
      </c>
      <c r="B406" s="320">
        <f>SUM(B378:B405)</f>
        <v>852197</v>
      </c>
      <c r="C406" s="403">
        <f>SUM(C378:C405)</f>
        <v>306846</v>
      </c>
      <c r="D406" s="320">
        <f>SUM(D378:D405)</f>
        <v>11982</v>
      </c>
      <c r="E406" s="403">
        <f>SUM(B406:D406)</f>
        <v>1171025</v>
      </c>
      <c r="F406" s="403">
        <f t="shared" ref="F406:L406" si="94">SUM(F378:F405)</f>
        <v>19344</v>
      </c>
      <c r="G406" s="403">
        <f t="shared" si="94"/>
        <v>37490</v>
      </c>
      <c r="H406" s="320">
        <f t="shared" si="94"/>
        <v>38000</v>
      </c>
      <c r="I406" s="338">
        <f t="shared" si="94"/>
        <v>33770</v>
      </c>
      <c r="J406" s="320">
        <f t="shared" si="94"/>
        <v>0</v>
      </c>
      <c r="K406" s="403">
        <f t="shared" si="94"/>
        <v>33770</v>
      </c>
      <c r="L406" s="385">
        <f t="shared" si="94"/>
        <v>0</v>
      </c>
    </row>
    <row r="407" spans="1:12" ht="15.75" customHeight="1" x14ac:dyDescent="0.25">
      <c r="A407" s="423" t="s">
        <v>32</v>
      </c>
      <c r="B407" s="15"/>
      <c r="C407" s="400">
        <v>17791</v>
      </c>
      <c r="D407" s="45"/>
      <c r="E407" s="400">
        <f t="shared" ref="E407:E410" si="95">SUM(B407:D407)</f>
        <v>17791</v>
      </c>
      <c r="F407" s="401"/>
      <c r="G407" s="401"/>
      <c r="H407" s="15"/>
      <c r="I407" s="337"/>
      <c r="J407" s="15"/>
      <c r="K407" s="401"/>
      <c r="L407" s="315"/>
    </row>
    <row r="408" spans="1:12" ht="15.75" customHeight="1" x14ac:dyDescent="0.25">
      <c r="A408" s="423" t="s">
        <v>24</v>
      </c>
      <c r="B408" s="15"/>
      <c r="C408" s="400">
        <v>52396</v>
      </c>
      <c r="D408" s="45"/>
      <c r="E408" s="400">
        <f t="shared" si="95"/>
        <v>52396</v>
      </c>
      <c r="F408" s="401"/>
      <c r="G408" s="401"/>
      <c r="H408" s="15"/>
      <c r="I408" s="337"/>
      <c r="J408" s="15"/>
      <c r="K408" s="401"/>
      <c r="L408" s="315"/>
    </row>
    <row r="409" spans="1:12" ht="15.75" customHeight="1" x14ac:dyDescent="0.25">
      <c r="A409" s="423" t="s">
        <v>30</v>
      </c>
      <c r="B409" s="15"/>
      <c r="C409" s="400">
        <v>25720</v>
      </c>
      <c r="D409" s="45"/>
      <c r="E409" s="400">
        <f t="shared" si="95"/>
        <v>25720</v>
      </c>
      <c r="F409" s="401"/>
      <c r="G409" s="401"/>
      <c r="H409" s="15"/>
      <c r="I409" s="337"/>
      <c r="J409" s="15"/>
      <c r="K409" s="401"/>
      <c r="L409" s="315"/>
    </row>
    <row r="410" spans="1:12" ht="15.75" customHeight="1" x14ac:dyDescent="0.25">
      <c r="A410" s="431" t="s">
        <v>188</v>
      </c>
      <c r="B410" s="322">
        <f>SUM(B407:B409)</f>
        <v>0</v>
      </c>
      <c r="C410" s="405">
        <f>SUM(C407:C409)</f>
        <v>95907</v>
      </c>
      <c r="D410" s="322">
        <f>SUM(D407:D409)</f>
        <v>0</v>
      </c>
      <c r="E410" s="405">
        <f t="shared" si="95"/>
        <v>95907</v>
      </c>
      <c r="F410" s="405">
        <f t="shared" ref="F410:L410" si="96">SUM(F407:F409)</f>
        <v>0</v>
      </c>
      <c r="G410" s="405">
        <f t="shared" si="96"/>
        <v>0</v>
      </c>
      <c r="H410" s="322">
        <f t="shared" si="96"/>
        <v>0</v>
      </c>
      <c r="I410" s="340">
        <f t="shared" si="96"/>
        <v>0</v>
      </c>
      <c r="J410" s="322">
        <f t="shared" si="96"/>
        <v>0</v>
      </c>
      <c r="K410" s="405">
        <f t="shared" si="96"/>
        <v>0</v>
      </c>
      <c r="L410" s="387">
        <f t="shared" si="96"/>
        <v>0</v>
      </c>
    </row>
    <row r="411" spans="1:12" ht="15.75" customHeight="1" x14ac:dyDescent="0.25">
      <c r="A411" s="452" t="s">
        <v>399</v>
      </c>
      <c r="B411" s="357"/>
      <c r="C411" s="416"/>
      <c r="D411" s="357"/>
      <c r="E411" s="416"/>
      <c r="F411" s="416"/>
      <c r="G411" s="416"/>
      <c r="H411" s="357"/>
      <c r="I411" s="358"/>
      <c r="J411" s="357"/>
      <c r="K411" s="416"/>
      <c r="L411" s="395"/>
    </row>
    <row r="412" spans="1:12" ht="15.75" customHeight="1" x14ac:dyDescent="0.25">
      <c r="A412" s="432" t="s">
        <v>71</v>
      </c>
      <c r="B412" s="112">
        <v>166627</v>
      </c>
      <c r="C412" s="404">
        <v>34354</v>
      </c>
      <c r="D412" s="90"/>
      <c r="E412" s="404">
        <f>SUM(B412:D412)</f>
        <v>200981</v>
      </c>
      <c r="F412" s="411"/>
      <c r="G412" s="411"/>
      <c r="H412" s="90"/>
      <c r="I412" s="339"/>
      <c r="J412" s="90"/>
      <c r="K412" s="411"/>
      <c r="L412" s="388"/>
    </row>
    <row r="413" spans="1:12" ht="15.75" customHeight="1" x14ac:dyDescent="0.25">
      <c r="A413" s="424" t="s">
        <v>400</v>
      </c>
      <c r="B413" s="45">
        <v>47994</v>
      </c>
      <c r="C413" s="401"/>
      <c r="D413" s="15"/>
      <c r="E413" s="400">
        <f>SUM(B413:D413)</f>
        <v>47994</v>
      </c>
      <c r="F413" s="401"/>
      <c r="G413" s="401"/>
      <c r="H413" s="15"/>
      <c r="I413" s="337"/>
      <c r="J413" s="15"/>
      <c r="K413" s="401"/>
      <c r="L413" s="315"/>
    </row>
    <row r="414" spans="1:12" ht="15.75" customHeight="1" x14ac:dyDescent="0.25">
      <c r="A414" s="424" t="s">
        <v>401</v>
      </c>
      <c r="B414" s="15"/>
      <c r="C414" s="401"/>
      <c r="D414" s="15"/>
      <c r="E414" s="401">
        <f>SUM(B414:D414)</f>
        <v>0</v>
      </c>
      <c r="F414" s="400">
        <v>248347</v>
      </c>
      <c r="G414" s="401"/>
      <c r="H414" s="15"/>
      <c r="I414" s="337"/>
      <c r="J414" s="15"/>
      <c r="K414" s="401"/>
      <c r="L414" s="315"/>
    </row>
    <row r="415" spans="1:12" ht="15.75" customHeight="1" x14ac:dyDescent="0.25">
      <c r="A415" s="424" t="s">
        <v>402</v>
      </c>
      <c r="B415" s="15"/>
      <c r="C415" s="401"/>
      <c r="D415" s="15"/>
      <c r="E415" s="401">
        <f>SUM(B415:D415)</f>
        <v>0</v>
      </c>
      <c r="F415" s="400">
        <v>1547</v>
      </c>
      <c r="G415" s="401"/>
      <c r="H415" s="15"/>
      <c r="I415" s="337"/>
      <c r="J415" s="15"/>
      <c r="K415" s="401"/>
      <c r="L415" s="315"/>
    </row>
    <row r="416" spans="1:12" ht="15.75" customHeight="1" x14ac:dyDescent="0.25">
      <c r="A416" s="424" t="s">
        <v>403</v>
      </c>
      <c r="B416" s="15"/>
      <c r="C416" s="401"/>
      <c r="D416" s="15"/>
      <c r="E416" s="401">
        <f t="shared" ref="E416:E440" si="97">SUM(B416:D416)</f>
        <v>0</v>
      </c>
      <c r="F416" s="400">
        <v>8130</v>
      </c>
      <c r="G416" s="401"/>
      <c r="H416" s="15"/>
      <c r="I416" s="337"/>
      <c r="J416" s="15"/>
      <c r="K416" s="401"/>
      <c r="L416" s="315"/>
    </row>
    <row r="417" spans="1:12" ht="15.75" customHeight="1" x14ac:dyDescent="0.25">
      <c r="A417" s="423" t="s">
        <v>405</v>
      </c>
      <c r="B417" s="45">
        <v>23957</v>
      </c>
      <c r="C417" s="400">
        <v>23447</v>
      </c>
      <c r="D417" s="15"/>
      <c r="E417" s="400">
        <f t="shared" si="97"/>
        <v>47404</v>
      </c>
      <c r="F417" s="401"/>
      <c r="G417" s="401"/>
      <c r="H417" s="15"/>
      <c r="I417" s="337"/>
      <c r="J417" s="15"/>
      <c r="K417" s="401"/>
      <c r="L417" s="315"/>
    </row>
    <row r="418" spans="1:12" ht="15.75" customHeight="1" x14ac:dyDescent="0.25">
      <c r="A418" s="431" t="s">
        <v>188</v>
      </c>
      <c r="B418" s="322">
        <f>SUM(B412:B417)</f>
        <v>238578</v>
      </c>
      <c r="C418" s="405">
        <f>SUM(C412:C417)</f>
        <v>57801</v>
      </c>
      <c r="D418" s="322">
        <f>SUM(D412:D417)</f>
        <v>0</v>
      </c>
      <c r="E418" s="405">
        <f t="shared" si="97"/>
        <v>296379</v>
      </c>
      <c r="F418" s="405">
        <f t="shared" ref="F418:L418" si="98">SUM(F412:F417)</f>
        <v>258024</v>
      </c>
      <c r="G418" s="405">
        <f t="shared" si="98"/>
        <v>0</v>
      </c>
      <c r="H418" s="322">
        <f t="shared" si="98"/>
        <v>0</v>
      </c>
      <c r="I418" s="340">
        <f t="shared" si="98"/>
        <v>0</v>
      </c>
      <c r="J418" s="322">
        <f t="shared" si="98"/>
        <v>0</v>
      </c>
      <c r="K418" s="405">
        <f t="shared" si="98"/>
        <v>0</v>
      </c>
      <c r="L418" s="387">
        <f t="shared" si="98"/>
        <v>0</v>
      </c>
    </row>
    <row r="419" spans="1:12" ht="15.75" customHeight="1" x14ac:dyDescent="0.25">
      <c r="A419" s="432" t="s">
        <v>70</v>
      </c>
      <c r="B419" s="112">
        <v>161618</v>
      </c>
      <c r="C419" s="404">
        <v>40890</v>
      </c>
      <c r="D419" s="90"/>
      <c r="E419" s="400">
        <f t="shared" si="97"/>
        <v>202508</v>
      </c>
      <c r="F419" s="411"/>
      <c r="G419" s="411"/>
      <c r="H419" s="90"/>
      <c r="I419" s="339"/>
      <c r="J419" s="90"/>
      <c r="K419" s="411"/>
      <c r="L419" s="388"/>
    </row>
    <row r="420" spans="1:12" ht="15.75" customHeight="1" x14ac:dyDescent="0.25">
      <c r="A420" s="424" t="s">
        <v>400</v>
      </c>
      <c r="B420" s="45">
        <v>275389</v>
      </c>
      <c r="C420" s="401"/>
      <c r="D420" s="15"/>
      <c r="E420" s="400">
        <f t="shared" si="97"/>
        <v>275389</v>
      </c>
      <c r="F420" s="401"/>
      <c r="G420" s="401"/>
      <c r="H420" s="15"/>
      <c r="I420" s="337"/>
      <c r="J420" s="15"/>
      <c r="K420" s="401"/>
      <c r="L420" s="315"/>
    </row>
    <row r="421" spans="1:12" ht="15.75" customHeight="1" x14ac:dyDescent="0.25">
      <c r="A421" s="424" t="s">
        <v>401</v>
      </c>
      <c r="B421" s="15"/>
      <c r="C421" s="401"/>
      <c r="D421" s="15"/>
      <c r="E421" s="401">
        <f t="shared" si="97"/>
        <v>0</v>
      </c>
      <c r="F421" s="400">
        <v>69378</v>
      </c>
      <c r="G421" s="401"/>
      <c r="H421" s="15"/>
      <c r="I421" s="337"/>
      <c r="J421" s="15"/>
      <c r="K421" s="401"/>
      <c r="L421" s="315"/>
    </row>
    <row r="422" spans="1:12" ht="15.75" customHeight="1" x14ac:dyDescent="0.25">
      <c r="A422" s="424" t="s">
        <v>404</v>
      </c>
      <c r="B422" s="14"/>
      <c r="C422" s="402"/>
      <c r="D422" s="14"/>
      <c r="E422" s="402">
        <f>SUM(B422:D422)</f>
        <v>0</v>
      </c>
      <c r="F422" s="402">
        <v>1500</v>
      </c>
      <c r="G422" s="469"/>
      <c r="H422" s="38"/>
      <c r="I422" s="351"/>
      <c r="J422" s="38"/>
      <c r="K422" s="469"/>
      <c r="L422" s="176"/>
    </row>
    <row r="423" spans="1:12" ht="15.75" customHeight="1" x14ac:dyDescent="0.25">
      <c r="A423" s="424" t="s">
        <v>402</v>
      </c>
      <c r="B423" s="15"/>
      <c r="C423" s="401"/>
      <c r="D423" s="15"/>
      <c r="E423" s="401">
        <f t="shared" si="97"/>
        <v>0</v>
      </c>
      <c r="F423" s="400">
        <v>1618</v>
      </c>
      <c r="G423" s="401"/>
      <c r="H423" s="15"/>
      <c r="I423" s="337"/>
      <c r="J423" s="15"/>
      <c r="K423" s="401"/>
      <c r="L423" s="315"/>
    </row>
    <row r="424" spans="1:12" ht="15.75" customHeight="1" x14ac:dyDescent="0.25">
      <c r="A424" s="423" t="s">
        <v>405</v>
      </c>
      <c r="B424" s="45">
        <v>28168</v>
      </c>
      <c r="C424" s="400">
        <v>33133</v>
      </c>
      <c r="D424" s="15"/>
      <c r="E424" s="400">
        <f t="shared" si="97"/>
        <v>61301</v>
      </c>
      <c r="F424" s="401"/>
      <c r="G424" s="401"/>
      <c r="H424" s="15"/>
      <c r="I424" s="337"/>
      <c r="J424" s="15"/>
      <c r="K424" s="401"/>
      <c r="L424" s="315"/>
    </row>
    <row r="425" spans="1:12" ht="15.75" customHeight="1" x14ac:dyDescent="0.25">
      <c r="A425" s="433" t="s">
        <v>231</v>
      </c>
      <c r="B425" s="19"/>
      <c r="C425" s="415"/>
      <c r="D425" s="19"/>
      <c r="E425" s="401">
        <f t="shared" si="97"/>
        <v>0</v>
      </c>
      <c r="F425" s="415"/>
      <c r="G425" s="415"/>
      <c r="H425" s="19"/>
      <c r="I425" s="343"/>
      <c r="J425" s="19"/>
      <c r="K425" s="415"/>
      <c r="L425" s="317"/>
    </row>
    <row r="426" spans="1:12" ht="15.75" customHeight="1" x14ac:dyDescent="0.25">
      <c r="A426" s="425" t="s">
        <v>406</v>
      </c>
      <c r="B426" s="19"/>
      <c r="C426" s="415"/>
      <c r="D426" s="19"/>
      <c r="E426" s="401">
        <f t="shared" si="97"/>
        <v>0</v>
      </c>
      <c r="F426" s="415"/>
      <c r="G426" s="414">
        <v>1800</v>
      </c>
      <c r="H426" s="19"/>
      <c r="I426" s="343"/>
      <c r="J426" s="19"/>
      <c r="K426" s="415"/>
      <c r="L426" s="317"/>
    </row>
    <row r="427" spans="1:12" ht="15.75" customHeight="1" x14ac:dyDescent="0.25">
      <c r="A427" s="425" t="s">
        <v>407</v>
      </c>
      <c r="B427" s="19"/>
      <c r="C427" s="415"/>
      <c r="D427" s="19"/>
      <c r="E427" s="401">
        <f t="shared" si="97"/>
        <v>0</v>
      </c>
      <c r="F427" s="415"/>
      <c r="G427" s="414">
        <v>3500</v>
      </c>
      <c r="H427" s="19"/>
      <c r="I427" s="343"/>
      <c r="J427" s="19"/>
      <c r="K427" s="415"/>
      <c r="L427" s="317"/>
    </row>
    <row r="428" spans="1:12" ht="15.75" customHeight="1" x14ac:dyDescent="0.25">
      <c r="A428" s="431" t="s">
        <v>188</v>
      </c>
      <c r="B428" s="322">
        <f>SUM(B419:B427)</f>
        <v>465175</v>
      </c>
      <c r="C428" s="405">
        <f>SUM(C419:C427)</f>
        <v>74023</v>
      </c>
      <c r="D428" s="322">
        <f>SUM(D419:D427)</f>
        <v>0</v>
      </c>
      <c r="E428" s="405">
        <f t="shared" si="97"/>
        <v>539198</v>
      </c>
      <c r="F428" s="405">
        <f t="shared" ref="F428:L428" si="99">SUM(F419:F427)</f>
        <v>72496</v>
      </c>
      <c r="G428" s="405">
        <f t="shared" si="99"/>
        <v>5300</v>
      </c>
      <c r="H428" s="322">
        <f t="shared" si="99"/>
        <v>0</v>
      </c>
      <c r="I428" s="340">
        <f t="shared" si="99"/>
        <v>0</v>
      </c>
      <c r="J428" s="322">
        <f t="shared" si="99"/>
        <v>0</v>
      </c>
      <c r="K428" s="405">
        <f t="shared" si="99"/>
        <v>0</v>
      </c>
      <c r="L428" s="387">
        <f t="shared" si="99"/>
        <v>0</v>
      </c>
    </row>
    <row r="429" spans="1:12" ht="15.75" customHeight="1" x14ac:dyDescent="0.25">
      <c r="A429" s="432" t="s">
        <v>69</v>
      </c>
      <c r="B429" s="112">
        <v>249525</v>
      </c>
      <c r="C429" s="404">
        <v>82654</v>
      </c>
      <c r="D429" s="90"/>
      <c r="E429" s="400">
        <f t="shared" si="97"/>
        <v>332179</v>
      </c>
      <c r="F429" s="411"/>
      <c r="G429" s="411"/>
      <c r="H429" s="90"/>
      <c r="I429" s="339"/>
      <c r="J429" s="90"/>
      <c r="K429" s="411"/>
      <c r="L429" s="388"/>
    </row>
    <row r="430" spans="1:12" ht="15.75" customHeight="1" x14ac:dyDescent="0.25">
      <c r="A430" s="424" t="s">
        <v>400</v>
      </c>
      <c r="B430" s="45">
        <v>458738</v>
      </c>
      <c r="C430" s="401"/>
      <c r="D430" s="15"/>
      <c r="E430" s="400">
        <f t="shared" si="97"/>
        <v>458738</v>
      </c>
      <c r="F430" s="401"/>
      <c r="G430" s="401"/>
      <c r="H430" s="15"/>
      <c r="I430" s="337"/>
      <c r="J430" s="15"/>
      <c r="K430" s="401"/>
      <c r="L430" s="315"/>
    </row>
    <row r="431" spans="1:12" ht="15.75" customHeight="1" x14ac:dyDescent="0.25">
      <c r="A431" s="424" t="s">
        <v>401</v>
      </c>
      <c r="B431" s="15"/>
      <c r="C431" s="401"/>
      <c r="D431" s="15"/>
      <c r="E431" s="401">
        <f t="shared" si="97"/>
        <v>0</v>
      </c>
      <c r="F431" s="400">
        <v>89340</v>
      </c>
      <c r="G431" s="401"/>
      <c r="H431" s="15"/>
      <c r="I431" s="337"/>
      <c r="J431" s="15"/>
      <c r="K431" s="401"/>
      <c r="L431" s="315"/>
    </row>
    <row r="432" spans="1:12" ht="15.75" customHeight="1" x14ac:dyDescent="0.25">
      <c r="A432" s="424" t="s">
        <v>402</v>
      </c>
      <c r="B432" s="15"/>
      <c r="C432" s="401"/>
      <c r="D432" s="15"/>
      <c r="E432" s="401">
        <f t="shared" si="97"/>
        <v>0</v>
      </c>
      <c r="F432" s="400">
        <v>2110</v>
      </c>
      <c r="G432" s="401"/>
      <c r="H432" s="15"/>
      <c r="I432" s="337"/>
      <c r="J432" s="15"/>
      <c r="K432" s="401"/>
      <c r="L432" s="315"/>
    </row>
    <row r="433" spans="1:12" ht="15.75" customHeight="1" x14ac:dyDescent="0.25">
      <c r="A433" s="424" t="s">
        <v>410</v>
      </c>
      <c r="B433" s="14"/>
      <c r="C433" s="402"/>
      <c r="D433" s="14"/>
      <c r="E433" s="402">
        <f>SUM(B433:D433)</f>
        <v>0</v>
      </c>
      <c r="F433" s="402">
        <v>1000</v>
      </c>
      <c r="G433" s="469"/>
      <c r="H433" s="38"/>
      <c r="I433" s="351"/>
      <c r="J433" s="38"/>
      <c r="K433" s="469"/>
      <c r="L433" s="176"/>
    </row>
    <row r="434" spans="1:12" ht="15.75" customHeight="1" x14ac:dyDescent="0.25">
      <c r="A434" s="423" t="s">
        <v>405</v>
      </c>
      <c r="B434" s="45">
        <v>53142</v>
      </c>
      <c r="C434" s="400">
        <v>59030</v>
      </c>
      <c r="D434" s="15"/>
      <c r="E434" s="400">
        <f t="shared" si="97"/>
        <v>112172</v>
      </c>
      <c r="F434" s="401"/>
      <c r="G434" s="401"/>
      <c r="H434" s="15"/>
      <c r="I434" s="337"/>
      <c r="J434" s="15"/>
      <c r="K434" s="401"/>
      <c r="L434" s="315"/>
    </row>
    <row r="435" spans="1:12" ht="15.75" customHeight="1" x14ac:dyDescent="0.25">
      <c r="A435" s="433" t="s">
        <v>231</v>
      </c>
      <c r="B435" s="15"/>
      <c r="C435" s="401"/>
      <c r="D435" s="15"/>
      <c r="E435" s="401">
        <f t="shared" ref="E435:E437" si="100">SUM(B435:D435)</f>
        <v>0</v>
      </c>
      <c r="F435" s="401"/>
      <c r="G435" s="401"/>
      <c r="H435" s="15"/>
      <c r="I435" s="337"/>
      <c r="J435" s="15"/>
      <c r="K435" s="401"/>
      <c r="L435" s="315"/>
    </row>
    <row r="436" spans="1:12" ht="15.75" customHeight="1" x14ac:dyDescent="0.25">
      <c r="A436" s="424" t="s">
        <v>1109</v>
      </c>
      <c r="B436" s="15"/>
      <c r="C436" s="401"/>
      <c r="D436" s="15"/>
      <c r="E436" s="401">
        <f t="shared" si="100"/>
        <v>0</v>
      </c>
      <c r="F436" s="401"/>
      <c r="G436" s="400">
        <v>6000</v>
      </c>
      <c r="H436" s="15"/>
      <c r="I436" s="337"/>
      <c r="J436" s="15"/>
      <c r="K436" s="401"/>
      <c r="L436" s="315"/>
    </row>
    <row r="437" spans="1:12" ht="15.75" customHeight="1" x14ac:dyDescent="0.25">
      <c r="A437" s="424" t="s">
        <v>411</v>
      </c>
      <c r="B437" s="15"/>
      <c r="C437" s="401"/>
      <c r="D437" s="15"/>
      <c r="E437" s="401">
        <f t="shared" si="100"/>
        <v>0</v>
      </c>
      <c r="F437" s="401"/>
      <c r="G437" s="400">
        <v>1400</v>
      </c>
      <c r="H437" s="15"/>
      <c r="I437" s="337"/>
      <c r="J437" s="15"/>
      <c r="K437" s="401"/>
      <c r="L437" s="315"/>
    </row>
    <row r="438" spans="1:12" ht="15.75" customHeight="1" x14ac:dyDescent="0.25">
      <c r="A438" s="431" t="s">
        <v>188</v>
      </c>
      <c r="B438" s="323">
        <f>SUM(B429:B437)</f>
        <v>761405</v>
      </c>
      <c r="C438" s="466">
        <f>SUM(C429:C437)</f>
        <v>141684</v>
      </c>
      <c r="D438" s="323">
        <f>SUM(D429:D437)</f>
        <v>0</v>
      </c>
      <c r="E438" s="405">
        <f t="shared" si="97"/>
        <v>903089</v>
      </c>
      <c r="F438" s="405">
        <f t="shared" ref="F438:L438" si="101">SUM(F429:F437)</f>
        <v>92450</v>
      </c>
      <c r="G438" s="405">
        <f t="shared" si="101"/>
        <v>7400</v>
      </c>
      <c r="H438" s="322">
        <f t="shared" si="101"/>
        <v>0</v>
      </c>
      <c r="I438" s="340">
        <f t="shared" si="101"/>
        <v>0</v>
      </c>
      <c r="J438" s="322">
        <f t="shared" si="101"/>
        <v>0</v>
      </c>
      <c r="K438" s="405">
        <f t="shared" si="101"/>
        <v>0</v>
      </c>
      <c r="L438" s="387">
        <f t="shared" si="101"/>
        <v>0</v>
      </c>
    </row>
    <row r="439" spans="1:12" ht="15.75" customHeight="1" x14ac:dyDescent="0.25">
      <c r="A439" s="432" t="s">
        <v>76</v>
      </c>
      <c r="B439" s="112">
        <v>67479</v>
      </c>
      <c r="C439" s="404">
        <v>19040</v>
      </c>
      <c r="D439" s="90"/>
      <c r="E439" s="400">
        <f t="shared" si="97"/>
        <v>86519</v>
      </c>
      <c r="F439" s="411"/>
      <c r="G439" s="411"/>
      <c r="H439" s="90"/>
      <c r="I439" s="339"/>
      <c r="J439" s="90"/>
      <c r="K439" s="411"/>
      <c r="L439" s="388"/>
    </row>
    <row r="440" spans="1:12" ht="15.75" customHeight="1" x14ac:dyDescent="0.25">
      <c r="A440" s="424" t="s">
        <v>400</v>
      </c>
      <c r="B440" s="45">
        <v>64822</v>
      </c>
      <c r="C440" s="401"/>
      <c r="D440" s="15"/>
      <c r="E440" s="400">
        <f t="shared" si="97"/>
        <v>64822</v>
      </c>
      <c r="F440" s="401"/>
      <c r="G440" s="401"/>
      <c r="H440" s="15"/>
      <c r="I440" s="337"/>
      <c r="J440" s="15"/>
      <c r="K440" s="401"/>
      <c r="L440" s="315"/>
    </row>
    <row r="441" spans="1:12" ht="15.75" customHeight="1" x14ac:dyDescent="0.25">
      <c r="A441" s="424" t="s">
        <v>401</v>
      </c>
      <c r="B441" s="15"/>
      <c r="C441" s="401"/>
      <c r="D441" s="15"/>
      <c r="E441" s="401">
        <f t="shared" ref="E441:E463" si="102">SUM(B441:D441)</f>
        <v>0</v>
      </c>
      <c r="F441" s="400">
        <v>26084</v>
      </c>
      <c r="G441" s="401"/>
      <c r="H441" s="15"/>
      <c r="I441" s="337"/>
      <c r="J441" s="15"/>
      <c r="K441" s="401"/>
      <c r="L441" s="315"/>
    </row>
    <row r="442" spans="1:12" ht="15.75" customHeight="1" x14ac:dyDescent="0.25">
      <c r="A442" s="424" t="s">
        <v>402</v>
      </c>
      <c r="B442" s="15"/>
      <c r="C442" s="401"/>
      <c r="D442" s="15"/>
      <c r="E442" s="401">
        <f t="shared" si="102"/>
        <v>0</v>
      </c>
      <c r="F442" s="400">
        <v>628</v>
      </c>
      <c r="G442" s="401"/>
      <c r="H442" s="15"/>
      <c r="I442" s="337"/>
      <c r="J442" s="15"/>
      <c r="K442" s="401"/>
      <c r="L442" s="315"/>
    </row>
    <row r="443" spans="1:12" ht="15.75" customHeight="1" x14ac:dyDescent="0.25">
      <c r="A443" s="423" t="s">
        <v>405</v>
      </c>
      <c r="B443" s="45">
        <v>16831</v>
      </c>
      <c r="C443" s="400">
        <v>14374</v>
      </c>
      <c r="D443" s="15"/>
      <c r="E443" s="400">
        <f t="shared" si="102"/>
        <v>31205</v>
      </c>
      <c r="F443" s="401"/>
      <c r="G443" s="401"/>
      <c r="H443" s="15"/>
      <c r="I443" s="337"/>
      <c r="J443" s="15"/>
      <c r="K443" s="401"/>
      <c r="L443" s="315"/>
    </row>
    <row r="444" spans="1:12" ht="15.75" customHeight="1" x14ac:dyDescent="0.25">
      <c r="A444" s="431" t="s">
        <v>188</v>
      </c>
      <c r="B444" s="322">
        <f>SUM(B439:B443)</f>
        <v>149132</v>
      </c>
      <c r="C444" s="405">
        <f>SUM(C439:C443)</f>
        <v>33414</v>
      </c>
      <c r="D444" s="322">
        <f>SUM(D439:D443)</f>
        <v>0</v>
      </c>
      <c r="E444" s="405">
        <f t="shared" si="102"/>
        <v>182546</v>
      </c>
      <c r="F444" s="405">
        <f t="shared" ref="F444:L444" si="103">SUM(F439:F443)</f>
        <v>26712</v>
      </c>
      <c r="G444" s="405">
        <f t="shared" si="103"/>
        <v>0</v>
      </c>
      <c r="H444" s="322">
        <f t="shared" si="103"/>
        <v>0</v>
      </c>
      <c r="I444" s="340">
        <f t="shared" si="103"/>
        <v>0</v>
      </c>
      <c r="J444" s="322">
        <f t="shared" si="103"/>
        <v>0</v>
      </c>
      <c r="K444" s="405">
        <f t="shared" si="103"/>
        <v>0</v>
      </c>
      <c r="L444" s="387">
        <f t="shared" si="103"/>
        <v>0</v>
      </c>
    </row>
    <row r="445" spans="1:12" ht="15.75" customHeight="1" x14ac:dyDescent="0.25">
      <c r="A445" s="432" t="s">
        <v>80</v>
      </c>
      <c r="B445" s="112">
        <v>47807</v>
      </c>
      <c r="C445" s="404">
        <v>14809</v>
      </c>
      <c r="D445" s="90"/>
      <c r="E445" s="400">
        <f t="shared" si="102"/>
        <v>62616</v>
      </c>
      <c r="F445" s="411"/>
      <c r="G445" s="411"/>
      <c r="H445" s="90"/>
      <c r="I445" s="339"/>
      <c r="J445" s="90"/>
      <c r="K445" s="411"/>
      <c r="L445" s="388"/>
    </row>
    <row r="446" spans="1:12" ht="15.75" customHeight="1" x14ac:dyDescent="0.25">
      <c r="A446" s="424" t="s">
        <v>400</v>
      </c>
      <c r="B446" s="45">
        <v>45903</v>
      </c>
      <c r="C446" s="401"/>
      <c r="D446" s="15"/>
      <c r="E446" s="400">
        <f t="shared" si="102"/>
        <v>45903</v>
      </c>
      <c r="F446" s="401"/>
      <c r="G446" s="401"/>
      <c r="H446" s="15"/>
      <c r="I446" s="337"/>
      <c r="J446" s="15"/>
      <c r="K446" s="401"/>
      <c r="L446" s="315"/>
    </row>
    <row r="447" spans="1:12" ht="15.75" customHeight="1" x14ac:dyDescent="0.25">
      <c r="A447" s="424" t="s">
        <v>401</v>
      </c>
      <c r="B447" s="15"/>
      <c r="C447" s="401"/>
      <c r="D447" s="15"/>
      <c r="E447" s="401">
        <f t="shared" si="102"/>
        <v>0</v>
      </c>
      <c r="F447" s="400">
        <v>12458</v>
      </c>
      <c r="G447" s="401"/>
      <c r="H447" s="15"/>
      <c r="I447" s="337"/>
      <c r="J447" s="15"/>
      <c r="K447" s="401"/>
      <c r="L447" s="315"/>
    </row>
    <row r="448" spans="1:12" ht="15.75" customHeight="1" x14ac:dyDescent="0.25">
      <c r="A448" s="424" t="s">
        <v>402</v>
      </c>
      <c r="B448" s="15"/>
      <c r="C448" s="401"/>
      <c r="D448" s="15"/>
      <c r="E448" s="401">
        <f t="shared" si="102"/>
        <v>0</v>
      </c>
      <c r="F448" s="400">
        <v>298</v>
      </c>
      <c r="G448" s="401"/>
      <c r="H448" s="15"/>
      <c r="I448" s="337"/>
      <c r="J448" s="15"/>
      <c r="K448" s="401"/>
      <c r="L448" s="315"/>
    </row>
    <row r="449" spans="1:12" ht="15.75" customHeight="1" x14ac:dyDescent="0.25">
      <c r="A449" s="453" t="s">
        <v>405</v>
      </c>
      <c r="B449" s="45">
        <v>12215</v>
      </c>
      <c r="C449" s="400">
        <v>6760</v>
      </c>
      <c r="D449" s="15"/>
      <c r="E449" s="400">
        <f t="shared" si="102"/>
        <v>18975</v>
      </c>
      <c r="F449" s="401"/>
      <c r="G449" s="401"/>
      <c r="H449" s="15"/>
      <c r="I449" s="337"/>
      <c r="J449" s="15"/>
      <c r="K449" s="401"/>
      <c r="L449" s="315"/>
    </row>
    <row r="450" spans="1:12" ht="15.75" customHeight="1" x14ac:dyDescent="0.25">
      <c r="A450" s="433" t="s">
        <v>231</v>
      </c>
      <c r="B450" s="15"/>
      <c r="C450" s="401"/>
      <c r="D450" s="15"/>
      <c r="E450" s="401">
        <f>SUM(B450:D450)</f>
        <v>0</v>
      </c>
      <c r="F450" s="401"/>
      <c r="G450" s="401"/>
      <c r="H450" s="15"/>
      <c r="I450" s="337"/>
      <c r="J450" s="15"/>
      <c r="K450" s="401"/>
      <c r="L450" s="315"/>
    </row>
    <row r="451" spans="1:12" ht="15.75" customHeight="1" x14ac:dyDescent="0.25">
      <c r="A451" s="424" t="s">
        <v>416</v>
      </c>
      <c r="B451" s="15"/>
      <c r="C451" s="401"/>
      <c r="D451" s="15"/>
      <c r="E451" s="401">
        <f>SUM(B451:D451)</f>
        <v>0</v>
      </c>
      <c r="F451" s="401"/>
      <c r="G451" s="400">
        <v>1300</v>
      </c>
      <c r="H451" s="15"/>
      <c r="I451" s="337"/>
      <c r="J451" s="15"/>
      <c r="K451" s="401"/>
      <c r="L451" s="315"/>
    </row>
    <row r="452" spans="1:12" ht="15.75" customHeight="1" x14ac:dyDescent="0.25">
      <c r="A452" s="431" t="s">
        <v>188</v>
      </c>
      <c r="B452" s="322">
        <f>SUM(B445:B451)</f>
        <v>105925</v>
      </c>
      <c r="C452" s="405">
        <f>SUM(C445:C451)</f>
        <v>21569</v>
      </c>
      <c r="D452" s="322">
        <f>SUM(D445:D451)</f>
        <v>0</v>
      </c>
      <c r="E452" s="405">
        <f t="shared" si="102"/>
        <v>127494</v>
      </c>
      <c r="F452" s="405">
        <f t="shared" ref="F452:L452" si="104">SUM(F445:F451)</f>
        <v>12756</v>
      </c>
      <c r="G452" s="405">
        <f t="shared" si="104"/>
        <v>1300</v>
      </c>
      <c r="H452" s="322">
        <f t="shared" si="104"/>
        <v>0</v>
      </c>
      <c r="I452" s="340">
        <f t="shared" si="104"/>
        <v>0</v>
      </c>
      <c r="J452" s="322">
        <f t="shared" si="104"/>
        <v>0</v>
      </c>
      <c r="K452" s="405">
        <f t="shared" si="104"/>
        <v>0</v>
      </c>
      <c r="L452" s="387">
        <f t="shared" si="104"/>
        <v>0</v>
      </c>
    </row>
    <row r="453" spans="1:12" ht="15.75" customHeight="1" x14ac:dyDescent="0.25">
      <c r="A453" s="432" t="s">
        <v>79</v>
      </c>
      <c r="B453" s="112">
        <v>62014</v>
      </c>
      <c r="C453" s="404">
        <v>3647</v>
      </c>
      <c r="D453" s="90"/>
      <c r="E453" s="400">
        <f t="shared" si="102"/>
        <v>65661</v>
      </c>
      <c r="F453" s="411"/>
      <c r="G453" s="411"/>
      <c r="H453" s="90"/>
      <c r="I453" s="339"/>
      <c r="J453" s="90"/>
      <c r="K453" s="411"/>
      <c r="L453" s="388"/>
    </row>
    <row r="454" spans="1:12" ht="15.75" customHeight="1" x14ac:dyDescent="0.25">
      <c r="A454" s="424" t="s">
        <v>400</v>
      </c>
      <c r="B454" s="45">
        <v>32305</v>
      </c>
      <c r="C454" s="400"/>
      <c r="D454" s="15"/>
      <c r="E454" s="400">
        <f t="shared" si="102"/>
        <v>32305</v>
      </c>
      <c r="F454" s="401"/>
      <c r="G454" s="401"/>
      <c r="H454" s="15"/>
      <c r="I454" s="337"/>
      <c r="J454" s="15"/>
      <c r="K454" s="401"/>
      <c r="L454" s="315"/>
    </row>
    <row r="455" spans="1:12" ht="15.75" customHeight="1" x14ac:dyDescent="0.25">
      <c r="A455" s="424" t="s">
        <v>401</v>
      </c>
      <c r="B455" s="15"/>
      <c r="C455" s="401"/>
      <c r="D455" s="15"/>
      <c r="E455" s="401">
        <f t="shared" si="102"/>
        <v>0</v>
      </c>
      <c r="F455" s="400">
        <v>13039</v>
      </c>
      <c r="G455" s="401"/>
      <c r="H455" s="15"/>
      <c r="I455" s="337"/>
      <c r="J455" s="15"/>
      <c r="K455" s="401"/>
      <c r="L455" s="315"/>
    </row>
    <row r="456" spans="1:12" ht="15.75" customHeight="1" x14ac:dyDescent="0.25">
      <c r="A456" s="424" t="s">
        <v>402</v>
      </c>
      <c r="B456" s="15"/>
      <c r="C456" s="401"/>
      <c r="D456" s="15"/>
      <c r="E456" s="401">
        <f t="shared" si="102"/>
        <v>0</v>
      </c>
      <c r="F456" s="400">
        <v>317</v>
      </c>
      <c r="G456" s="401"/>
      <c r="H456" s="15"/>
      <c r="I456" s="337"/>
      <c r="J456" s="15"/>
      <c r="K456" s="401"/>
      <c r="L456" s="315"/>
    </row>
    <row r="457" spans="1:12" ht="15.75" customHeight="1" x14ac:dyDescent="0.25">
      <c r="A457" s="424" t="s">
        <v>418</v>
      </c>
      <c r="B457" s="45"/>
      <c r="C457" s="400"/>
      <c r="D457" s="45"/>
      <c r="E457" s="400">
        <f t="shared" si="102"/>
        <v>0</v>
      </c>
      <c r="F457" s="400">
        <v>1500</v>
      </c>
      <c r="G457" s="401"/>
      <c r="H457" s="15"/>
      <c r="I457" s="337"/>
      <c r="J457" s="15"/>
      <c r="K457" s="401"/>
      <c r="L457" s="315"/>
    </row>
    <row r="458" spans="1:12" ht="15.75" customHeight="1" x14ac:dyDescent="0.25">
      <c r="A458" s="431" t="s">
        <v>188</v>
      </c>
      <c r="B458" s="322">
        <f t="shared" ref="B458:D458" si="105">SUM(B453:B457)</f>
        <v>94319</v>
      </c>
      <c r="C458" s="405">
        <f t="shared" si="105"/>
        <v>3647</v>
      </c>
      <c r="D458" s="322">
        <f t="shared" si="105"/>
        <v>0</v>
      </c>
      <c r="E458" s="405">
        <f t="shared" si="102"/>
        <v>97966</v>
      </c>
      <c r="F458" s="405">
        <f t="shared" ref="F458:L458" si="106">SUM(F453:F457)</f>
        <v>14856</v>
      </c>
      <c r="G458" s="405">
        <f t="shared" si="106"/>
        <v>0</v>
      </c>
      <c r="H458" s="322">
        <f t="shared" si="106"/>
        <v>0</v>
      </c>
      <c r="I458" s="340">
        <f t="shared" si="106"/>
        <v>0</v>
      </c>
      <c r="J458" s="322">
        <f t="shared" si="106"/>
        <v>0</v>
      </c>
      <c r="K458" s="405">
        <f t="shared" si="106"/>
        <v>0</v>
      </c>
      <c r="L458" s="387">
        <f t="shared" si="106"/>
        <v>0</v>
      </c>
    </row>
    <row r="459" spans="1:12" ht="15.75" customHeight="1" x14ac:dyDescent="0.25">
      <c r="A459" s="432" t="s">
        <v>75</v>
      </c>
      <c r="B459" s="112">
        <v>179625</v>
      </c>
      <c r="C459" s="404">
        <v>23651</v>
      </c>
      <c r="D459" s="90"/>
      <c r="E459" s="400">
        <f t="shared" si="102"/>
        <v>203276</v>
      </c>
      <c r="F459" s="411"/>
      <c r="G459" s="411"/>
      <c r="H459" s="90"/>
      <c r="I459" s="339"/>
      <c r="J459" s="90"/>
      <c r="K459" s="411"/>
      <c r="L459" s="388"/>
    </row>
    <row r="460" spans="1:12" ht="15.75" customHeight="1" x14ac:dyDescent="0.25">
      <c r="A460" s="424" t="s">
        <v>400</v>
      </c>
      <c r="B460" s="45">
        <v>151215</v>
      </c>
      <c r="C460" s="401"/>
      <c r="D460" s="15"/>
      <c r="E460" s="400">
        <f t="shared" si="102"/>
        <v>151215</v>
      </c>
      <c r="F460" s="401"/>
      <c r="G460" s="401"/>
      <c r="H460" s="15"/>
      <c r="I460" s="337"/>
      <c r="J460" s="15"/>
      <c r="K460" s="401"/>
      <c r="L460" s="315"/>
    </row>
    <row r="461" spans="1:12" ht="15.75" customHeight="1" x14ac:dyDescent="0.25">
      <c r="A461" s="424" t="s">
        <v>401</v>
      </c>
      <c r="B461" s="15"/>
      <c r="C461" s="401"/>
      <c r="D461" s="15"/>
      <c r="E461" s="401">
        <f t="shared" si="102"/>
        <v>0</v>
      </c>
      <c r="F461" s="400">
        <v>30734</v>
      </c>
      <c r="G461" s="401"/>
      <c r="H461" s="15"/>
      <c r="I461" s="337"/>
      <c r="J461" s="15"/>
      <c r="K461" s="401"/>
      <c r="L461" s="315"/>
    </row>
    <row r="462" spans="1:12" ht="15.75" customHeight="1" x14ac:dyDescent="0.25">
      <c r="A462" s="424" t="s">
        <v>402</v>
      </c>
      <c r="B462" s="15"/>
      <c r="C462" s="401"/>
      <c r="D462" s="15"/>
      <c r="E462" s="401">
        <f t="shared" si="102"/>
        <v>0</v>
      </c>
      <c r="F462" s="400">
        <v>739</v>
      </c>
      <c r="G462" s="401"/>
      <c r="H462" s="15"/>
      <c r="I462" s="337"/>
      <c r="J462" s="15"/>
      <c r="K462" s="401"/>
      <c r="L462" s="315"/>
    </row>
    <row r="463" spans="1:12" ht="15.75" customHeight="1" x14ac:dyDescent="0.25">
      <c r="A463" s="423" t="s">
        <v>405</v>
      </c>
      <c r="B463" s="45">
        <v>37124</v>
      </c>
      <c r="C463" s="400">
        <v>18505</v>
      </c>
      <c r="D463" s="15"/>
      <c r="E463" s="400">
        <f t="shared" si="102"/>
        <v>55629</v>
      </c>
      <c r="F463" s="401"/>
      <c r="G463" s="401"/>
      <c r="H463" s="15"/>
      <c r="I463" s="337"/>
      <c r="J463" s="15"/>
      <c r="K463" s="401"/>
      <c r="L463" s="315"/>
    </row>
    <row r="464" spans="1:12" ht="15.75" customHeight="1" x14ac:dyDescent="0.25">
      <c r="A464" s="433" t="s">
        <v>231</v>
      </c>
      <c r="B464" s="15"/>
      <c r="C464" s="401"/>
      <c r="D464" s="15"/>
      <c r="E464" s="401">
        <f>SUM(B464:D464)</f>
        <v>0</v>
      </c>
      <c r="F464" s="401"/>
      <c r="G464" s="401"/>
      <c r="H464" s="15"/>
      <c r="I464" s="337"/>
      <c r="J464" s="15"/>
      <c r="K464" s="401"/>
      <c r="L464" s="315"/>
    </row>
    <row r="465" spans="1:12" ht="15.75" customHeight="1" x14ac:dyDescent="0.25">
      <c r="A465" s="425" t="s">
        <v>419</v>
      </c>
      <c r="B465" s="19"/>
      <c r="C465" s="415"/>
      <c r="D465" s="19"/>
      <c r="E465" s="401">
        <f t="shared" ref="E465" si="107">SUM(B465:D465)</f>
        <v>0</v>
      </c>
      <c r="F465" s="415"/>
      <c r="G465" s="414">
        <v>1500</v>
      </c>
      <c r="H465" s="19"/>
      <c r="I465" s="343"/>
      <c r="J465" s="19"/>
      <c r="K465" s="415"/>
      <c r="L465" s="317"/>
    </row>
    <row r="466" spans="1:12" ht="15.75" customHeight="1" x14ac:dyDescent="0.25">
      <c r="A466" s="431" t="s">
        <v>188</v>
      </c>
      <c r="B466" s="322">
        <f>SUM(B459:B465)</f>
        <v>367964</v>
      </c>
      <c r="C466" s="405">
        <f>SUM(C459:C465)</f>
        <v>42156</v>
      </c>
      <c r="D466" s="322">
        <f>SUM(D459:D465)</f>
        <v>0</v>
      </c>
      <c r="E466" s="405">
        <f t="shared" ref="E466:E498" si="108">SUM(B466:D466)</f>
        <v>410120</v>
      </c>
      <c r="F466" s="405">
        <f t="shared" ref="F466:L466" si="109">SUM(F459:F465)</f>
        <v>31473</v>
      </c>
      <c r="G466" s="405">
        <f t="shared" si="109"/>
        <v>1500</v>
      </c>
      <c r="H466" s="322">
        <f t="shared" si="109"/>
        <v>0</v>
      </c>
      <c r="I466" s="340">
        <f t="shared" si="109"/>
        <v>0</v>
      </c>
      <c r="J466" s="322">
        <f t="shared" si="109"/>
        <v>0</v>
      </c>
      <c r="K466" s="405">
        <f t="shared" si="109"/>
        <v>0</v>
      </c>
      <c r="L466" s="387">
        <f t="shared" si="109"/>
        <v>0</v>
      </c>
    </row>
    <row r="467" spans="1:12" ht="15.75" customHeight="1" x14ac:dyDescent="0.25">
      <c r="A467" s="432" t="s">
        <v>1119</v>
      </c>
      <c r="B467" s="90"/>
      <c r="C467" s="411"/>
      <c r="D467" s="90"/>
      <c r="E467" s="401">
        <f t="shared" si="108"/>
        <v>0</v>
      </c>
      <c r="F467" s="411"/>
      <c r="G467" s="411"/>
      <c r="H467" s="90"/>
      <c r="I467" s="339"/>
      <c r="J467" s="90"/>
      <c r="K467" s="411"/>
      <c r="L467" s="388"/>
    </row>
    <row r="468" spans="1:12" ht="15.75" customHeight="1" x14ac:dyDescent="0.25">
      <c r="A468" s="423" t="s">
        <v>405</v>
      </c>
      <c r="B468" s="45">
        <v>9162</v>
      </c>
      <c r="C468" s="400">
        <v>3896</v>
      </c>
      <c r="D468" s="15"/>
      <c r="E468" s="400">
        <f t="shared" si="108"/>
        <v>13058</v>
      </c>
      <c r="F468" s="401"/>
      <c r="G468" s="401"/>
      <c r="H468" s="15"/>
      <c r="I468" s="337"/>
      <c r="J468" s="15"/>
      <c r="K468" s="401"/>
      <c r="L468" s="315"/>
    </row>
    <row r="469" spans="1:12" ht="15.75" customHeight="1" x14ac:dyDescent="0.25">
      <c r="A469" s="431" t="s">
        <v>188</v>
      </c>
      <c r="B469" s="322">
        <f>SUM(B467:B468)</f>
        <v>9162</v>
      </c>
      <c r="C469" s="405">
        <f>SUM(C467:C468)</f>
        <v>3896</v>
      </c>
      <c r="D469" s="322">
        <f>SUM(D467:D468)</f>
        <v>0</v>
      </c>
      <c r="E469" s="405">
        <f t="shared" si="108"/>
        <v>13058</v>
      </c>
      <c r="F469" s="405">
        <f t="shared" ref="F469:L469" si="110">SUM(F467:F468)</f>
        <v>0</v>
      </c>
      <c r="G469" s="405">
        <f t="shared" si="110"/>
        <v>0</v>
      </c>
      <c r="H469" s="322">
        <f t="shared" si="110"/>
        <v>0</v>
      </c>
      <c r="I469" s="340">
        <f t="shared" si="110"/>
        <v>0</v>
      </c>
      <c r="J469" s="322">
        <f t="shared" si="110"/>
        <v>0</v>
      </c>
      <c r="K469" s="405">
        <f t="shared" si="110"/>
        <v>0</v>
      </c>
      <c r="L469" s="387">
        <f t="shared" si="110"/>
        <v>0</v>
      </c>
    </row>
    <row r="470" spans="1:12" ht="15.75" customHeight="1" x14ac:dyDescent="0.25">
      <c r="A470" s="432" t="s">
        <v>73</v>
      </c>
      <c r="B470" s="112">
        <v>100147</v>
      </c>
      <c r="C470" s="404">
        <v>21351</v>
      </c>
      <c r="D470" s="90"/>
      <c r="E470" s="400">
        <f t="shared" si="108"/>
        <v>121498</v>
      </c>
      <c r="F470" s="411"/>
      <c r="G470" s="411"/>
      <c r="H470" s="90"/>
      <c r="I470" s="339"/>
      <c r="J470" s="90"/>
      <c r="K470" s="411"/>
      <c r="L470" s="388"/>
    </row>
    <row r="471" spans="1:12" ht="15.75" customHeight="1" x14ac:dyDescent="0.25">
      <c r="A471" s="424" t="s">
        <v>400</v>
      </c>
      <c r="B471" s="45">
        <v>151015</v>
      </c>
      <c r="C471" s="401"/>
      <c r="D471" s="15"/>
      <c r="E471" s="400">
        <f t="shared" si="108"/>
        <v>151015</v>
      </c>
      <c r="F471" s="401"/>
      <c r="G471" s="401"/>
      <c r="H471" s="15"/>
      <c r="I471" s="337"/>
      <c r="J471" s="15"/>
      <c r="K471" s="401"/>
      <c r="L471" s="315"/>
    </row>
    <row r="472" spans="1:12" ht="15.75" customHeight="1" x14ac:dyDescent="0.25">
      <c r="A472" s="424" t="s">
        <v>401</v>
      </c>
      <c r="B472" s="15"/>
      <c r="C472" s="401"/>
      <c r="D472" s="15"/>
      <c r="E472" s="401">
        <f t="shared" si="108"/>
        <v>0</v>
      </c>
      <c r="F472" s="400">
        <v>45283</v>
      </c>
      <c r="G472" s="401"/>
      <c r="H472" s="15"/>
      <c r="I472" s="337"/>
      <c r="J472" s="15"/>
      <c r="K472" s="401"/>
      <c r="L472" s="315"/>
    </row>
    <row r="473" spans="1:12" ht="15.75" customHeight="1" x14ac:dyDescent="0.25">
      <c r="A473" s="424" t="s">
        <v>402</v>
      </c>
      <c r="B473" s="15"/>
      <c r="C473" s="401"/>
      <c r="D473" s="15"/>
      <c r="E473" s="401">
        <f t="shared" si="108"/>
        <v>0</v>
      </c>
      <c r="F473" s="400">
        <v>1090</v>
      </c>
      <c r="G473" s="401"/>
      <c r="H473" s="15"/>
      <c r="I473" s="337"/>
      <c r="J473" s="15"/>
      <c r="K473" s="401"/>
      <c r="L473" s="315"/>
    </row>
    <row r="474" spans="1:12" ht="15.75" customHeight="1" x14ac:dyDescent="0.25">
      <c r="A474" s="423" t="s">
        <v>405</v>
      </c>
      <c r="B474" s="45">
        <v>31851</v>
      </c>
      <c r="C474" s="400">
        <v>21698</v>
      </c>
      <c r="D474" s="15"/>
      <c r="E474" s="400">
        <f t="shared" si="108"/>
        <v>53549</v>
      </c>
      <c r="F474" s="401"/>
      <c r="G474" s="401"/>
      <c r="H474" s="15"/>
      <c r="I474" s="337"/>
      <c r="J474" s="15"/>
      <c r="K474" s="401"/>
      <c r="L474" s="315"/>
    </row>
    <row r="475" spans="1:12" ht="15.75" customHeight="1" x14ac:dyDescent="0.25">
      <c r="A475" s="433" t="s">
        <v>231</v>
      </c>
      <c r="B475" s="15"/>
      <c r="C475" s="401"/>
      <c r="D475" s="15"/>
      <c r="E475" s="401">
        <f t="shared" si="108"/>
        <v>0</v>
      </c>
      <c r="F475" s="401"/>
      <c r="G475" s="401"/>
      <c r="H475" s="15"/>
      <c r="I475" s="337"/>
      <c r="J475" s="15"/>
      <c r="K475" s="401"/>
      <c r="L475" s="315"/>
    </row>
    <row r="476" spans="1:12" ht="15.75" customHeight="1" x14ac:dyDescent="0.25">
      <c r="A476" s="424" t="s">
        <v>1120</v>
      </c>
      <c r="B476" s="14"/>
      <c r="C476" s="402"/>
      <c r="D476" s="14"/>
      <c r="E476" s="402">
        <f>SUM(B476:D476)</f>
        <v>0</v>
      </c>
      <c r="F476" s="402"/>
      <c r="G476" s="469">
        <v>350</v>
      </c>
      <c r="H476" s="38"/>
      <c r="I476" s="351"/>
      <c r="J476" s="38"/>
      <c r="K476" s="469"/>
      <c r="L476" s="176"/>
    </row>
    <row r="477" spans="1:12" ht="15.75" customHeight="1" x14ac:dyDescent="0.25">
      <c r="A477" s="431" t="s">
        <v>188</v>
      </c>
      <c r="B477" s="322">
        <f>SUM(B470:B476)</f>
        <v>283013</v>
      </c>
      <c r="C477" s="405">
        <f>SUM(C470:C476)</f>
        <v>43049</v>
      </c>
      <c r="D477" s="322">
        <f>SUM(D470:D476)</f>
        <v>0</v>
      </c>
      <c r="E477" s="405">
        <f t="shared" si="108"/>
        <v>326062</v>
      </c>
      <c r="F477" s="405">
        <f t="shared" ref="F477:L477" si="111">SUM(F470:F476)</f>
        <v>46373</v>
      </c>
      <c r="G477" s="405">
        <f t="shared" si="111"/>
        <v>350</v>
      </c>
      <c r="H477" s="322">
        <f t="shared" si="111"/>
        <v>0</v>
      </c>
      <c r="I477" s="340">
        <f t="shared" si="111"/>
        <v>0</v>
      </c>
      <c r="J477" s="322">
        <f t="shared" si="111"/>
        <v>0</v>
      </c>
      <c r="K477" s="405">
        <f t="shared" si="111"/>
        <v>0</v>
      </c>
      <c r="L477" s="387">
        <f t="shared" si="111"/>
        <v>0</v>
      </c>
    </row>
    <row r="478" spans="1:12" ht="15.75" customHeight="1" x14ac:dyDescent="0.25">
      <c r="A478" s="432" t="s">
        <v>78</v>
      </c>
      <c r="B478" s="112">
        <v>58439</v>
      </c>
      <c r="C478" s="404">
        <v>6533</v>
      </c>
      <c r="D478" s="90"/>
      <c r="E478" s="400">
        <f t="shared" si="108"/>
        <v>64972</v>
      </c>
      <c r="F478" s="411"/>
      <c r="G478" s="411"/>
      <c r="H478" s="90"/>
      <c r="I478" s="339"/>
      <c r="J478" s="90"/>
      <c r="K478" s="411"/>
      <c r="L478" s="388"/>
    </row>
    <row r="479" spans="1:12" ht="15.75" customHeight="1" x14ac:dyDescent="0.25">
      <c r="A479" s="424" t="s">
        <v>400</v>
      </c>
      <c r="B479" s="45">
        <v>75218</v>
      </c>
      <c r="C479" s="401"/>
      <c r="D479" s="15"/>
      <c r="E479" s="400">
        <f t="shared" si="108"/>
        <v>75218</v>
      </c>
      <c r="F479" s="401"/>
      <c r="G479" s="401"/>
      <c r="H479" s="15"/>
      <c r="I479" s="337"/>
      <c r="J479" s="15"/>
      <c r="K479" s="401"/>
      <c r="L479" s="315"/>
    </row>
    <row r="480" spans="1:12" ht="15.75" customHeight="1" x14ac:dyDescent="0.25">
      <c r="A480" s="424" t="s">
        <v>401</v>
      </c>
      <c r="B480" s="15"/>
      <c r="C480" s="401"/>
      <c r="D480" s="15"/>
      <c r="E480" s="401">
        <f t="shared" si="108"/>
        <v>0</v>
      </c>
      <c r="F480" s="400">
        <v>16974</v>
      </c>
      <c r="G480" s="401"/>
      <c r="H480" s="15"/>
      <c r="I480" s="337"/>
      <c r="J480" s="15"/>
      <c r="K480" s="401"/>
      <c r="L480" s="315"/>
    </row>
    <row r="481" spans="1:12" ht="15.75" customHeight="1" x14ac:dyDescent="0.25">
      <c r="A481" s="424" t="s">
        <v>402</v>
      </c>
      <c r="B481" s="15"/>
      <c r="C481" s="401"/>
      <c r="D481" s="15"/>
      <c r="E481" s="401">
        <f t="shared" si="108"/>
        <v>0</v>
      </c>
      <c r="F481" s="400">
        <v>387</v>
      </c>
      <c r="G481" s="401"/>
      <c r="H481" s="15"/>
      <c r="I481" s="337"/>
      <c r="J481" s="15"/>
      <c r="K481" s="401"/>
      <c r="L481" s="315"/>
    </row>
    <row r="482" spans="1:12" ht="15.75" customHeight="1" x14ac:dyDescent="0.25">
      <c r="A482" s="423" t="s">
        <v>405</v>
      </c>
      <c r="B482" s="45">
        <v>22873</v>
      </c>
      <c r="C482" s="400">
        <v>7053</v>
      </c>
      <c r="D482" s="15"/>
      <c r="E482" s="400">
        <f t="shared" si="108"/>
        <v>29926</v>
      </c>
      <c r="F482" s="401"/>
      <c r="G482" s="401"/>
      <c r="H482" s="15"/>
      <c r="I482" s="337"/>
      <c r="J482" s="15"/>
      <c r="K482" s="401"/>
      <c r="L482" s="315"/>
    </row>
    <row r="483" spans="1:12" ht="15.75" customHeight="1" x14ac:dyDescent="0.25">
      <c r="A483" s="423" t="s">
        <v>231</v>
      </c>
      <c r="B483" s="15"/>
      <c r="C483" s="401"/>
      <c r="D483" s="15"/>
      <c r="E483" s="401">
        <f>SUM(B483:D483)</f>
        <v>0</v>
      </c>
      <c r="F483" s="401"/>
      <c r="G483" s="401"/>
      <c r="H483" s="15"/>
      <c r="I483" s="337"/>
      <c r="J483" s="15"/>
      <c r="K483" s="401"/>
      <c r="L483" s="315"/>
    </row>
    <row r="484" spans="1:12" ht="15.75" customHeight="1" x14ac:dyDescent="0.25">
      <c r="A484" s="424" t="s">
        <v>421</v>
      </c>
      <c r="B484" s="15"/>
      <c r="C484" s="401"/>
      <c r="D484" s="15"/>
      <c r="E484" s="401">
        <f>SUM(B484:D484)</f>
        <v>0</v>
      </c>
      <c r="F484" s="401"/>
      <c r="G484" s="400">
        <v>6364</v>
      </c>
      <c r="H484" s="15"/>
      <c r="I484" s="337"/>
      <c r="J484" s="15"/>
      <c r="K484" s="401"/>
      <c r="L484" s="315"/>
    </row>
    <row r="485" spans="1:12" ht="15.75" customHeight="1" x14ac:dyDescent="0.25">
      <c r="A485" s="431" t="s">
        <v>188</v>
      </c>
      <c r="B485" s="322">
        <f>SUM(B478:B482)</f>
        <v>156530</v>
      </c>
      <c r="C485" s="405">
        <f>SUM(C478:C482)</f>
        <v>13586</v>
      </c>
      <c r="D485" s="322">
        <f>SUM(D478:D482)</f>
        <v>0</v>
      </c>
      <c r="E485" s="405">
        <f t="shared" si="108"/>
        <v>170116</v>
      </c>
      <c r="F485" s="405">
        <f t="shared" ref="F485:L485" si="112">SUM(F478:F484)</f>
        <v>17361</v>
      </c>
      <c r="G485" s="405">
        <f t="shared" si="112"/>
        <v>6364</v>
      </c>
      <c r="H485" s="322">
        <f t="shared" si="112"/>
        <v>0</v>
      </c>
      <c r="I485" s="340">
        <f t="shared" si="112"/>
        <v>0</v>
      </c>
      <c r="J485" s="322">
        <f t="shared" si="112"/>
        <v>0</v>
      </c>
      <c r="K485" s="405">
        <f t="shared" si="112"/>
        <v>0</v>
      </c>
      <c r="L485" s="387">
        <f t="shared" si="112"/>
        <v>0</v>
      </c>
    </row>
    <row r="486" spans="1:12" ht="15.75" customHeight="1" x14ac:dyDescent="0.25">
      <c r="A486" s="432" t="s">
        <v>74</v>
      </c>
      <c r="B486" s="112">
        <v>85623</v>
      </c>
      <c r="C486" s="404">
        <v>21335</v>
      </c>
      <c r="D486" s="90"/>
      <c r="E486" s="400">
        <f t="shared" si="108"/>
        <v>106958</v>
      </c>
      <c r="F486" s="411"/>
      <c r="G486" s="411"/>
      <c r="H486" s="90"/>
      <c r="I486" s="339"/>
      <c r="J486" s="90"/>
      <c r="K486" s="411"/>
      <c r="L486" s="388"/>
    </row>
    <row r="487" spans="1:12" ht="15.75" customHeight="1" x14ac:dyDescent="0.25">
      <c r="A487" s="424" t="s">
        <v>400</v>
      </c>
      <c r="B487" s="45">
        <v>120372</v>
      </c>
      <c r="C487" s="401"/>
      <c r="D487" s="15"/>
      <c r="E487" s="400">
        <f t="shared" si="108"/>
        <v>120372</v>
      </c>
      <c r="F487" s="401"/>
      <c r="G487" s="401"/>
      <c r="H487" s="15"/>
      <c r="I487" s="337"/>
      <c r="J487" s="15"/>
      <c r="K487" s="401"/>
      <c r="L487" s="315"/>
    </row>
    <row r="488" spans="1:12" ht="15.75" customHeight="1" x14ac:dyDescent="0.25">
      <c r="A488" s="424" t="s">
        <v>401</v>
      </c>
      <c r="B488" s="15"/>
      <c r="C488" s="401"/>
      <c r="D488" s="15"/>
      <c r="E488" s="401">
        <f t="shared" si="108"/>
        <v>0</v>
      </c>
      <c r="F488" s="400">
        <v>27896</v>
      </c>
      <c r="G488" s="401"/>
      <c r="H488" s="15"/>
      <c r="I488" s="337"/>
      <c r="J488" s="15"/>
      <c r="K488" s="401"/>
      <c r="L488" s="315"/>
    </row>
    <row r="489" spans="1:12" ht="15.75" customHeight="1" x14ac:dyDescent="0.25">
      <c r="A489" s="424" t="s">
        <v>402</v>
      </c>
      <c r="B489" s="15"/>
      <c r="C489" s="401"/>
      <c r="D489" s="15"/>
      <c r="E489" s="401">
        <f t="shared" si="108"/>
        <v>0</v>
      </c>
      <c r="F489" s="400">
        <v>668</v>
      </c>
      <c r="G489" s="401"/>
      <c r="H489" s="15"/>
      <c r="I489" s="337"/>
      <c r="J489" s="15"/>
      <c r="K489" s="401"/>
      <c r="L489" s="315"/>
    </row>
    <row r="490" spans="1:12" ht="15.75" customHeight="1" x14ac:dyDescent="0.25">
      <c r="A490" s="423" t="s">
        <v>405</v>
      </c>
      <c r="B490" s="45">
        <v>29760</v>
      </c>
      <c r="C490" s="400">
        <v>18091</v>
      </c>
      <c r="D490" s="15"/>
      <c r="E490" s="400">
        <f t="shared" si="108"/>
        <v>47851</v>
      </c>
      <c r="F490" s="401"/>
      <c r="G490" s="401"/>
      <c r="H490" s="15"/>
      <c r="I490" s="337"/>
      <c r="J490" s="15"/>
      <c r="K490" s="401"/>
      <c r="L490" s="315"/>
    </row>
    <row r="491" spans="1:12" ht="15.75" customHeight="1" x14ac:dyDescent="0.25">
      <c r="A491" s="433" t="s">
        <v>231</v>
      </c>
      <c r="B491" s="15"/>
      <c r="C491" s="401"/>
      <c r="D491" s="15"/>
      <c r="E491" s="401">
        <f>SUM(B491:D491)</f>
        <v>0</v>
      </c>
      <c r="F491" s="401"/>
      <c r="G491" s="401"/>
      <c r="H491" s="15"/>
      <c r="I491" s="337"/>
      <c r="J491" s="15"/>
      <c r="K491" s="401"/>
      <c r="L491" s="315"/>
    </row>
    <row r="492" spans="1:12" ht="15.75" customHeight="1" x14ac:dyDescent="0.25">
      <c r="A492" s="424" t="s">
        <v>422</v>
      </c>
      <c r="B492" s="15"/>
      <c r="C492" s="401"/>
      <c r="D492" s="15"/>
      <c r="E492" s="401">
        <f>SUM(B492:D492)</f>
        <v>0</v>
      </c>
      <c r="F492" s="401"/>
      <c r="G492" s="400">
        <v>1200</v>
      </c>
      <c r="H492" s="15"/>
      <c r="I492" s="337"/>
      <c r="J492" s="15"/>
      <c r="K492" s="401"/>
      <c r="L492" s="315"/>
    </row>
    <row r="493" spans="1:12" ht="15.75" customHeight="1" x14ac:dyDescent="0.25">
      <c r="A493" s="431" t="s">
        <v>188</v>
      </c>
      <c r="B493" s="322">
        <f>SUM(B486:B490)</f>
        <v>235755</v>
      </c>
      <c r="C493" s="405">
        <f>SUM(C486:C490)</f>
        <v>39426</v>
      </c>
      <c r="D493" s="322">
        <f>SUM(D486:D490)</f>
        <v>0</v>
      </c>
      <c r="E493" s="405">
        <f t="shared" si="108"/>
        <v>275181</v>
      </c>
      <c r="F493" s="405">
        <f t="shared" ref="F493:L493" si="113">SUM(F486:F492)</f>
        <v>28564</v>
      </c>
      <c r="G493" s="405">
        <f t="shared" si="113"/>
        <v>1200</v>
      </c>
      <c r="H493" s="322">
        <f t="shared" si="113"/>
        <v>0</v>
      </c>
      <c r="I493" s="340">
        <f t="shared" si="113"/>
        <v>0</v>
      </c>
      <c r="J493" s="322">
        <f t="shared" si="113"/>
        <v>0</v>
      </c>
      <c r="K493" s="405">
        <f t="shared" si="113"/>
        <v>0</v>
      </c>
      <c r="L493" s="387">
        <f t="shared" si="113"/>
        <v>0</v>
      </c>
    </row>
    <row r="494" spans="1:12" ht="15.75" customHeight="1" x14ac:dyDescent="0.25">
      <c r="A494" s="432" t="s">
        <v>72</v>
      </c>
      <c r="B494" s="112">
        <v>89758</v>
      </c>
      <c r="C494" s="404">
        <v>30347</v>
      </c>
      <c r="D494" s="90"/>
      <c r="E494" s="400">
        <f t="shared" si="108"/>
        <v>120105</v>
      </c>
      <c r="F494" s="411"/>
      <c r="G494" s="411"/>
      <c r="H494" s="90"/>
      <c r="I494" s="339"/>
      <c r="J494" s="90"/>
      <c r="K494" s="411"/>
      <c r="L494" s="388"/>
    </row>
    <row r="495" spans="1:12" ht="15.75" customHeight="1" x14ac:dyDescent="0.25">
      <c r="A495" s="424" t="s">
        <v>400</v>
      </c>
      <c r="B495" s="45">
        <v>144333</v>
      </c>
      <c r="C495" s="401"/>
      <c r="D495" s="15"/>
      <c r="E495" s="400">
        <f t="shared" si="108"/>
        <v>144333</v>
      </c>
      <c r="F495" s="401"/>
      <c r="G495" s="401"/>
      <c r="H495" s="15"/>
      <c r="I495" s="337"/>
      <c r="J495" s="15"/>
      <c r="K495" s="401"/>
      <c r="L495" s="315"/>
    </row>
    <row r="496" spans="1:12" ht="15.75" customHeight="1" x14ac:dyDescent="0.25">
      <c r="A496" s="424" t="s">
        <v>401</v>
      </c>
      <c r="B496" s="15"/>
      <c r="C496" s="401"/>
      <c r="D496" s="15"/>
      <c r="E496" s="401">
        <f t="shared" si="108"/>
        <v>0</v>
      </c>
      <c r="F496" s="400">
        <v>32619</v>
      </c>
      <c r="G496" s="401"/>
      <c r="H496" s="15"/>
      <c r="I496" s="337"/>
      <c r="J496" s="15"/>
      <c r="K496" s="401"/>
      <c r="L496" s="315"/>
    </row>
    <row r="497" spans="1:12" ht="15.75" customHeight="1" x14ac:dyDescent="0.25">
      <c r="A497" s="424" t="s">
        <v>402</v>
      </c>
      <c r="B497" s="15"/>
      <c r="C497" s="401"/>
      <c r="D497" s="15"/>
      <c r="E497" s="401">
        <f t="shared" si="108"/>
        <v>0</v>
      </c>
      <c r="F497" s="400">
        <v>695</v>
      </c>
      <c r="G497" s="401"/>
      <c r="H497" s="15"/>
      <c r="I497" s="337"/>
      <c r="J497" s="15"/>
      <c r="K497" s="401"/>
      <c r="L497" s="315"/>
    </row>
    <row r="498" spans="1:12" ht="15.75" customHeight="1" x14ac:dyDescent="0.25">
      <c r="A498" s="423" t="s">
        <v>405</v>
      </c>
      <c r="B498" s="45">
        <v>17806</v>
      </c>
      <c r="C498" s="400">
        <v>13725</v>
      </c>
      <c r="D498" s="15"/>
      <c r="E498" s="400">
        <f t="shared" si="108"/>
        <v>31531</v>
      </c>
      <c r="F498" s="401"/>
      <c r="G498" s="401"/>
      <c r="H498" s="15"/>
      <c r="I498" s="337"/>
      <c r="J498" s="15"/>
      <c r="K498" s="401"/>
      <c r="L498" s="315"/>
    </row>
    <row r="499" spans="1:12" ht="15.75" customHeight="1" x14ac:dyDescent="0.25">
      <c r="A499" s="433" t="s">
        <v>231</v>
      </c>
      <c r="B499" s="15"/>
      <c r="C499" s="401"/>
      <c r="D499" s="15"/>
      <c r="E499" s="401">
        <f>SUM(B499:D499)</f>
        <v>0</v>
      </c>
      <c r="F499" s="401"/>
      <c r="G499" s="401"/>
      <c r="H499" s="15"/>
      <c r="I499" s="337"/>
      <c r="J499" s="15"/>
      <c r="K499" s="401"/>
      <c r="L499" s="315"/>
    </row>
    <row r="500" spans="1:12" ht="15.75" customHeight="1" x14ac:dyDescent="0.25">
      <c r="A500" s="424" t="s">
        <v>1110</v>
      </c>
      <c r="B500" s="15"/>
      <c r="C500" s="401"/>
      <c r="D500" s="15"/>
      <c r="E500" s="401">
        <f>SUM(B500:D500)</f>
        <v>0</v>
      </c>
      <c r="F500" s="401"/>
      <c r="G500" s="400">
        <v>1816</v>
      </c>
      <c r="H500" s="15"/>
      <c r="I500" s="337"/>
      <c r="J500" s="15"/>
      <c r="K500" s="401"/>
      <c r="L500" s="315"/>
    </row>
    <row r="501" spans="1:12" ht="15.75" customHeight="1" x14ac:dyDescent="0.25">
      <c r="A501" s="431" t="s">
        <v>188</v>
      </c>
      <c r="B501" s="322">
        <f>SUM(B494:B498)</f>
        <v>251897</v>
      </c>
      <c r="C501" s="405">
        <f>SUM(C494:C498)</f>
        <v>44072</v>
      </c>
      <c r="D501" s="322">
        <f>SUM(D494:D500)</f>
        <v>0</v>
      </c>
      <c r="E501" s="405">
        <f t="shared" ref="E501:E502" si="114">SUM(B501:D501)</f>
        <v>295969</v>
      </c>
      <c r="F501" s="405">
        <f t="shared" ref="F501:L501" si="115">SUM(F494:F500)</f>
        <v>33314</v>
      </c>
      <c r="G501" s="405">
        <f t="shared" si="115"/>
        <v>1816</v>
      </c>
      <c r="H501" s="322">
        <f t="shared" si="115"/>
        <v>0</v>
      </c>
      <c r="I501" s="340">
        <f t="shared" si="115"/>
        <v>0</v>
      </c>
      <c r="J501" s="322">
        <f t="shared" si="115"/>
        <v>0</v>
      </c>
      <c r="K501" s="405">
        <f t="shared" si="115"/>
        <v>0</v>
      </c>
      <c r="L501" s="387">
        <f t="shared" si="115"/>
        <v>0</v>
      </c>
    </row>
    <row r="502" spans="1:12" ht="15.75" customHeight="1" x14ac:dyDescent="0.25">
      <c r="A502" s="454" t="s">
        <v>423</v>
      </c>
      <c r="B502" s="333">
        <f>B501+B493+B485+B477+B469+B466+B458+B452+B444+B438+B428+B418</f>
        <v>3118855</v>
      </c>
      <c r="C502" s="467">
        <f>C501+C493+C485+C477+C469+C466+C458+C452+C444+C438+C428+C418</f>
        <v>518323</v>
      </c>
      <c r="D502" s="333">
        <f>D501+D493+D485+D477+D469+D466+D458+D452+D444+D438+D428+D418</f>
        <v>0</v>
      </c>
      <c r="E502" s="417">
        <f t="shared" si="114"/>
        <v>3637178</v>
      </c>
      <c r="F502" s="467">
        <f>F501+F493+F485+F477+F469+F466+F458+F452+F444+F438+F428+F418</f>
        <v>634379</v>
      </c>
      <c r="G502" s="467">
        <f>(G501+G493+G485+G477+G469+G466+G458+G452+G444+G444+G444+G444+G438+G428+G418)</f>
        <v>25230</v>
      </c>
      <c r="H502" s="333"/>
      <c r="I502" s="353"/>
      <c r="J502" s="333"/>
      <c r="K502" s="467"/>
      <c r="L502" s="396"/>
    </row>
    <row r="503" spans="1:12" ht="15.75" customHeight="1" x14ac:dyDescent="0.25">
      <c r="A503" s="432" t="s">
        <v>162</v>
      </c>
      <c r="B503" s="112">
        <v>290020</v>
      </c>
      <c r="C503" s="404">
        <v>126428</v>
      </c>
      <c r="D503" s="112">
        <v>300</v>
      </c>
      <c r="E503" s="400">
        <f t="shared" ref="E503:E541" si="116">SUM(B503:D503)</f>
        <v>416748</v>
      </c>
      <c r="F503" s="411"/>
      <c r="G503" s="411"/>
      <c r="H503" s="90"/>
      <c r="I503" s="339"/>
      <c r="J503" s="90"/>
      <c r="K503" s="411"/>
      <c r="L503" s="388"/>
    </row>
    <row r="504" spans="1:12" ht="15.75" customHeight="1" x14ac:dyDescent="0.25">
      <c r="A504" s="424" t="s">
        <v>400</v>
      </c>
      <c r="B504" s="45">
        <v>40054</v>
      </c>
      <c r="C504" s="401"/>
      <c r="D504" s="15"/>
      <c r="E504" s="400">
        <f t="shared" si="116"/>
        <v>40054</v>
      </c>
      <c r="F504" s="401"/>
      <c r="G504" s="401"/>
      <c r="H504" s="15"/>
      <c r="I504" s="337"/>
      <c r="J504" s="15"/>
      <c r="K504" s="401"/>
      <c r="L504" s="315"/>
    </row>
    <row r="505" spans="1:12" ht="15.75" customHeight="1" x14ac:dyDescent="0.25">
      <c r="A505" s="424" t="s">
        <v>401</v>
      </c>
      <c r="B505" s="15"/>
      <c r="C505" s="401"/>
      <c r="D505" s="15"/>
      <c r="E505" s="401">
        <f t="shared" si="116"/>
        <v>0</v>
      </c>
      <c r="F505" s="400">
        <v>847641</v>
      </c>
      <c r="G505" s="401"/>
      <c r="H505" s="15"/>
      <c r="I505" s="337"/>
      <c r="J505" s="15"/>
      <c r="K505" s="401"/>
      <c r="L505" s="315"/>
    </row>
    <row r="506" spans="1:12" ht="15.75" customHeight="1" x14ac:dyDescent="0.25">
      <c r="A506" s="424" t="s">
        <v>424</v>
      </c>
      <c r="B506" s="14"/>
      <c r="C506" s="402"/>
      <c r="D506" s="14"/>
      <c r="E506" s="402">
        <f>SUM(B506:D506)</f>
        <v>0</v>
      </c>
      <c r="F506" s="402">
        <v>15953</v>
      </c>
      <c r="G506" s="469"/>
      <c r="H506" s="38"/>
      <c r="I506" s="351"/>
      <c r="J506" s="38"/>
      <c r="K506" s="469"/>
      <c r="L506" s="176"/>
    </row>
    <row r="507" spans="1:12" ht="15.75" customHeight="1" x14ac:dyDescent="0.25">
      <c r="A507" s="424" t="s">
        <v>425</v>
      </c>
      <c r="B507" s="14"/>
      <c r="C507" s="402"/>
      <c r="D507" s="14"/>
      <c r="E507" s="402">
        <f>SUM(B507:D507)</f>
        <v>0</v>
      </c>
      <c r="F507" s="402">
        <v>3900</v>
      </c>
      <c r="G507" s="469"/>
      <c r="H507" s="38"/>
      <c r="I507" s="351"/>
      <c r="J507" s="38"/>
      <c r="K507" s="469"/>
      <c r="L507" s="176"/>
    </row>
    <row r="508" spans="1:12" ht="15.75" customHeight="1" x14ac:dyDescent="0.25">
      <c r="A508" s="424" t="s">
        <v>402</v>
      </c>
      <c r="B508" s="15"/>
      <c r="C508" s="401"/>
      <c r="D508" s="15"/>
      <c r="E508" s="401">
        <f t="shared" si="116"/>
        <v>0</v>
      </c>
      <c r="F508" s="400">
        <v>17726</v>
      </c>
      <c r="G508" s="401"/>
      <c r="H508" s="15"/>
      <c r="I508" s="337"/>
      <c r="J508" s="15"/>
      <c r="K508" s="401"/>
      <c r="L508" s="315"/>
    </row>
    <row r="509" spans="1:12" ht="15.75" customHeight="1" x14ac:dyDescent="0.25">
      <c r="A509" s="424" t="s">
        <v>426</v>
      </c>
      <c r="B509" s="15"/>
      <c r="C509" s="401"/>
      <c r="D509" s="15"/>
      <c r="E509" s="401">
        <f t="shared" si="116"/>
        <v>0</v>
      </c>
      <c r="F509" s="400">
        <v>5040</v>
      </c>
      <c r="G509" s="401"/>
      <c r="H509" s="15"/>
      <c r="I509" s="337"/>
      <c r="J509" s="15"/>
      <c r="K509" s="401"/>
      <c r="L509" s="315"/>
    </row>
    <row r="510" spans="1:12" ht="15.75" customHeight="1" x14ac:dyDescent="0.25">
      <c r="A510" s="424" t="s">
        <v>427</v>
      </c>
      <c r="B510" s="15"/>
      <c r="C510" s="400">
        <v>2310</v>
      </c>
      <c r="D510" s="15"/>
      <c r="E510" s="400">
        <f t="shared" si="116"/>
        <v>2310</v>
      </c>
      <c r="F510" s="401"/>
      <c r="G510" s="401"/>
      <c r="H510" s="15"/>
      <c r="I510" s="337"/>
      <c r="J510" s="15"/>
      <c r="K510" s="401"/>
      <c r="L510" s="315"/>
    </row>
    <row r="511" spans="1:12" ht="15.75" customHeight="1" x14ac:dyDescent="0.25">
      <c r="A511" s="423" t="s">
        <v>428</v>
      </c>
      <c r="B511" s="14">
        <v>79744</v>
      </c>
      <c r="C511" s="402">
        <v>105510</v>
      </c>
      <c r="D511" s="14"/>
      <c r="E511" s="402">
        <f>SUM(B511:D511)</f>
        <v>185254</v>
      </c>
      <c r="F511" s="402"/>
      <c r="G511" s="469"/>
      <c r="H511" s="38"/>
      <c r="I511" s="351"/>
      <c r="J511" s="38"/>
      <c r="K511" s="469"/>
      <c r="L511" s="176"/>
    </row>
    <row r="512" spans="1:12" ht="15.75" customHeight="1" x14ac:dyDescent="0.25">
      <c r="A512" s="423" t="s">
        <v>231</v>
      </c>
      <c r="B512" s="15"/>
      <c r="C512" s="401"/>
      <c r="D512" s="15"/>
      <c r="E512" s="401">
        <f>SUM(B512:D512)</f>
        <v>0</v>
      </c>
      <c r="F512" s="401"/>
      <c r="G512" s="401"/>
      <c r="H512" s="15"/>
      <c r="I512" s="337"/>
      <c r="J512" s="15"/>
      <c r="K512" s="401"/>
      <c r="L512" s="315"/>
    </row>
    <row r="513" spans="1:12" ht="15.75" customHeight="1" x14ac:dyDescent="0.25">
      <c r="A513" s="424" t="s">
        <v>429</v>
      </c>
      <c r="B513" s="14"/>
      <c r="C513" s="402"/>
      <c r="D513" s="14"/>
      <c r="E513" s="402">
        <f>SUM(B513:D513)</f>
        <v>0</v>
      </c>
      <c r="F513" s="402"/>
      <c r="G513" s="469">
        <v>550</v>
      </c>
      <c r="H513" s="38"/>
      <c r="I513" s="351"/>
      <c r="J513" s="38"/>
      <c r="K513" s="469"/>
      <c r="L513" s="176"/>
    </row>
    <row r="514" spans="1:12" ht="15.75" customHeight="1" x14ac:dyDescent="0.25">
      <c r="A514" s="424" t="s">
        <v>433</v>
      </c>
      <c r="B514" s="15"/>
      <c r="C514" s="401"/>
      <c r="D514" s="15"/>
      <c r="E514" s="401">
        <f>SUM(B514:D514)</f>
        <v>0</v>
      </c>
      <c r="F514" s="401"/>
      <c r="G514" s="400">
        <v>5000</v>
      </c>
      <c r="H514" s="15"/>
      <c r="I514" s="337"/>
      <c r="J514" s="15"/>
      <c r="K514" s="401"/>
      <c r="L514" s="315"/>
    </row>
    <row r="515" spans="1:12" ht="15.75" customHeight="1" x14ac:dyDescent="0.25">
      <c r="A515" s="423" t="s">
        <v>167</v>
      </c>
      <c r="B515" s="45">
        <v>118168</v>
      </c>
      <c r="C515" s="400">
        <v>190274</v>
      </c>
      <c r="D515" s="15"/>
      <c r="E515" s="400">
        <f t="shared" si="116"/>
        <v>308442</v>
      </c>
      <c r="F515" s="401"/>
      <c r="G515" s="401"/>
      <c r="H515" s="15"/>
      <c r="I515" s="337"/>
      <c r="J515" s="15"/>
      <c r="K515" s="401"/>
      <c r="L515" s="315"/>
    </row>
    <row r="516" spans="1:12" ht="15.75" customHeight="1" x14ac:dyDescent="0.25">
      <c r="A516" s="424" t="s">
        <v>1111</v>
      </c>
      <c r="B516" s="14"/>
      <c r="C516" s="402"/>
      <c r="D516" s="14"/>
      <c r="E516" s="402">
        <f>SUM(B516:D516)</f>
        <v>0</v>
      </c>
      <c r="F516" s="402"/>
      <c r="G516" s="469">
        <v>900</v>
      </c>
      <c r="H516" s="38"/>
      <c r="I516" s="351"/>
      <c r="J516" s="38"/>
      <c r="K516" s="469"/>
      <c r="L516" s="176"/>
    </row>
    <row r="517" spans="1:12" ht="15.75" customHeight="1" x14ac:dyDescent="0.25">
      <c r="A517" s="431" t="s">
        <v>188</v>
      </c>
      <c r="B517" s="322">
        <f>SUM(B503:B516)</f>
        <v>527986</v>
      </c>
      <c r="C517" s="405">
        <f>SUM(C503:C516)</f>
        <v>424522</v>
      </c>
      <c r="D517" s="322">
        <f>SUM(D503:D516)</f>
        <v>300</v>
      </c>
      <c r="E517" s="405">
        <f t="shared" si="116"/>
        <v>952808</v>
      </c>
      <c r="F517" s="405">
        <f>SUM(F503:F516)</f>
        <v>890260</v>
      </c>
      <c r="G517" s="405">
        <f>SUM(G503:G516)</f>
        <v>6450</v>
      </c>
      <c r="H517" s="322">
        <f>SUM(H503:H515)</f>
        <v>0</v>
      </c>
      <c r="I517" s="340">
        <f>SUM(I503:I515)</f>
        <v>0</v>
      </c>
      <c r="J517" s="322">
        <f>SUM(J503:J515)</f>
        <v>0</v>
      </c>
      <c r="K517" s="405">
        <f>SUM(K503:K515)</f>
        <v>0</v>
      </c>
      <c r="L517" s="387">
        <f>SUM(L503:L515)</f>
        <v>0</v>
      </c>
    </row>
    <row r="518" spans="1:12" ht="15.75" customHeight="1" x14ac:dyDescent="0.25">
      <c r="A518" s="432" t="s">
        <v>161</v>
      </c>
      <c r="B518" s="112">
        <v>335614</v>
      </c>
      <c r="C518" s="404">
        <v>162867</v>
      </c>
      <c r="D518" s="112">
        <v>1500</v>
      </c>
      <c r="E518" s="400">
        <f t="shared" si="116"/>
        <v>499981</v>
      </c>
      <c r="F518" s="411"/>
      <c r="G518" s="411"/>
      <c r="H518" s="90"/>
      <c r="I518" s="339"/>
      <c r="J518" s="90"/>
      <c r="K518" s="411"/>
      <c r="L518" s="388"/>
    </row>
    <row r="519" spans="1:12" ht="15.75" customHeight="1" x14ac:dyDescent="0.25">
      <c r="A519" s="424" t="s">
        <v>400</v>
      </c>
      <c r="B519" s="45">
        <v>99257</v>
      </c>
      <c r="C519" s="401"/>
      <c r="D519" s="15"/>
      <c r="E519" s="400">
        <f t="shared" si="116"/>
        <v>99257</v>
      </c>
      <c r="F519" s="401"/>
      <c r="G519" s="401"/>
      <c r="H519" s="15"/>
      <c r="I519" s="337"/>
      <c r="J519" s="15"/>
      <c r="K519" s="401"/>
      <c r="L519" s="315"/>
    </row>
    <row r="520" spans="1:12" ht="15.75" customHeight="1" x14ac:dyDescent="0.25">
      <c r="A520" s="424" t="s">
        <v>401</v>
      </c>
      <c r="B520" s="15"/>
      <c r="C520" s="401"/>
      <c r="D520" s="15"/>
      <c r="E520" s="401">
        <f t="shared" si="116"/>
        <v>0</v>
      </c>
      <c r="F520" s="400">
        <v>774687</v>
      </c>
      <c r="G520" s="401"/>
      <c r="H520" s="15"/>
      <c r="I520" s="337"/>
      <c r="J520" s="15"/>
      <c r="K520" s="401"/>
      <c r="L520" s="315"/>
    </row>
    <row r="521" spans="1:12" ht="15.75" customHeight="1" x14ac:dyDescent="0.25">
      <c r="A521" s="424" t="s">
        <v>424</v>
      </c>
      <c r="B521" s="14"/>
      <c r="C521" s="402"/>
      <c r="D521" s="14"/>
      <c r="E521" s="402">
        <f>SUM(B521:D521)</f>
        <v>0</v>
      </c>
      <c r="F521" s="402">
        <v>11308</v>
      </c>
      <c r="G521" s="469"/>
      <c r="H521" s="38"/>
      <c r="I521" s="351"/>
      <c r="J521" s="38"/>
      <c r="K521" s="469"/>
      <c r="L521" s="176"/>
    </row>
    <row r="522" spans="1:12" ht="15.75" customHeight="1" x14ac:dyDescent="0.25">
      <c r="A522" s="424" t="s">
        <v>434</v>
      </c>
      <c r="B522" s="14"/>
      <c r="C522" s="402"/>
      <c r="D522" s="14"/>
      <c r="E522" s="402">
        <f>SUM(B522:D522)</f>
        <v>0</v>
      </c>
      <c r="F522" s="402">
        <v>6296</v>
      </c>
      <c r="G522" s="469"/>
      <c r="H522" s="38"/>
      <c r="I522" s="351"/>
      <c r="J522" s="38"/>
      <c r="K522" s="469"/>
      <c r="L522" s="176"/>
    </row>
    <row r="523" spans="1:12" ht="15.75" customHeight="1" x14ac:dyDescent="0.25">
      <c r="A523" s="424" t="s">
        <v>435</v>
      </c>
      <c r="B523" s="14"/>
      <c r="C523" s="402"/>
      <c r="D523" s="14"/>
      <c r="E523" s="402">
        <f>SUM(B523:D523)</f>
        <v>0</v>
      </c>
      <c r="F523" s="402">
        <v>1500</v>
      </c>
      <c r="G523" s="469"/>
      <c r="H523" s="38"/>
      <c r="I523" s="351"/>
      <c r="J523" s="38"/>
      <c r="K523" s="469"/>
      <c r="L523" s="176"/>
    </row>
    <row r="524" spans="1:12" ht="15.75" customHeight="1" x14ac:dyDescent="0.25">
      <c r="A524" s="424" t="s">
        <v>402</v>
      </c>
      <c r="B524" s="15"/>
      <c r="C524" s="401"/>
      <c r="D524" s="15"/>
      <c r="E524" s="401">
        <f t="shared" si="116"/>
        <v>0</v>
      </c>
      <c r="F524" s="400">
        <v>14689</v>
      </c>
      <c r="G524" s="401"/>
      <c r="H524" s="15"/>
      <c r="I524" s="337"/>
      <c r="J524" s="15"/>
      <c r="K524" s="401"/>
      <c r="L524" s="315"/>
    </row>
    <row r="525" spans="1:12" ht="15.75" customHeight="1" x14ac:dyDescent="0.25">
      <c r="A525" s="424" t="s">
        <v>426</v>
      </c>
      <c r="B525" s="15"/>
      <c r="C525" s="401"/>
      <c r="D525" s="15"/>
      <c r="E525" s="401">
        <f t="shared" si="116"/>
        <v>0</v>
      </c>
      <c r="F525" s="400">
        <v>4040</v>
      </c>
      <c r="G525" s="401"/>
      <c r="H525" s="15"/>
      <c r="I525" s="337"/>
      <c r="J525" s="15"/>
      <c r="K525" s="401"/>
      <c r="L525" s="315"/>
    </row>
    <row r="526" spans="1:12" ht="15.75" customHeight="1" x14ac:dyDescent="0.25">
      <c r="A526" s="424" t="s">
        <v>427</v>
      </c>
      <c r="B526" s="19"/>
      <c r="C526" s="414">
        <v>3000</v>
      </c>
      <c r="D526" s="19"/>
      <c r="E526" s="400">
        <f t="shared" si="116"/>
        <v>3000</v>
      </c>
      <c r="F526" s="415"/>
      <c r="G526" s="415"/>
      <c r="H526" s="19"/>
      <c r="I526" s="343"/>
      <c r="J526" s="19"/>
      <c r="K526" s="415"/>
      <c r="L526" s="317"/>
    </row>
    <row r="527" spans="1:12" ht="15.75" customHeight="1" x14ac:dyDescent="0.25">
      <c r="A527" s="423" t="s">
        <v>436</v>
      </c>
      <c r="B527" s="45">
        <v>81276</v>
      </c>
      <c r="C527" s="402">
        <v>109762</v>
      </c>
      <c r="D527" s="14"/>
      <c r="E527" s="402">
        <f t="shared" ref="E527:E528" si="117">SUM(B527:D527)</f>
        <v>191038</v>
      </c>
      <c r="F527" s="402"/>
      <c r="G527" s="469"/>
      <c r="H527" s="38"/>
      <c r="I527" s="351"/>
      <c r="J527" s="38"/>
      <c r="K527" s="469"/>
      <c r="L527" s="176"/>
    </row>
    <row r="528" spans="1:12" ht="15.75" customHeight="1" x14ac:dyDescent="0.25">
      <c r="A528" s="423" t="s">
        <v>231</v>
      </c>
      <c r="B528" s="15"/>
      <c r="C528" s="401"/>
      <c r="D528" s="15"/>
      <c r="E528" s="401">
        <f t="shared" si="117"/>
        <v>0</v>
      </c>
      <c r="F528" s="401"/>
      <c r="G528" s="401"/>
      <c r="H528" s="15"/>
      <c r="I528" s="337"/>
      <c r="J528" s="15"/>
      <c r="K528" s="401"/>
      <c r="L528" s="315"/>
    </row>
    <row r="529" spans="1:12" ht="30" x14ac:dyDescent="0.25">
      <c r="A529" s="440" t="s">
        <v>1118</v>
      </c>
      <c r="B529" s="19"/>
      <c r="C529" s="415"/>
      <c r="D529" s="19"/>
      <c r="E529" s="401">
        <f t="shared" si="116"/>
        <v>0</v>
      </c>
      <c r="F529" s="415"/>
      <c r="G529" s="414">
        <v>1300</v>
      </c>
      <c r="H529" s="19"/>
      <c r="I529" s="343"/>
      <c r="J529" s="19"/>
      <c r="K529" s="415"/>
      <c r="L529" s="317"/>
    </row>
    <row r="530" spans="1:12" ht="15.75" customHeight="1" x14ac:dyDescent="0.25">
      <c r="A530" s="423" t="s">
        <v>172</v>
      </c>
      <c r="B530" s="45">
        <v>68173</v>
      </c>
      <c r="C530" s="400">
        <v>27462</v>
      </c>
      <c r="D530" s="15"/>
      <c r="E530" s="400">
        <f t="shared" si="116"/>
        <v>95635</v>
      </c>
      <c r="F530" s="415"/>
      <c r="G530" s="415"/>
      <c r="H530" s="19"/>
      <c r="I530" s="343"/>
      <c r="J530" s="19"/>
      <c r="K530" s="415"/>
      <c r="L530" s="317"/>
    </row>
    <row r="531" spans="1:12" ht="15.75" customHeight="1" x14ac:dyDescent="0.25">
      <c r="A531" s="431" t="s">
        <v>188</v>
      </c>
      <c r="B531" s="322">
        <f>SUM(B518:B530)</f>
        <v>584320</v>
      </c>
      <c r="C531" s="405">
        <f>SUM(C518:C530)</f>
        <v>303091</v>
      </c>
      <c r="D531" s="322">
        <f>SUM(D518:D530)</f>
        <v>1500</v>
      </c>
      <c r="E531" s="405">
        <f t="shared" si="116"/>
        <v>888911</v>
      </c>
      <c r="F531" s="405">
        <f t="shared" ref="F531:L531" si="118">SUM(F518:F530)</f>
        <v>812520</v>
      </c>
      <c r="G531" s="405">
        <f t="shared" si="118"/>
        <v>1300</v>
      </c>
      <c r="H531" s="322">
        <f t="shared" si="118"/>
        <v>0</v>
      </c>
      <c r="I531" s="340">
        <f t="shared" si="118"/>
        <v>0</v>
      </c>
      <c r="J531" s="322">
        <f t="shared" si="118"/>
        <v>0</v>
      </c>
      <c r="K531" s="405">
        <f t="shared" si="118"/>
        <v>0</v>
      </c>
      <c r="L531" s="387">
        <f t="shared" si="118"/>
        <v>0</v>
      </c>
    </row>
    <row r="532" spans="1:12" ht="15.75" customHeight="1" x14ac:dyDescent="0.25">
      <c r="A532" s="432" t="s">
        <v>168</v>
      </c>
      <c r="B532" s="112">
        <v>70862</v>
      </c>
      <c r="C532" s="404">
        <v>23301</v>
      </c>
      <c r="D532" s="112">
        <v>375</v>
      </c>
      <c r="E532" s="400">
        <f t="shared" si="116"/>
        <v>94538</v>
      </c>
      <c r="F532" s="411"/>
      <c r="G532" s="411"/>
      <c r="H532" s="90"/>
      <c r="I532" s="339"/>
      <c r="J532" s="90"/>
      <c r="K532" s="411"/>
      <c r="L532" s="388"/>
    </row>
    <row r="533" spans="1:12" ht="15.75" customHeight="1" x14ac:dyDescent="0.25">
      <c r="A533" s="424" t="s">
        <v>400</v>
      </c>
      <c r="B533" s="45">
        <v>45956</v>
      </c>
      <c r="C533" s="401"/>
      <c r="D533" s="15"/>
      <c r="E533" s="400">
        <f t="shared" si="116"/>
        <v>45956</v>
      </c>
      <c r="F533" s="401"/>
      <c r="G533" s="401"/>
      <c r="H533" s="15"/>
      <c r="I533" s="337"/>
      <c r="J533" s="15"/>
      <c r="K533" s="401"/>
      <c r="L533" s="315"/>
    </row>
    <row r="534" spans="1:12" ht="15.75" customHeight="1" x14ac:dyDescent="0.25">
      <c r="A534" s="424" t="s">
        <v>401</v>
      </c>
      <c r="B534" s="15"/>
      <c r="C534" s="401"/>
      <c r="D534" s="15"/>
      <c r="E534" s="401">
        <f t="shared" si="116"/>
        <v>0</v>
      </c>
      <c r="F534" s="400">
        <v>134266</v>
      </c>
      <c r="G534" s="401"/>
      <c r="H534" s="15"/>
      <c r="I534" s="337"/>
      <c r="J534" s="15"/>
      <c r="K534" s="401"/>
      <c r="L534" s="315"/>
    </row>
    <row r="535" spans="1:12" ht="15.75" customHeight="1" x14ac:dyDescent="0.25">
      <c r="A535" s="424" t="s">
        <v>425</v>
      </c>
      <c r="B535" s="14"/>
      <c r="C535" s="402"/>
      <c r="D535" s="14"/>
      <c r="E535" s="402">
        <f>SUM(B535:D535)</f>
        <v>0</v>
      </c>
      <c r="F535" s="402">
        <v>3900</v>
      </c>
      <c r="G535" s="469"/>
      <c r="H535" s="38"/>
      <c r="I535" s="351"/>
      <c r="J535" s="38"/>
      <c r="K535" s="469"/>
      <c r="L535" s="176"/>
    </row>
    <row r="536" spans="1:12" ht="15.75" customHeight="1" x14ac:dyDescent="0.25">
      <c r="A536" s="424" t="s">
        <v>402</v>
      </c>
      <c r="B536" s="15"/>
      <c r="C536" s="401"/>
      <c r="D536" s="15"/>
      <c r="E536" s="401">
        <f t="shared" si="116"/>
        <v>0</v>
      </c>
      <c r="F536" s="400">
        <v>2462</v>
      </c>
      <c r="G536" s="401"/>
      <c r="H536" s="15"/>
      <c r="I536" s="337"/>
      <c r="J536" s="15"/>
      <c r="K536" s="401"/>
      <c r="L536" s="315"/>
    </row>
    <row r="537" spans="1:12" ht="15.75" customHeight="1" x14ac:dyDescent="0.25">
      <c r="A537" s="424" t="s">
        <v>426</v>
      </c>
      <c r="B537" s="15"/>
      <c r="C537" s="401"/>
      <c r="D537" s="15"/>
      <c r="E537" s="401">
        <f t="shared" si="116"/>
        <v>0</v>
      </c>
      <c r="F537" s="400">
        <v>700</v>
      </c>
      <c r="G537" s="401"/>
      <c r="H537" s="15"/>
      <c r="I537" s="337"/>
      <c r="J537" s="15"/>
      <c r="K537" s="401"/>
      <c r="L537" s="315"/>
    </row>
    <row r="538" spans="1:12" ht="15.75" customHeight="1" x14ac:dyDescent="0.25">
      <c r="A538" s="423" t="s">
        <v>437</v>
      </c>
      <c r="B538" s="45">
        <v>32114</v>
      </c>
      <c r="C538" s="402">
        <v>26577</v>
      </c>
      <c r="D538" s="14"/>
      <c r="E538" s="400">
        <f>SUM(B538:D538)</f>
        <v>58691</v>
      </c>
      <c r="F538" s="402"/>
      <c r="G538" s="469"/>
      <c r="H538" s="38"/>
      <c r="I538" s="351"/>
      <c r="J538" s="38"/>
      <c r="K538" s="469"/>
      <c r="L538" s="176"/>
    </row>
    <row r="539" spans="1:12" ht="15.75" customHeight="1" x14ac:dyDescent="0.25">
      <c r="A539" s="433" t="s">
        <v>231</v>
      </c>
      <c r="B539" s="15"/>
      <c r="C539" s="401"/>
      <c r="D539" s="15"/>
      <c r="E539" s="401">
        <f>SUM(B539:D539)</f>
        <v>0</v>
      </c>
      <c r="F539" s="401"/>
      <c r="G539" s="401"/>
      <c r="H539" s="15"/>
      <c r="I539" s="337"/>
      <c r="J539" s="15"/>
      <c r="K539" s="401"/>
      <c r="L539" s="315"/>
    </row>
    <row r="540" spans="1:12" ht="15.75" customHeight="1" x14ac:dyDescent="0.25">
      <c r="A540" s="424" t="s">
        <v>439</v>
      </c>
      <c r="B540" s="14"/>
      <c r="C540" s="402"/>
      <c r="D540" s="14"/>
      <c r="E540" s="402">
        <f>SUM(B540:D540)</f>
        <v>0</v>
      </c>
      <c r="F540" s="402"/>
      <c r="G540" s="469">
        <v>900</v>
      </c>
      <c r="H540" s="38"/>
      <c r="I540" s="351"/>
      <c r="J540" s="38"/>
      <c r="K540" s="469"/>
      <c r="L540" s="176"/>
    </row>
    <row r="541" spans="1:12" ht="15.75" customHeight="1" x14ac:dyDescent="0.25">
      <c r="A541" s="431" t="s">
        <v>188</v>
      </c>
      <c r="B541" s="322">
        <f>SUM(B532:B540)</f>
        <v>148932</v>
      </c>
      <c r="C541" s="405">
        <f>SUM(C532:C540)</f>
        <v>49878</v>
      </c>
      <c r="D541" s="322">
        <f>SUM(D532:D540)</f>
        <v>375</v>
      </c>
      <c r="E541" s="405">
        <f t="shared" si="116"/>
        <v>199185</v>
      </c>
      <c r="F541" s="405">
        <f t="shared" ref="F541:L541" si="119">SUM(F532:F540)</f>
        <v>141328</v>
      </c>
      <c r="G541" s="405">
        <f t="shared" si="119"/>
        <v>900</v>
      </c>
      <c r="H541" s="322">
        <f t="shared" si="119"/>
        <v>0</v>
      </c>
      <c r="I541" s="340">
        <f t="shared" si="119"/>
        <v>0</v>
      </c>
      <c r="J541" s="322">
        <f t="shared" si="119"/>
        <v>0</v>
      </c>
      <c r="K541" s="405">
        <f t="shared" si="119"/>
        <v>0</v>
      </c>
      <c r="L541" s="387">
        <f t="shared" si="119"/>
        <v>0</v>
      </c>
    </row>
    <row r="542" spans="1:12" ht="15.75" customHeight="1" x14ac:dyDescent="0.25">
      <c r="A542" s="432" t="s">
        <v>165</v>
      </c>
      <c r="B542" s="112">
        <v>121387</v>
      </c>
      <c r="C542" s="404">
        <v>37590</v>
      </c>
      <c r="D542" s="112">
        <v>460</v>
      </c>
      <c r="E542" s="400">
        <f t="shared" ref="E542:E549" si="120">SUM(B542:D542)</f>
        <v>159437</v>
      </c>
      <c r="F542" s="411"/>
      <c r="G542" s="411"/>
      <c r="H542" s="90"/>
      <c r="I542" s="339"/>
      <c r="J542" s="90"/>
      <c r="K542" s="411"/>
      <c r="L542" s="388"/>
    </row>
    <row r="543" spans="1:12" ht="15.75" customHeight="1" x14ac:dyDescent="0.25">
      <c r="A543" s="424" t="s">
        <v>400</v>
      </c>
      <c r="B543" s="45">
        <v>103426</v>
      </c>
      <c r="C543" s="401"/>
      <c r="D543" s="15"/>
      <c r="E543" s="400">
        <f t="shared" si="120"/>
        <v>103426</v>
      </c>
      <c r="F543" s="401"/>
      <c r="G543" s="401"/>
      <c r="H543" s="15"/>
      <c r="I543" s="337"/>
      <c r="J543" s="15"/>
      <c r="K543" s="401"/>
      <c r="L543" s="315"/>
    </row>
    <row r="544" spans="1:12" ht="15.75" customHeight="1" x14ac:dyDescent="0.25">
      <c r="A544" s="424" t="s">
        <v>401</v>
      </c>
      <c r="B544" s="15"/>
      <c r="C544" s="401"/>
      <c r="D544" s="15"/>
      <c r="E544" s="401">
        <f t="shared" si="120"/>
        <v>0</v>
      </c>
      <c r="F544" s="400">
        <v>204719</v>
      </c>
      <c r="G544" s="401"/>
      <c r="H544" s="15"/>
      <c r="I544" s="337"/>
      <c r="J544" s="15"/>
      <c r="K544" s="401"/>
      <c r="L544" s="315"/>
    </row>
    <row r="545" spans="1:12" ht="15.75" customHeight="1" x14ac:dyDescent="0.25">
      <c r="A545" s="424" t="s">
        <v>424</v>
      </c>
      <c r="B545" s="14"/>
      <c r="C545" s="402"/>
      <c r="D545" s="14"/>
      <c r="E545" s="402">
        <f>SUM(B545:D545)</f>
        <v>0</v>
      </c>
      <c r="F545" s="402">
        <v>6702</v>
      </c>
      <c r="G545" s="469"/>
      <c r="H545" s="38"/>
      <c r="I545" s="351"/>
      <c r="J545" s="38"/>
      <c r="K545" s="469"/>
      <c r="L545" s="176"/>
    </row>
    <row r="546" spans="1:12" ht="15.75" customHeight="1" x14ac:dyDescent="0.25">
      <c r="A546" s="424" t="s">
        <v>425</v>
      </c>
      <c r="B546" s="14"/>
      <c r="C546" s="402"/>
      <c r="D546" s="14"/>
      <c r="E546" s="402">
        <f>SUM(B546:D546)</f>
        <v>0</v>
      </c>
      <c r="F546" s="402">
        <v>3900</v>
      </c>
      <c r="G546" s="469"/>
      <c r="H546" s="38"/>
      <c r="I546" s="351"/>
      <c r="J546" s="38"/>
      <c r="K546" s="469"/>
      <c r="L546" s="176"/>
    </row>
    <row r="547" spans="1:12" ht="15.75" customHeight="1" x14ac:dyDescent="0.25">
      <c r="A547" s="424" t="s">
        <v>402</v>
      </c>
      <c r="B547" s="15"/>
      <c r="C547" s="401"/>
      <c r="D547" s="15"/>
      <c r="E547" s="401">
        <f t="shared" si="120"/>
        <v>0</v>
      </c>
      <c r="F547" s="400">
        <v>3130</v>
      </c>
      <c r="G547" s="401"/>
      <c r="H547" s="15"/>
      <c r="I547" s="337"/>
      <c r="J547" s="15"/>
      <c r="K547" s="401"/>
      <c r="L547" s="315"/>
    </row>
    <row r="548" spans="1:12" ht="15.75" customHeight="1" x14ac:dyDescent="0.25">
      <c r="A548" s="424" t="s">
        <v>426</v>
      </c>
      <c r="B548" s="15"/>
      <c r="C548" s="401"/>
      <c r="D548" s="15"/>
      <c r="E548" s="401">
        <f t="shared" si="120"/>
        <v>0</v>
      </c>
      <c r="F548" s="400">
        <v>890</v>
      </c>
      <c r="G548" s="401"/>
      <c r="H548" s="15"/>
      <c r="I548" s="337"/>
      <c r="J548" s="15"/>
      <c r="K548" s="401"/>
      <c r="L548" s="315"/>
    </row>
    <row r="549" spans="1:12" ht="15.75" customHeight="1" x14ac:dyDescent="0.25">
      <c r="A549" s="424" t="s">
        <v>427</v>
      </c>
      <c r="B549" s="15"/>
      <c r="C549" s="400">
        <v>800</v>
      </c>
      <c r="D549" s="15"/>
      <c r="E549" s="400">
        <f t="shared" si="120"/>
        <v>800</v>
      </c>
      <c r="F549" s="401"/>
      <c r="G549" s="401"/>
      <c r="H549" s="15"/>
      <c r="I549" s="337"/>
      <c r="J549" s="15"/>
      <c r="K549" s="401"/>
      <c r="L549" s="315"/>
    </row>
    <row r="550" spans="1:12" ht="15.75" customHeight="1" x14ac:dyDescent="0.25">
      <c r="A550" s="423" t="s">
        <v>440</v>
      </c>
      <c r="B550" s="14">
        <v>28904</v>
      </c>
      <c r="C550" s="402">
        <v>24508</v>
      </c>
      <c r="D550" s="14"/>
      <c r="E550" s="402">
        <f t="shared" ref="E550:E553" si="121">SUM(B550:D550)</f>
        <v>53412</v>
      </c>
      <c r="F550" s="402"/>
      <c r="G550" s="469"/>
      <c r="H550" s="38"/>
      <c r="I550" s="351"/>
      <c r="J550" s="38"/>
      <c r="K550" s="469"/>
      <c r="L550" s="176"/>
    </row>
    <row r="551" spans="1:12" ht="15.75" customHeight="1" x14ac:dyDescent="0.25">
      <c r="A551" s="423" t="s">
        <v>441</v>
      </c>
      <c r="B551" s="14">
        <v>24364</v>
      </c>
      <c r="C551" s="402">
        <v>4822</v>
      </c>
      <c r="D551" s="14"/>
      <c r="E551" s="402">
        <f t="shared" si="121"/>
        <v>29186</v>
      </c>
      <c r="F551" s="402"/>
      <c r="G551" s="469"/>
      <c r="H551" s="38"/>
      <c r="I551" s="351"/>
      <c r="J551" s="38"/>
      <c r="K551" s="469"/>
      <c r="L551" s="176"/>
    </row>
    <row r="552" spans="1:12" ht="15.75" customHeight="1" x14ac:dyDescent="0.25">
      <c r="A552" s="433" t="s">
        <v>231</v>
      </c>
      <c r="B552" s="15"/>
      <c r="C552" s="401"/>
      <c r="D552" s="15"/>
      <c r="E552" s="401">
        <f t="shared" si="121"/>
        <v>0</v>
      </c>
      <c r="F552" s="401"/>
      <c r="G552" s="401"/>
      <c r="H552" s="15"/>
      <c r="I552" s="337"/>
      <c r="J552" s="15"/>
      <c r="K552" s="401"/>
      <c r="L552" s="315"/>
    </row>
    <row r="553" spans="1:12" ht="15.75" customHeight="1" x14ac:dyDescent="0.25">
      <c r="A553" s="455" t="s">
        <v>442</v>
      </c>
      <c r="B553" s="14"/>
      <c r="C553" s="402"/>
      <c r="D553" s="14"/>
      <c r="E553" s="402">
        <f t="shared" si="121"/>
        <v>0</v>
      </c>
      <c r="F553" s="402"/>
      <c r="G553" s="469">
        <v>2300</v>
      </c>
      <c r="H553" s="38"/>
      <c r="I553" s="351"/>
      <c r="J553" s="38"/>
      <c r="K553" s="469"/>
      <c r="L553" s="176"/>
    </row>
    <row r="554" spans="1:12" ht="15.75" customHeight="1" x14ac:dyDescent="0.25">
      <c r="A554" s="431" t="s">
        <v>188</v>
      </c>
      <c r="B554" s="322">
        <f>SUM(B542:B553)</f>
        <v>278081</v>
      </c>
      <c r="C554" s="405">
        <f>SUM(C542:C553)</f>
        <v>67720</v>
      </c>
      <c r="D554" s="322">
        <f>SUM(D542:D553)</f>
        <v>460</v>
      </c>
      <c r="E554" s="405">
        <f t="shared" ref="E554:E577" si="122">SUM(B554:D554)</f>
        <v>346261</v>
      </c>
      <c r="F554" s="405">
        <f t="shared" ref="F554:L554" si="123">SUM(F542:F553)</f>
        <v>219341</v>
      </c>
      <c r="G554" s="405">
        <f t="shared" si="123"/>
        <v>2300</v>
      </c>
      <c r="H554" s="322">
        <f t="shared" si="123"/>
        <v>0</v>
      </c>
      <c r="I554" s="340">
        <f t="shared" si="123"/>
        <v>0</v>
      </c>
      <c r="J554" s="322">
        <f t="shared" si="123"/>
        <v>0</v>
      </c>
      <c r="K554" s="405">
        <f t="shared" si="123"/>
        <v>0</v>
      </c>
      <c r="L554" s="387">
        <f t="shared" si="123"/>
        <v>0</v>
      </c>
    </row>
    <row r="555" spans="1:12" ht="15.75" hidden="1" customHeight="1" x14ac:dyDescent="0.25">
      <c r="A555" s="432"/>
      <c r="B555" s="90"/>
      <c r="C555" s="411"/>
      <c r="D555" s="90"/>
      <c r="E555" s="401">
        <f t="shared" si="122"/>
        <v>0</v>
      </c>
      <c r="F555" s="411"/>
      <c r="G555" s="411"/>
      <c r="H555" s="90"/>
      <c r="I555" s="339"/>
      <c r="J555" s="90"/>
      <c r="K555" s="411"/>
      <c r="L555" s="388"/>
    </row>
    <row r="556" spans="1:12" ht="15.75" hidden="1" customHeight="1" x14ac:dyDescent="0.25">
      <c r="A556" s="424"/>
      <c r="B556" s="15"/>
      <c r="C556" s="401"/>
      <c r="D556" s="15"/>
      <c r="E556" s="401">
        <f t="shared" si="122"/>
        <v>0</v>
      </c>
      <c r="F556" s="401"/>
      <c r="G556" s="401"/>
      <c r="H556" s="15"/>
      <c r="I556" s="337"/>
      <c r="J556" s="15"/>
      <c r="K556" s="401"/>
      <c r="L556" s="315"/>
    </row>
    <row r="557" spans="1:12" ht="15.75" hidden="1" customHeight="1" x14ac:dyDescent="0.25">
      <c r="A557" s="431" t="s">
        <v>188</v>
      </c>
      <c r="B557" s="322">
        <f>SUM(B555:B556)</f>
        <v>0</v>
      </c>
      <c r="C557" s="405">
        <f>SUM(C555:C556)</f>
        <v>0</v>
      </c>
      <c r="D557" s="322">
        <f>SUM(D555:D556)</f>
        <v>0</v>
      </c>
      <c r="E557" s="405">
        <f t="shared" si="122"/>
        <v>0</v>
      </c>
      <c r="F557" s="405">
        <f>SUM(F555:F556)</f>
        <v>0</v>
      </c>
      <c r="G557" s="405">
        <f>SUM(G555:G556)</f>
        <v>0</v>
      </c>
      <c r="H557" s="322">
        <f t="shared" ref="H557:L557" si="124">SUM(H555:H556)</f>
        <v>0</v>
      </c>
      <c r="I557" s="340">
        <f t="shared" si="124"/>
        <v>0</v>
      </c>
      <c r="J557" s="322">
        <f t="shared" si="124"/>
        <v>0</v>
      </c>
      <c r="K557" s="405">
        <f t="shared" si="124"/>
        <v>0</v>
      </c>
      <c r="L557" s="387">
        <f t="shared" si="124"/>
        <v>0</v>
      </c>
    </row>
    <row r="558" spans="1:12" ht="15.75" customHeight="1" x14ac:dyDescent="0.25">
      <c r="A558" s="432" t="s">
        <v>163</v>
      </c>
      <c r="B558" s="112">
        <v>270264</v>
      </c>
      <c r="C558" s="404">
        <v>147393</v>
      </c>
      <c r="D558" s="112">
        <v>1000</v>
      </c>
      <c r="E558" s="400">
        <f t="shared" si="122"/>
        <v>418657</v>
      </c>
      <c r="F558" s="411"/>
      <c r="G558" s="411"/>
      <c r="H558" s="90"/>
      <c r="I558" s="339"/>
      <c r="J558" s="90"/>
      <c r="K558" s="411"/>
      <c r="L558" s="388"/>
    </row>
    <row r="559" spans="1:12" ht="15.75" customHeight="1" x14ac:dyDescent="0.25">
      <c r="A559" s="424" t="s">
        <v>400</v>
      </c>
      <c r="B559" s="45">
        <v>52859</v>
      </c>
      <c r="C559" s="401"/>
      <c r="D559" s="15"/>
      <c r="E559" s="400">
        <f t="shared" si="122"/>
        <v>52859</v>
      </c>
      <c r="F559" s="401"/>
      <c r="G559" s="401"/>
      <c r="H559" s="15"/>
      <c r="I559" s="337"/>
      <c r="J559" s="15"/>
      <c r="K559" s="401"/>
      <c r="L559" s="315"/>
    </row>
    <row r="560" spans="1:12" ht="15.75" customHeight="1" x14ac:dyDescent="0.25">
      <c r="A560" s="424" t="s">
        <v>401</v>
      </c>
      <c r="B560" s="15"/>
      <c r="C560" s="401"/>
      <c r="D560" s="15"/>
      <c r="E560" s="401">
        <f t="shared" si="122"/>
        <v>0</v>
      </c>
      <c r="F560" s="400">
        <v>473479</v>
      </c>
      <c r="G560" s="401"/>
      <c r="H560" s="15"/>
      <c r="I560" s="337"/>
      <c r="J560" s="15"/>
      <c r="K560" s="401"/>
      <c r="L560" s="315"/>
    </row>
    <row r="561" spans="1:12" ht="15.75" customHeight="1" x14ac:dyDescent="0.25">
      <c r="A561" s="424" t="s">
        <v>424</v>
      </c>
      <c r="B561" s="15"/>
      <c r="C561" s="401"/>
      <c r="D561" s="15"/>
      <c r="E561" s="401">
        <f>SUM(B561:D561)</f>
        <v>0</v>
      </c>
      <c r="F561" s="400">
        <v>13587</v>
      </c>
      <c r="G561" s="401"/>
      <c r="H561" s="15"/>
      <c r="I561" s="337"/>
      <c r="J561" s="15"/>
      <c r="K561" s="401"/>
      <c r="L561" s="315"/>
    </row>
    <row r="562" spans="1:12" ht="15.75" customHeight="1" x14ac:dyDescent="0.25">
      <c r="A562" s="424" t="s">
        <v>425</v>
      </c>
      <c r="B562" s="15"/>
      <c r="C562" s="401"/>
      <c r="D562" s="15"/>
      <c r="E562" s="401">
        <f>SUM(B562:D562)</f>
        <v>0</v>
      </c>
      <c r="F562" s="400">
        <v>3900</v>
      </c>
      <c r="G562" s="401"/>
      <c r="H562" s="15"/>
      <c r="I562" s="337"/>
      <c r="J562" s="15"/>
      <c r="K562" s="401"/>
      <c r="L562" s="315"/>
    </row>
    <row r="563" spans="1:12" ht="15.75" customHeight="1" x14ac:dyDescent="0.25">
      <c r="A563" s="424" t="s">
        <v>402</v>
      </c>
      <c r="B563" s="15"/>
      <c r="C563" s="401"/>
      <c r="D563" s="15"/>
      <c r="E563" s="401">
        <f t="shared" si="122"/>
        <v>0</v>
      </c>
      <c r="F563" s="400">
        <v>9418</v>
      </c>
      <c r="G563" s="401"/>
      <c r="H563" s="15"/>
      <c r="I563" s="337"/>
      <c r="J563" s="15"/>
      <c r="K563" s="401"/>
      <c r="L563" s="315"/>
    </row>
    <row r="564" spans="1:12" ht="15.75" customHeight="1" x14ac:dyDescent="0.25">
      <c r="A564" s="424" t="s">
        <v>426</v>
      </c>
      <c r="B564" s="15"/>
      <c r="C564" s="401"/>
      <c r="D564" s="15"/>
      <c r="E564" s="401">
        <f t="shared" si="122"/>
        <v>0</v>
      </c>
      <c r="F564" s="400">
        <v>2670</v>
      </c>
      <c r="G564" s="401"/>
      <c r="H564" s="15"/>
      <c r="I564" s="337"/>
      <c r="J564" s="15"/>
      <c r="K564" s="401"/>
      <c r="L564" s="315"/>
    </row>
    <row r="565" spans="1:12" ht="15.75" customHeight="1" x14ac:dyDescent="0.25">
      <c r="A565" s="424" t="s">
        <v>427</v>
      </c>
      <c r="B565" s="15"/>
      <c r="C565" s="400">
        <v>3000</v>
      </c>
      <c r="D565" s="15"/>
      <c r="E565" s="400">
        <f t="shared" si="122"/>
        <v>3000</v>
      </c>
      <c r="F565" s="401"/>
      <c r="G565" s="401"/>
      <c r="H565" s="15"/>
      <c r="I565" s="337"/>
      <c r="J565" s="15"/>
      <c r="K565" s="401"/>
      <c r="L565" s="315"/>
    </row>
    <row r="566" spans="1:12" ht="15.75" customHeight="1" x14ac:dyDescent="0.25">
      <c r="A566" s="423" t="s">
        <v>447</v>
      </c>
      <c r="B566" s="14"/>
      <c r="C566" s="402">
        <v>103580</v>
      </c>
      <c r="D566" s="14"/>
      <c r="E566" s="402">
        <f t="shared" ref="E566:E568" si="125">SUM(B566:D566)</f>
        <v>103580</v>
      </c>
      <c r="F566" s="402"/>
      <c r="G566" s="469"/>
      <c r="H566" s="38"/>
      <c r="I566" s="351"/>
      <c r="J566" s="38"/>
      <c r="K566" s="469"/>
      <c r="L566" s="176"/>
    </row>
    <row r="567" spans="1:12" ht="15.75" customHeight="1" x14ac:dyDescent="0.25">
      <c r="A567" s="423" t="s">
        <v>448</v>
      </c>
      <c r="B567" s="14">
        <v>26172</v>
      </c>
      <c r="C567" s="402">
        <v>318</v>
      </c>
      <c r="D567" s="14"/>
      <c r="E567" s="402">
        <f t="shared" si="125"/>
        <v>26490</v>
      </c>
      <c r="F567" s="402"/>
      <c r="G567" s="469"/>
      <c r="H567" s="38"/>
      <c r="I567" s="351"/>
      <c r="J567" s="38"/>
      <c r="K567" s="469"/>
      <c r="L567" s="176"/>
    </row>
    <row r="568" spans="1:12" ht="15.75" customHeight="1" x14ac:dyDescent="0.25">
      <c r="A568" s="456" t="s">
        <v>231</v>
      </c>
      <c r="B568" s="15"/>
      <c r="C568" s="401"/>
      <c r="D568" s="15"/>
      <c r="E568" s="401">
        <f t="shared" si="125"/>
        <v>0</v>
      </c>
      <c r="F568" s="401"/>
      <c r="G568" s="401"/>
      <c r="H568" s="15"/>
      <c r="I568" s="337"/>
      <c r="J568" s="15"/>
      <c r="K568" s="401"/>
      <c r="L568" s="315"/>
    </row>
    <row r="569" spans="1:12" ht="30" x14ac:dyDescent="0.25">
      <c r="A569" s="440" t="s">
        <v>451</v>
      </c>
      <c r="B569" s="14"/>
      <c r="C569" s="402"/>
      <c r="D569" s="14"/>
      <c r="E569" s="402">
        <f t="shared" ref="E569:E570" si="126">SUM(B569:D569)</f>
        <v>0</v>
      </c>
      <c r="F569" s="402"/>
      <c r="G569" s="469">
        <v>6406</v>
      </c>
      <c r="H569" s="38"/>
      <c r="I569" s="351"/>
      <c r="J569" s="38"/>
      <c r="K569" s="469"/>
      <c r="L569" s="176"/>
    </row>
    <row r="570" spans="1:12" ht="30" x14ac:dyDescent="0.25">
      <c r="A570" s="440" t="s">
        <v>452</v>
      </c>
      <c r="B570" s="14"/>
      <c r="C570" s="402"/>
      <c r="D570" s="14"/>
      <c r="E570" s="402">
        <f t="shared" si="126"/>
        <v>0</v>
      </c>
      <c r="F570" s="402"/>
      <c r="G570" s="469">
        <v>5574</v>
      </c>
      <c r="H570" s="38"/>
      <c r="I570" s="351"/>
      <c r="J570" s="38"/>
      <c r="K570" s="469"/>
      <c r="L570" s="176"/>
    </row>
    <row r="571" spans="1:12" ht="15.75" customHeight="1" x14ac:dyDescent="0.25">
      <c r="A571" s="431" t="s">
        <v>188</v>
      </c>
      <c r="B571" s="322">
        <f>SUM(B558:B570)</f>
        <v>349295</v>
      </c>
      <c r="C571" s="405">
        <f>SUM(C558:C570)</f>
        <v>254291</v>
      </c>
      <c r="D571" s="322">
        <f>SUM(D558:D570)</f>
        <v>1000</v>
      </c>
      <c r="E571" s="405">
        <f t="shared" si="122"/>
        <v>604586</v>
      </c>
      <c r="F571" s="405">
        <f t="shared" ref="F571:L571" si="127">SUM(F558:F570)</f>
        <v>503054</v>
      </c>
      <c r="G571" s="405">
        <f t="shared" si="127"/>
        <v>11980</v>
      </c>
      <c r="H571" s="322">
        <f t="shared" si="127"/>
        <v>0</v>
      </c>
      <c r="I571" s="340">
        <f t="shared" si="127"/>
        <v>0</v>
      </c>
      <c r="J571" s="322">
        <f t="shared" si="127"/>
        <v>0</v>
      </c>
      <c r="K571" s="405">
        <f t="shared" si="127"/>
        <v>0</v>
      </c>
      <c r="L571" s="387">
        <f t="shared" si="127"/>
        <v>0</v>
      </c>
    </row>
    <row r="572" spans="1:12" ht="15.75" hidden="1" customHeight="1" x14ac:dyDescent="0.25">
      <c r="A572" s="432"/>
      <c r="B572" s="90"/>
      <c r="C572" s="411"/>
      <c r="D572" s="90"/>
      <c r="E572" s="401"/>
      <c r="F572" s="411"/>
      <c r="G572" s="411"/>
      <c r="H572" s="90"/>
      <c r="I572" s="339"/>
      <c r="J572" s="90"/>
      <c r="K572" s="411"/>
      <c r="L572" s="388"/>
    </row>
    <row r="573" spans="1:12" ht="15.75" hidden="1" customHeight="1" x14ac:dyDescent="0.25">
      <c r="A573" s="431" t="s">
        <v>188</v>
      </c>
      <c r="B573" s="322">
        <f>SUM(B572:B572)</f>
        <v>0</v>
      </c>
      <c r="C573" s="405">
        <f>SUM(C572:C572)</f>
        <v>0</v>
      </c>
      <c r="D573" s="322">
        <f>SUM(D572:D572)</f>
        <v>0</v>
      </c>
      <c r="E573" s="405">
        <f t="shared" si="122"/>
        <v>0</v>
      </c>
      <c r="F573" s="405">
        <f t="shared" ref="F573:L573" si="128">SUM(F572:F572)</f>
        <v>0</v>
      </c>
      <c r="G573" s="405">
        <f t="shared" si="128"/>
        <v>0</v>
      </c>
      <c r="H573" s="322">
        <f t="shared" si="128"/>
        <v>0</v>
      </c>
      <c r="I573" s="340">
        <f t="shared" si="128"/>
        <v>0</v>
      </c>
      <c r="J573" s="322">
        <f t="shared" si="128"/>
        <v>0</v>
      </c>
      <c r="K573" s="405">
        <f t="shared" si="128"/>
        <v>0</v>
      </c>
      <c r="L573" s="387">
        <f t="shared" si="128"/>
        <v>0</v>
      </c>
    </row>
    <row r="574" spans="1:12" ht="15.75" customHeight="1" x14ac:dyDescent="0.25">
      <c r="A574" s="432" t="s">
        <v>166</v>
      </c>
      <c r="B574" s="112">
        <v>102543</v>
      </c>
      <c r="C574" s="404">
        <v>51402</v>
      </c>
      <c r="D574" s="112">
        <v>500</v>
      </c>
      <c r="E574" s="400">
        <f t="shared" si="122"/>
        <v>154445</v>
      </c>
      <c r="F574" s="411"/>
      <c r="G574" s="411"/>
      <c r="H574" s="90"/>
      <c r="I574" s="339"/>
      <c r="J574" s="90"/>
      <c r="K574" s="411"/>
      <c r="L574" s="388"/>
    </row>
    <row r="575" spans="1:12" ht="15.75" customHeight="1" x14ac:dyDescent="0.25">
      <c r="A575" s="424" t="s">
        <v>400</v>
      </c>
      <c r="B575" s="45">
        <v>47570</v>
      </c>
      <c r="C575" s="401"/>
      <c r="D575" s="15"/>
      <c r="E575" s="400">
        <f t="shared" si="122"/>
        <v>47570</v>
      </c>
      <c r="F575" s="401"/>
      <c r="G575" s="401"/>
      <c r="H575" s="15"/>
      <c r="I575" s="337"/>
      <c r="J575" s="15"/>
      <c r="K575" s="401"/>
      <c r="L575" s="315"/>
    </row>
    <row r="576" spans="1:12" ht="15.75" customHeight="1" x14ac:dyDescent="0.25">
      <c r="A576" s="424" t="s">
        <v>401</v>
      </c>
      <c r="B576" s="15"/>
      <c r="C576" s="401"/>
      <c r="D576" s="15"/>
      <c r="E576" s="401">
        <f t="shared" si="122"/>
        <v>0</v>
      </c>
      <c r="F576" s="400">
        <v>205152</v>
      </c>
      <c r="G576" s="401"/>
      <c r="H576" s="15"/>
      <c r="I576" s="337"/>
      <c r="J576" s="15"/>
      <c r="K576" s="401"/>
      <c r="L576" s="315"/>
    </row>
    <row r="577" spans="1:12" ht="15.75" customHeight="1" x14ac:dyDescent="0.25">
      <c r="A577" s="424" t="s">
        <v>453</v>
      </c>
      <c r="B577" s="15"/>
      <c r="C577" s="401"/>
      <c r="D577" s="15"/>
      <c r="E577" s="401">
        <f t="shared" si="122"/>
        <v>0</v>
      </c>
      <c r="F577" s="400">
        <v>11222</v>
      </c>
      <c r="G577" s="401"/>
      <c r="H577" s="15"/>
      <c r="I577" s="337"/>
      <c r="J577" s="15"/>
      <c r="K577" s="401"/>
      <c r="L577" s="315"/>
    </row>
    <row r="578" spans="1:12" ht="15.75" customHeight="1" x14ac:dyDescent="0.25">
      <c r="A578" s="424" t="s">
        <v>424</v>
      </c>
      <c r="B578" s="14"/>
      <c r="C578" s="402"/>
      <c r="D578" s="14"/>
      <c r="E578" s="402">
        <f t="shared" ref="E578:E585" si="129">SUM(B578:D578)</f>
        <v>0</v>
      </c>
      <c r="F578" s="400">
        <v>6112</v>
      </c>
      <c r="G578" s="469"/>
      <c r="H578" s="38"/>
      <c r="I578" s="351"/>
      <c r="J578" s="38"/>
      <c r="K578" s="469"/>
      <c r="L578" s="176"/>
    </row>
    <row r="579" spans="1:12" ht="15.75" customHeight="1" x14ac:dyDescent="0.25">
      <c r="A579" s="424" t="s">
        <v>402</v>
      </c>
      <c r="B579" s="14"/>
      <c r="C579" s="402"/>
      <c r="D579" s="14"/>
      <c r="E579" s="402">
        <f t="shared" si="129"/>
        <v>0</v>
      </c>
      <c r="F579" s="402">
        <v>3763</v>
      </c>
      <c r="G579" s="469"/>
      <c r="H579" s="38"/>
      <c r="I579" s="351"/>
      <c r="J579" s="38"/>
      <c r="K579" s="469"/>
      <c r="L579" s="176"/>
    </row>
    <row r="580" spans="1:12" ht="15.75" customHeight="1" x14ac:dyDescent="0.25">
      <c r="A580" s="424" t="s">
        <v>426</v>
      </c>
      <c r="B580" s="14"/>
      <c r="C580" s="402"/>
      <c r="D580" s="14"/>
      <c r="E580" s="402">
        <f t="shared" si="129"/>
        <v>0</v>
      </c>
      <c r="F580" s="402">
        <v>1000</v>
      </c>
      <c r="G580" s="469"/>
      <c r="H580" s="38"/>
      <c r="I580" s="351"/>
      <c r="J580" s="38"/>
      <c r="K580" s="469"/>
      <c r="L580" s="176"/>
    </row>
    <row r="581" spans="1:12" ht="15.75" customHeight="1" x14ac:dyDescent="0.25">
      <c r="A581" s="424" t="s">
        <v>454</v>
      </c>
      <c r="B581" s="15"/>
      <c r="C581" s="400">
        <v>20</v>
      </c>
      <c r="D581" s="15"/>
      <c r="E581" s="400">
        <f t="shared" si="129"/>
        <v>20</v>
      </c>
      <c r="F581" s="400"/>
      <c r="G581" s="401"/>
      <c r="H581" s="15"/>
      <c r="I581" s="337"/>
      <c r="J581" s="15"/>
      <c r="K581" s="401"/>
      <c r="L581" s="315"/>
    </row>
    <row r="582" spans="1:12" ht="15.75" customHeight="1" x14ac:dyDescent="0.25">
      <c r="A582" s="424" t="s">
        <v>403</v>
      </c>
      <c r="B582" s="15"/>
      <c r="C582" s="400"/>
      <c r="D582" s="15"/>
      <c r="E582" s="401">
        <f t="shared" si="129"/>
        <v>0</v>
      </c>
      <c r="F582" s="400">
        <v>6395</v>
      </c>
      <c r="G582" s="401"/>
      <c r="H582" s="15"/>
      <c r="I582" s="337"/>
      <c r="J582" s="15"/>
      <c r="K582" s="401"/>
      <c r="L582" s="315"/>
    </row>
    <row r="583" spans="1:12" ht="15.75" customHeight="1" x14ac:dyDescent="0.25">
      <c r="A583" s="423" t="s">
        <v>455</v>
      </c>
      <c r="B583" s="14">
        <v>35587</v>
      </c>
      <c r="C583" s="402">
        <v>34722</v>
      </c>
      <c r="D583" s="14"/>
      <c r="E583" s="402">
        <f t="shared" si="129"/>
        <v>70309</v>
      </c>
      <c r="F583" s="402"/>
      <c r="G583" s="469"/>
      <c r="H583" s="38"/>
      <c r="I583" s="351"/>
      <c r="J583" s="38"/>
      <c r="K583" s="469"/>
      <c r="L583" s="176"/>
    </row>
    <row r="584" spans="1:12" ht="15.75" customHeight="1" x14ac:dyDescent="0.25">
      <c r="A584" s="456" t="s">
        <v>231</v>
      </c>
      <c r="B584" s="15"/>
      <c r="C584" s="401"/>
      <c r="D584" s="15"/>
      <c r="E584" s="401">
        <f t="shared" si="129"/>
        <v>0</v>
      </c>
      <c r="F584" s="401"/>
      <c r="G584" s="401"/>
      <c r="H584" s="15"/>
      <c r="I584" s="337"/>
      <c r="J584" s="15"/>
      <c r="K584" s="401"/>
      <c r="L584" s="315"/>
    </row>
    <row r="585" spans="1:12" ht="15.75" customHeight="1" x14ac:dyDescent="0.25">
      <c r="A585" s="424" t="s">
        <v>456</v>
      </c>
      <c r="B585" s="15"/>
      <c r="C585" s="401"/>
      <c r="D585" s="15"/>
      <c r="E585" s="401">
        <f t="shared" si="129"/>
        <v>0</v>
      </c>
      <c r="F585" s="401"/>
      <c r="G585" s="400">
        <v>1000</v>
      </c>
      <c r="H585" s="15"/>
      <c r="I585" s="337"/>
      <c r="J585" s="15"/>
      <c r="K585" s="401"/>
      <c r="L585" s="315"/>
    </row>
    <row r="586" spans="1:12" ht="15.75" customHeight="1" x14ac:dyDescent="0.25">
      <c r="A586" s="431" t="s">
        <v>188</v>
      </c>
      <c r="B586" s="322">
        <f>SUM(B574:B584)</f>
        <v>185700</v>
      </c>
      <c r="C586" s="405">
        <f>SUM(C574:C584)</f>
        <v>86144</v>
      </c>
      <c r="D586" s="322">
        <f>SUM(D574:D584)</f>
        <v>500</v>
      </c>
      <c r="E586" s="405">
        <f t="shared" ref="E586:E587" si="130">SUM(B586:D586)</f>
        <v>272344</v>
      </c>
      <c r="F586" s="405">
        <f t="shared" ref="F586:L586" si="131">SUM(F574:F585)</f>
        <v>233644</v>
      </c>
      <c r="G586" s="405">
        <f t="shared" si="131"/>
        <v>1000</v>
      </c>
      <c r="H586" s="322">
        <f t="shared" si="131"/>
        <v>0</v>
      </c>
      <c r="I586" s="340">
        <f t="shared" si="131"/>
        <v>0</v>
      </c>
      <c r="J586" s="322">
        <f t="shared" si="131"/>
        <v>0</v>
      </c>
      <c r="K586" s="405">
        <f t="shared" si="131"/>
        <v>0</v>
      </c>
      <c r="L586" s="387">
        <f t="shared" si="131"/>
        <v>0</v>
      </c>
    </row>
    <row r="587" spans="1:12" ht="15.75" hidden="1" customHeight="1" x14ac:dyDescent="0.25">
      <c r="A587" s="432"/>
      <c r="B587" s="90"/>
      <c r="C587" s="411"/>
      <c r="D587" s="90"/>
      <c r="E587" s="401">
        <f t="shared" si="130"/>
        <v>0</v>
      </c>
      <c r="F587" s="411"/>
      <c r="G587" s="411"/>
      <c r="H587" s="90"/>
      <c r="I587" s="339"/>
      <c r="J587" s="90"/>
      <c r="K587" s="411"/>
      <c r="L587" s="388"/>
    </row>
    <row r="588" spans="1:12" ht="15.75" hidden="1" customHeight="1" x14ac:dyDescent="0.25">
      <c r="A588" s="431" t="s">
        <v>188</v>
      </c>
      <c r="B588" s="322">
        <f>SUM(B587:B587)</f>
        <v>0</v>
      </c>
      <c r="C588" s="405">
        <f>SUM(C587:C587)</f>
        <v>0</v>
      </c>
      <c r="D588" s="322">
        <f>SUM(D587:D587)</f>
        <v>0</v>
      </c>
      <c r="E588" s="405">
        <f t="shared" ref="E588:E597" si="132">SUM(B588:D588)</f>
        <v>0</v>
      </c>
      <c r="F588" s="405">
        <f>SUM(F587:F587)</f>
        <v>0</v>
      </c>
      <c r="G588" s="405">
        <f>SUM(G587:G587)</f>
        <v>0</v>
      </c>
      <c r="H588" s="322">
        <f t="shared" ref="H588:L588" si="133">SUM(H587:H587)</f>
        <v>0</v>
      </c>
      <c r="I588" s="340">
        <f t="shared" si="133"/>
        <v>0</v>
      </c>
      <c r="J588" s="322">
        <f t="shared" si="133"/>
        <v>0</v>
      </c>
      <c r="K588" s="405">
        <f t="shared" si="133"/>
        <v>0</v>
      </c>
      <c r="L588" s="387">
        <f t="shared" si="133"/>
        <v>0</v>
      </c>
    </row>
    <row r="589" spans="1:12" ht="15.75" customHeight="1" x14ac:dyDescent="0.25">
      <c r="A589" s="432" t="s">
        <v>164</v>
      </c>
      <c r="B589" s="112">
        <v>195876</v>
      </c>
      <c r="C589" s="404">
        <v>157756</v>
      </c>
      <c r="D589" s="112">
        <v>1200</v>
      </c>
      <c r="E589" s="400">
        <f t="shared" si="132"/>
        <v>354832</v>
      </c>
      <c r="F589" s="411"/>
      <c r="G589" s="411"/>
      <c r="H589" s="90"/>
      <c r="I589" s="339"/>
      <c r="J589" s="90"/>
      <c r="K589" s="411"/>
      <c r="L589" s="388"/>
    </row>
    <row r="590" spans="1:12" ht="15.75" customHeight="1" x14ac:dyDescent="0.25">
      <c r="A590" s="424" t="s">
        <v>400</v>
      </c>
      <c r="B590" s="45">
        <v>22427</v>
      </c>
      <c r="C590" s="401"/>
      <c r="D590" s="15"/>
      <c r="E590" s="400">
        <f t="shared" si="132"/>
        <v>22427</v>
      </c>
      <c r="F590" s="401"/>
      <c r="G590" s="401"/>
      <c r="H590" s="15"/>
      <c r="I590" s="337"/>
      <c r="J590" s="15"/>
      <c r="K590" s="401"/>
      <c r="L590" s="315"/>
    </row>
    <row r="591" spans="1:12" ht="15.75" customHeight="1" x14ac:dyDescent="0.25">
      <c r="A591" s="424" t="s">
        <v>403</v>
      </c>
      <c r="B591" s="15"/>
      <c r="C591" s="401"/>
      <c r="D591" s="15"/>
      <c r="E591" s="401">
        <f t="shared" si="132"/>
        <v>0</v>
      </c>
      <c r="F591" s="400">
        <v>4205</v>
      </c>
      <c r="G591" s="401"/>
      <c r="H591" s="15"/>
      <c r="I591" s="337"/>
      <c r="J591" s="15"/>
      <c r="K591" s="401"/>
      <c r="L591" s="315"/>
    </row>
    <row r="592" spans="1:12" ht="15.75" customHeight="1" x14ac:dyDescent="0.25">
      <c r="A592" s="424" t="s">
        <v>401</v>
      </c>
      <c r="B592" s="15"/>
      <c r="C592" s="401"/>
      <c r="D592" s="15"/>
      <c r="E592" s="401">
        <f t="shared" si="132"/>
        <v>0</v>
      </c>
      <c r="F592" s="400">
        <v>414277</v>
      </c>
      <c r="G592" s="401"/>
      <c r="H592" s="15"/>
      <c r="I592" s="337"/>
      <c r="J592" s="15"/>
      <c r="K592" s="401"/>
      <c r="L592" s="315"/>
    </row>
    <row r="593" spans="1:12" ht="15.75" customHeight="1" x14ac:dyDescent="0.25">
      <c r="A593" s="424" t="s">
        <v>434</v>
      </c>
      <c r="B593" s="14"/>
      <c r="C593" s="402"/>
      <c r="D593" s="14"/>
      <c r="E593" s="402">
        <f>SUM(B593:D593)</f>
        <v>0</v>
      </c>
      <c r="F593" s="402">
        <v>2665</v>
      </c>
      <c r="G593" s="469"/>
      <c r="H593" s="38"/>
      <c r="I593" s="351"/>
      <c r="J593" s="38"/>
      <c r="K593" s="469"/>
      <c r="L593" s="176"/>
    </row>
    <row r="594" spans="1:12" ht="15.75" customHeight="1" x14ac:dyDescent="0.25">
      <c r="A594" s="424" t="s">
        <v>424</v>
      </c>
      <c r="B594" s="14"/>
      <c r="C594" s="402"/>
      <c r="D594" s="14"/>
      <c r="E594" s="402">
        <f>SUM(B594:D594)</f>
        <v>0</v>
      </c>
      <c r="F594" s="402">
        <v>13424</v>
      </c>
      <c r="G594" s="469"/>
      <c r="H594" s="38"/>
      <c r="I594" s="351"/>
      <c r="J594" s="38"/>
      <c r="K594" s="469"/>
      <c r="L594" s="176"/>
    </row>
    <row r="595" spans="1:12" ht="15.75" customHeight="1" x14ac:dyDescent="0.25">
      <c r="A595" s="424" t="s">
        <v>402</v>
      </c>
      <c r="B595" s="15"/>
      <c r="C595" s="401"/>
      <c r="D595" s="15"/>
      <c r="E595" s="401">
        <f t="shared" si="132"/>
        <v>0</v>
      </c>
      <c r="F595" s="400">
        <v>7660</v>
      </c>
      <c r="G595" s="401"/>
      <c r="H595" s="15"/>
      <c r="I595" s="337"/>
      <c r="J595" s="15"/>
      <c r="K595" s="401"/>
      <c r="L595" s="315"/>
    </row>
    <row r="596" spans="1:12" ht="15.75" customHeight="1" x14ac:dyDescent="0.25">
      <c r="A596" s="424" t="s">
        <v>426</v>
      </c>
      <c r="B596" s="15"/>
      <c r="C596" s="401"/>
      <c r="D596" s="15"/>
      <c r="E596" s="401">
        <f t="shared" si="132"/>
        <v>0</v>
      </c>
      <c r="F596" s="400">
        <v>2100</v>
      </c>
      <c r="G596" s="401"/>
      <c r="H596" s="15"/>
      <c r="I596" s="337"/>
      <c r="J596" s="15"/>
      <c r="K596" s="401"/>
      <c r="L596" s="315"/>
    </row>
    <row r="597" spans="1:12" ht="15.75" customHeight="1" x14ac:dyDescent="0.25">
      <c r="A597" s="424" t="s">
        <v>457</v>
      </c>
      <c r="B597" s="15"/>
      <c r="C597" s="400">
        <v>1730</v>
      </c>
      <c r="D597" s="15"/>
      <c r="E597" s="400">
        <f t="shared" si="132"/>
        <v>1730</v>
      </c>
      <c r="F597" s="401"/>
      <c r="G597" s="401"/>
      <c r="H597" s="15"/>
      <c r="I597" s="337"/>
      <c r="J597" s="15"/>
      <c r="K597" s="401"/>
      <c r="L597" s="315"/>
    </row>
    <row r="598" spans="1:12" ht="15.75" customHeight="1" x14ac:dyDescent="0.25">
      <c r="A598" s="423" t="s">
        <v>458</v>
      </c>
      <c r="B598" s="14">
        <v>42707</v>
      </c>
      <c r="C598" s="402">
        <v>49774</v>
      </c>
      <c r="D598" s="14"/>
      <c r="E598" s="402">
        <f t="shared" ref="E598:E603" si="134">SUM(B598:D598)</f>
        <v>92481</v>
      </c>
      <c r="F598" s="402"/>
      <c r="G598" s="469"/>
      <c r="H598" s="38"/>
      <c r="I598" s="351"/>
      <c r="J598" s="38"/>
      <c r="K598" s="469"/>
      <c r="L598" s="176"/>
    </row>
    <row r="599" spans="1:12" ht="15.75" customHeight="1" x14ac:dyDescent="0.25">
      <c r="A599" s="423" t="s">
        <v>231</v>
      </c>
      <c r="B599" s="15"/>
      <c r="C599" s="401"/>
      <c r="D599" s="15"/>
      <c r="E599" s="401">
        <f t="shared" si="134"/>
        <v>0</v>
      </c>
      <c r="F599" s="401"/>
      <c r="G599" s="401"/>
      <c r="H599" s="15"/>
      <c r="I599" s="337"/>
      <c r="J599" s="15"/>
      <c r="K599" s="401"/>
      <c r="L599" s="315"/>
    </row>
    <row r="600" spans="1:12" ht="15.75" customHeight="1" x14ac:dyDescent="0.25">
      <c r="A600" s="424" t="s">
        <v>1112</v>
      </c>
      <c r="B600" s="14"/>
      <c r="C600" s="402"/>
      <c r="D600" s="14"/>
      <c r="E600" s="402">
        <f t="shared" si="134"/>
        <v>0</v>
      </c>
      <c r="F600" s="402"/>
      <c r="G600" s="469">
        <v>7860</v>
      </c>
      <c r="H600" s="38"/>
      <c r="I600" s="351"/>
      <c r="J600" s="38"/>
      <c r="K600" s="469"/>
      <c r="L600" s="176"/>
    </row>
    <row r="601" spans="1:12" ht="15.75" customHeight="1" x14ac:dyDescent="0.25">
      <c r="A601" s="424" t="s">
        <v>1113</v>
      </c>
      <c r="B601" s="15"/>
      <c r="C601" s="401"/>
      <c r="D601" s="15"/>
      <c r="E601" s="401">
        <f t="shared" si="134"/>
        <v>0</v>
      </c>
      <c r="F601" s="401"/>
      <c r="G601" s="400">
        <v>1000</v>
      </c>
      <c r="H601" s="15"/>
      <c r="I601" s="337"/>
      <c r="J601" s="15"/>
      <c r="K601" s="401"/>
      <c r="L601" s="315"/>
    </row>
    <row r="602" spans="1:12" ht="15.75" customHeight="1" x14ac:dyDescent="0.25">
      <c r="A602" s="424" t="s">
        <v>460</v>
      </c>
      <c r="B602" s="14"/>
      <c r="C602" s="402"/>
      <c r="D602" s="14"/>
      <c r="E602" s="402">
        <f t="shared" si="134"/>
        <v>0</v>
      </c>
      <c r="F602" s="402"/>
      <c r="G602" s="400">
        <v>1400</v>
      </c>
      <c r="H602" s="38"/>
      <c r="I602" s="351"/>
      <c r="J602" s="38"/>
      <c r="K602" s="469"/>
      <c r="L602" s="176"/>
    </row>
    <row r="603" spans="1:12" ht="15.75" customHeight="1" x14ac:dyDescent="0.25">
      <c r="A603" s="431" t="s">
        <v>188</v>
      </c>
      <c r="B603" s="322">
        <f>SUM(B589:B602)</f>
        <v>261010</v>
      </c>
      <c r="C603" s="405">
        <f>SUM(C589:C602)</f>
        <v>209260</v>
      </c>
      <c r="D603" s="322">
        <f>SUM(D589:D602)</f>
        <v>1200</v>
      </c>
      <c r="E603" s="405">
        <f t="shared" si="134"/>
        <v>471470</v>
      </c>
      <c r="F603" s="405">
        <f t="shared" ref="F603:L603" si="135">SUM(F589:F602)</f>
        <v>444331</v>
      </c>
      <c r="G603" s="405">
        <f t="shared" si="135"/>
        <v>10260</v>
      </c>
      <c r="H603" s="322">
        <f t="shared" si="135"/>
        <v>0</v>
      </c>
      <c r="I603" s="340">
        <f t="shared" si="135"/>
        <v>0</v>
      </c>
      <c r="J603" s="322">
        <f t="shared" si="135"/>
        <v>0</v>
      </c>
      <c r="K603" s="405">
        <f t="shared" si="135"/>
        <v>0</v>
      </c>
      <c r="L603" s="387">
        <f t="shared" si="135"/>
        <v>0</v>
      </c>
    </row>
    <row r="604" spans="1:12" ht="15.75" customHeight="1" x14ac:dyDescent="0.25">
      <c r="A604" s="457" t="s">
        <v>461</v>
      </c>
      <c r="B604" s="329">
        <f>(B603+B588+B586+B573+B571+B557+B554+B541+B531+B517)</f>
        <v>2335324</v>
      </c>
      <c r="C604" s="417">
        <f>(C603+C588+C586+C573+C571+C557+C554+C541+C531+C517)</f>
        <v>1394906</v>
      </c>
      <c r="D604" s="329">
        <f>(D603+D588+D586+D573+D571+D557+D554+D541+D531+D517)</f>
        <v>5335</v>
      </c>
      <c r="E604" s="418">
        <f>(E603+E588+E586+E573+E571+E557+E554+E541+E531+E517)</f>
        <v>3735565</v>
      </c>
      <c r="F604" s="417">
        <f t="shared" ref="F604:K604" si="136">F603+F588+F586+F573+F571+F557+F554+F541+F531+F517</f>
        <v>3244478</v>
      </c>
      <c r="G604" s="417">
        <f t="shared" si="136"/>
        <v>34190</v>
      </c>
      <c r="H604" s="329">
        <f t="shared" si="136"/>
        <v>0</v>
      </c>
      <c r="I604" s="346">
        <f t="shared" si="136"/>
        <v>0</v>
      </c>
      <c r="J604" s="329">
        <f t="shared" si="136"/>
        <v>0</v>
      </c>
      <c r="K604" s="417">
        <f t="shared" si="136"/>
        <v>0</v>
      </c>
      <c r="L604" s="397">
        <f>(L603+L588+L586+L573+L571+L557+L554+L541+L531+L517)</f>
        <v>0</v>
      </c>
    </row>
    <row r="605" spans="1:12" ht="15.75" customHeight="1" x14ac:dyDescent="0.25">
      <c r="A605" s="432" t="s">
        <v>135</v>
      </c>
      <c r="B605" s="112">
        <v>93244</v>
      </c>
      <c r="C605" s="404">
        <v>49625</v>
      </c>
      <c r="D605" s="112">
        <v>3871</v>
      </c>
      <c r="E605" s="400">
        <f t="shared" ref="E605:E611" si="137">SUM(B605:D605)</f>
        <v>146740</v>
      </c>
      <c r="F605" s="411"/>
      <c r="G605" s="411"/>
      <c r="H605" s="90"/>
      <c r="I605" s="339"/>
      <c r="J605" s="90"/>
      <c r="K605" s="411"/>
      <c r="L605" s="388"/>
    </row>
    <row r="606" spans="1:12" ht="15.75" customHeight="1" x14ac:dyDescent="0.25">
      <c r="A606" s="424" t="s">
        <v>400</v>
      </c>
      <c r="B606" s="45">
        <v>109069</v>
      </c>
      <c r="C606" s="401"/>
      <c r="D606" s="15"/>
      <c r="E606" s="400">
        <f t="shared" si="137"/>
        <v>109069</v>
      </c>
      <c r="F606" s="401"/>
      <c r="G606" s="401"/>
      <c r="H606" s="15"/>
      <c r="I606" s="337"/>
      <c r="J606" s="15"/>
      <c r="K606" s="401"/>
      <c r="L606" s="315"/>
    </row>
    <row r="607" spans="1:12" ht="15.75" customHeight="1" x14ac:dyDescent="0.25">
      <c r="A607" s="424" t="s">
        <v>463</v>
      </c>
      <c r="B607" s="15"/>
      <c r="C607" s="401"/>
      <c r="D607" s="15"/>
      <c r="E607" s="401">
        <f t="shared" si="137"/>
        <v>0</v>
      </c>
      <c r="F607" s="400">
        <v>174115</v>
      </c>
      <c r="G607" s="401"/>
      <c r="H607" s="15"/>
      <c r="I607" s="337"/>
      <c r="J607" s="15"/>
      <c r="K607" s="401"/>
      <c r="L607" s="315"/>
    </row>
    <row r="608" spans="1:12" ht="15.75" customHeight="1" x14ac:dyDescent="0.25">
      <c r="A608" s="424" t="s">
        <v>424</v>
      </c>
      <c r="B608" s="14"/>
      <c r="C608" s="402"/>
      <c r="D608" s="14"/>
      <c r="E608" s="402">
        <f t="shared" si="137"/>
        <v>0</v>
      </c>
      <c r="F608" s="400">
        <v>42</v>
      </c>
      <c r="G608" s="469"/>
      <c r="H608" s="38"/>
      <c r="I608" s="351"/>
      <c r="J608" s="38"/>
      <c r="K608" s="469"/>
      <c r="L608" s="176"/>
    </row>
    <row r="609" spans="1:12" ht="15.75" customHeight="1" x14ac:dyDescent="0.25">
      <c r="A609" s="424" t="s">
        <v>425</v>
      </c>
      <c r="B609" s="14"/>
      <c r="C609" s="402"/>
      <c r="D609" s="14"/>
      <c r="E609" s="402">
        <f t="shared" si="137"/>
        <v>0</v>
      </c>
      <c r="F609" s="402">
        <v>3900</v>
      </c>
      <c r="G609" s="469"/>
      <c r="H609" s="38"/>
      <c r="I609" s="351"/>
      <c r="J609" s="38"/>
      <c r="K609" s="469"/>
      <c r="L609" s="176"/>
    </row>
    <row r="610" spans="1:12" ht="15.75" customHeight="1" x14ac:dyDescent="0.25">
      <c r="A610" s="424" t="s">
        <v>402</v>
      </c>
      <c r="B610" s="14"/>
      <c r="C610" s="402"/>
      <c r="D610" s="14"/>
      <c r="E610" s="402">
        <f t="shared" si="137"/>
        <v>0</v>
      </c>
      <c r="F610" s="402">
        <v>2813</v>
      </c>
      <c r="G610" s="469"/>
      <c r="H610" s="38"/>
      <c r="I610" s="351"/>
      <c r="J610" s="38"/>
      <c r="K610" s="469"/>
      <c r="L610" s="176"/>
    </row>
    <row r="611" spans="1:12" ht="15.75" customHeight="1" x14ac:dyDescent="0.25">
      <c r="A611" s="424" t="s">
        <v>426</v>
      </c>
      <c r="B611" s="14"/>
      <c r="C611" s="402"/>
      <c r="D611" s="14"/>
      <c r="E611" s="402">
        <f t="shared" si="137"/>
        <v>0</v>
      </c>
      <c r="F611" s="402">
        <v>800</v>
      </c>
      <c r="G611" s="469"/>
      <c r="H611" s="38"/>
      <c r="I611" s="351"/>
      <c r="J611" s="38"/>
      <c r="K611" s="469"/>
      <c r="L611" s="176"/>
    </row>
    <row r="612" spans="1:12" ht="15.75" customHeight="1" x14ac:dyDescent="0.25">
      <c r="A612" s="424" t="s">
        <v>464</v>
      </c>
      <c r="B612" s="15"/>
      <c r="C612" s="401"/>
      <c r="D612" s="15"/>
      <c r="E612" s="401">
        <f t="shared" ref="E612" si="138">SUM(B612:D612)</f>
        <v>0</v>
      </c>
      <c r="F612" s="400">
        <v>213937</v>
      </c>
      <c r="G612" s="401"/>
      <c r="H612" s="15"/>
      <c r="I612" s="337"/>
      <c r="J612" s="15"/>
      <c r="K612" s="401"/>
      <c r="L612" s="315"/>
    </row>
    <row r="613" spans="1:12" ht="15.75" customHeight="1" x14ac:dyDescent="0.25">
      <c r="A613" s="423" t="s">
        <v>465</v>
      </c>
      <c r="B613" s="14"/>
      <c r="C613" s="402">
        <v>36546</v>
      </c>
      <c r="D613" s="14"/>
      <c r="E613" s="402">
        <f>SUM(B613:D613)</f>
        <v>36546</v>
      </c>
      <c r="F613" s="402"/>
      <c r="G613" s="469"/>
      <c r="H613" s="38"/>
      <c r="I613" s="351"/>
      <c r="J613" s="38"/>
      <c r="K613" s="469"/>
      <c r="L613" s="176"/>
    </row>
    <row r="614" spans="1:12" ht="15.75" customHeight="1" x14ac:dyDescent="0.25">
      <c r="A614" s="456" t="s">
        <v>231</v>
      </c>
      <c r="B614" s="15"/>
      <c r="C614" s="401"/>
      <c r="D614" s="15"/>
      <c r="E614" s="401">
        <f>SUM(B614:D614)</f>
        <v>0</v>
      </c>
      <c r="F614" s="401"/>
      <c r="G614" s="401"/>
      <c r="H614" s="15"/>
      <c r="I614" s="337"/>
      <c r="J614" s="15"/>
      <c r="K614" s="401"/>
      <c r="L614" s="315"/>
    </row>
    <row r="615" spans="1:12" ht="15.75" customHeight="1" x14ac:dyDescent="0.25">
      <c r="A615" s="424" t="s">
        <v>466</v>
      </c>
      <c r="B615" s="15"/>
      <c r="C615" s="401"/>
      <c r="D615" s="15"/>
      <c r="E615" s="401">
        <f>SUM(B615:D615)</f>
        <v>0</v>
      </c>
      <c r="F615" s="401"/>
      <c r="G615" s="400">
        <v>1200</v>
      </c>
      <c r="H615" s="15"/>
      <c r="I615" s="337"/>
      <c r="J615" s="15"/>
      <c r="K615" s="401"/>
      <c r="L615" s="315"/>
    </row>
    <row r="616" spans="1:12" ht="15.75" customHeight="1" x14ac:dyDescent="0.25">
      <c r="A616" s="425" t="s">
        <v>467</v>
      </c>
      <c r="B616" s="15"/>
      <c r="C616" s="401"/>
      <c r="D616" s="15"/>
      <c r="E616" s="401">
        <f t="shared" ref="E616" si="139">SUM(B616:D616)</f>
        <v>0</v>
      </c>
      <c r="F616" s="401"/>
      <c r="G616" s="401"/>
      <c r="H616" s="15"/>
      <c r="I616" s="348">
        <f>SUM(Table13[[#This Row],[Pašv.līdz.]:[Proj.līdz.]])</f>
        <v>80903</v>
      </c>
      <c r="J616" s="45">
        <v>68135</v>
      </c>
      <c r="K616" s="400">
        <v>12768</v>
      </c>
      <c r="L616" s="315"/>
    </row>
    <row r="617" spans="1:12" ht="15.75" customHeight="1" x14ac:dyDescent="0.25">
      <c r="A617" s="424" t="s">
        <v>468</v>
      </c>
      <c r="B617" s="15"/>
      <c r="C617" s="401"/>
      <c r="D617" s="15"/>
      <c r="E617" s="401">
        <f t="shared" ref="E617" si="140">SUM(B617:D617)</f>
        <v>0</v>
      </c>
      <c r="F617" s="401"/>
      <c r="G617" s="400">
        <v>6699</v>
      </c>
      <c r="H617" s="15"/>
      <c r="I617" s="337"/>
      <c r="J617" s="15"/>
      <c r="K617" s="401"/>
      <c r="L617" s="315"/>
    </row>
    <row r="618" spans="1:12" ht="15.75" customHeight="1" x14ac:dyDescent="0.25">
      <c r="A618" s="431" t="s">
        <v>188</v>
      </c>
      <c r="B618" s="322">
        <f>SUM(B605:B617)</f>
        <v>202313</v>
      </c>
      <c r="C618" s="405">
        <f>SUM(C605:C617)</f>
        <v>86171</v>
      </c>
      <c r="D618" s="322">
        <f>SUM(D605:D617)</f>
        <v>3871</v>
      </c>
      <c r="E618" s="405">
        <f t="shared" ref="E618:E628" si="141">SUM(B618:D618)</f>
        <v>292355</v>
      </c>
      <c r="F618" s="405">
        <f t="shared" ref="F618:L618" si="142">SUM(F605:F617)</f>
        <v>395607</v>
      </c>
      <c r="G618" s="405">
        <f t="shared" si="142"/>
        <v>7899</v>
      </c>
      <c r="H618" s="322">
        <f t="shared" si="142"/>
        <v>0</v>
      </c>
      <c r="I618" s="340">
        <f t="shared" si="142"/>
        <v>80903</v>
      </c>
      <c r="J618" s="322">
        <f t="shared" si="142"/>
        <v>68135</v>
      </c>
      <c r="K618" s="405">
        <f t="shared" si="142"/>
        <v>12768</v>
      </c>
      <c r="L618" s="387">
        <f t="shared" si="142"/>
        <v>0</v>
      </c>
    </row>
    <row r="619" spans="1:12" ht="15.75" customHeight="1" x14ac:dyDescent="0.25">
      <c r="A619" s="432" t="s">
        <v>138</v>
      </c>
      <c r="B619" s="112">
        <v>59371</v>
      </c>
      <c r="C619" s="404">
        <v>44867</v>
      </c>
      <c r="D619" s="112">
        <v>350</v>
      </c>
      <c r="E619" s="400">
        <f t="shared" si="141"/>
        <v>104588</v>
      </c>
      <c r="F619" s="411"/>
      <c r="G619" s="411"/>
      <c r="H619" s="90"/>
      <c r="I619" s="339"/>
      <c r="J619" s="90"/>
      <c r="K619" s="411"/>
      <c r="L619" s="388"/>
    </row>
    <row r="620" spans="1:12" ht="15.75" customHeight="1" x14ac:dyDescent="0.25">
      <c r="A620" s="424" t="s">
        <v>400</v>
      </c>
      <c r="B620" s="45">
        <v>93339</v>
      </c>
      <c r="C620" s="401"/>
      <c r="D620" s="15"/>
      <c r="E620" s="400">
        <f t="shared" si="141"/>
        <v>93339</v>
      </c>
      <c r="F620" s="401"/>
      <c r="G620" s="401"/>
      <c r="H620" s="15"/>
      <c r="I620" s="337"/>
      <c r="J620" s="15"/>
      <c r="K620" s="401"/>
      <c r="L620" s="315"/>
    </row>
    <row r="621" spans="1:12" ht="15.75" customHeight="1" x14ac:dyDescent="0.25">
      <c r="A621" s="424" t="s">
        <v>464</v>
      </c>
      <c r="B621" s="15"/>
      <c r="C621" s="401"/>
      <c r="D621" s="15"/>
      <c r="E621" s="401">
        <f t="shared" ref="E621:E623" si="143">SUM(B621:D621)</f>
        <v>0</v>
      </c>
      <c r="F621" s="400">
        <v>93064</v>
      </c>
      <c r="G621" s="401"/>
      <c r="H621" s="15"/>
      <c r="I621" s="337"/>
      <c r="J621" s="15"/>
      <c r="K621" s="401"/>
      <c r="L621" s="315"/>
    </row>
    <row r="622" spans="1:12" ht="15.75" customHeight="1" x14ac:dyDescent="0.25">
      <c r="A622" s="424" t="s">
        <v>473</v>
      </c>
      <c r="B622" s="14"/>
      <c r="C622" s="402"/>
      <c r="D622" s="14"/>
      <c r="E622" s="402">
        <f t="shared" si="143"/>
        <v>0</v>
      </c>
      <c r="F622" s="402"/>
      <c r="G622" s="469"/>
      <c r="H622" s="38"/>
      <c r="I622" s="351">
        <f>SUM(Table13[[#This Row],[Pašv.līdz.]:[Aizņēmums]])</f>
        <v>19826</v>
      </c>
      <c r="J622" s="38"/>
      <c r="K622" s="469">
        <v>19826</v>
      </c>
      <c r="L622" s="176"/>
    </row>
    <row r="623" spans="1:12" ht="15.75" customHeight="1" x14ac:dyDescent="0.25">
      <c r="A623" s="424" t="s">
        <v>474</v>
      </c>
      <c r="B623" s="14"/>
      <c r="C623" s="402"/>
      <c r="D623" s="14"/>
      <c r="E623" s="402">
        <f t="shared" si="143"/>
        <v>0</v>
      </c>
      <c r="F623" s="402"/>
      <c r="G623" s="469">
        <v>3500</v>
      </c>
      <c r="H623" s="38"/>
      <c r="I623" s="351"/>
      <c r="J623" s="38"/>
      <c r="K623" s="469"/>
      <c r="L623" s="176"/>
    </row>
    <row r="624" spans="1:12" ht="15.75" customHeight="1" x14ac:dyDescent="0.25">
      <c r="A624" s="431" t="s">
        <v>188</v>
      </c>
      <c r="B624" s="322">
        <f>SUM(B619:B623)</f>
        <v>152710</v>
      </c>
      <c r="C624" s="405">
        <f>SUM(C619:C623)</f>
        <v>44867</v>
      </c>
      <c r="D624" s="322">
        <f>SUM(D619:D623)</f>
        <v>350</v>
      </c>
      <c r="E624" s="405">
        <f t="shared" si="141"/>
        <v>197927</v>
      </c>
      <c r="F624" s="405">
        <f t="shared" ref="F624:L624" si="144">SUM(F619:F623)</f>
        <v>93064</v>
      </c>
      <c r="G624" s="405">
        <f t="shared" si="144"/>
        <v>3500</v>
      </c>
      <c r="H624" s="322">
        <f t="shared" si="144"/>
        <v>0</v>
      </c>
      <c r="I624" s="340">
        <f t="shared" si="144"/>
        <v>19826</v>
      </c>
      <c r="J624" s="322">
        <f t="shared" si="144"/>
        <v>0</v>
      </c>
      <c r="K624" s="405">
        <f t="shared" si="144"/>
        <v>19826</v>
      </c>
      <c r="L624" s="387">
        <f t="shared" si="144"/>
        <v>0</v>
      </c>
    </row>
    <row r="625" spans="1:12" ht="15.75" customHeight="1" x14ac:dyDescent="0.25">
      <c r="A625" s="432" t="s">
        <v>137</v>
      </c>
      <c r="B625" s="112">
        <v>57885</v>
      </c>
      <c r="C625" s="404">
        <v>47565</v>
      </c>
      <c r="D625" s="112">
        <v>7100</v>
      </c>
      <c r="E625" s="400">
        <f t="shared" si="141"/>
        <v>112550</v>
      </c>
      <c r="F625" s="411"/>
      <c r="G625" s="411"/>
      <c r="H625" s="90"/>
      <c r="I625" s="339"/>
      <c r="J625" s="90"/>
      <c r="K625" s="411"/>
      <c r="L625" s="388"/>
    </row>
    <row r="626" spans="1:12" ht="15.75" customHeight="1" x14ac:dyDescent="0.25">
      <c r="A626" s="424" t="s">
        <v>400</v>
      </c>
      <c r="B626" s="45">
        <v>50996</v>
      </c>
      <c r="C626" s="401"/>
      <c r="D626" s="15"/>
      <c r="E626" s="400">
        <f t="shared" si="141"/>
        <v>50996</v>
      </c>
      <c r="F626" s="401"/>
      <c r="G626" s="401"/>
      <c r="H626" s="15"/>
      <c r="I626" s="337"/>
      <c r="J626" s="15"/>
      <c r="K626" s="401"/>
      <c r="L626" s="315"/>
    </row>
    <row r="627" spans="1:12" ht="15.75" customHeight="1" x14ac:dyDescent="0.25">
      <c r="A627" s="424" t="s">
        <v>424</v>
      </c>
      <c r="B627" s="15"/>
      <c r="C627" s="401"/>
      <c r="D627" s="15"/>
      <c r="E627" s="401">
        <f t="shared" si="141"/>
        <v>0</v>
      </c>
      <c r="F627" s="400">
        <v>5119</v>
      </c>
      <c r="G627" s="401"/>
      <c r="H627" s="15"/>
      <c r="I627" s="337"/>
      <c r="J627" s="15"/>
      <c r="K627" s="401"/>
      <c r="L627" s="315"/>
    </row>
    <row r="628" spans="1:12" ht="15.75" customHeight="1" x14ac:dyDescent="0.25">
      <c r="A628" s="424" t="s">
        <v>464</v>
      </c>
      <c r="B628" s="15"/>
      <c r="C628" s="401"/>
      <c r="D628" s="15"/>
      <c r="E628" s="401">
        <f t="shared" si="141"/>
        <v>0</v>
      </c>
      <c r="F628" s="400">
        <v>184596</v>
      </c>
      <c r="G628" s="401"/>
      <c r="H628" s="15"/>
      <c r="I628" s="337"/>
      <c r="J628" s="15"/>
      <c r="K628" s="401"/>
      <c r="L628" s="315"/>
    </row>
    <row r="629" spans="1:12" ht="15.75" customHeight="1" x14ac:dyDescent="0.25">
      <c r="A629" s="431" t="s">
        <v>188</v>
      </c>
      <c r="B629" s="322">
        <f>SUM(B625:B628)</f>
        <v>108881</v>
      </c>
      <c r="C629" s="405">
        <f>SUM(C625:C628)</f>
        <v>47565</v>
      </c>
      <c r="D629" s="322">
        <f>SUM(D625:D628)</f>
        <v>7100</v>
      </c>
      <c r="E629" s="405">
        <f t="shared" ref="E629:E637" si="145">SUM(B629:D629)</f>
        <v>163546</v>
      </c>
      <c r="F629" s="405">
        <f t="shared" ref="F629:L629" si="146">SUM(F625:F628)</f>
        <v>189715</v>
      </c>
      <c r="G629" s="405">
        <f t="shared" si="146"/>
        <v>0</v>
      </c>
      <c r="H629" s="322">
        <f t="shared" si="146"/>
        <v>0</v>
      </c>
      <c r="I629" s="340">
        <f t="shared" si="146"/>
        <v>0</v>
      </c>
      <c r="J629" s="322">
        <f t="shared" si="146"/>
        <v>0</v>
      </c>
      <c r="K629" s="405">
        <f t="shared" si="146"/>
        <v>0</v>
      </c>
      <c r="L629" s="387">
        <f t="shared" si="146"/>
        <v>0</v>
      </c>
    </row>
    <row r="630" spans="1:12" ht="15.75" customHeight="1" x14ac:dyDescent="0.25">
      <c r="A630" s="432" t="s">
        <v>139</v>
      </c>
      <c r="B630" s="112">
        <v>32479</v>
      </c>
      <c r="C630" s="404">
        <v>23870</v>
      </c>
      <c r="D630" s="90"/>
      <c r="E630" s="400">
        <f t="shared" si="145"/>
        <v>56349</v>
      </c>
      <c r="F630" s="411"/>
      <c r="G630" s="411"/>
      <c r="H630" s="90"/>
      <c r="I630" s="339"/>
      <c r="J630" s="90"/>
      <c r="K630" s="411"/>
      <c r="L630" s="388"/>
    </row>
    <row r="631" spans="1:12" ht="15.75" customHeight="1" x14ac:dyDescent="0.25">
      <c r="A631" s="424" t="s">
        <v>400</v>
      </c>
      <c r="B631" s="45">
        <v>44672</v>
      </c>
      <c r="C631" s="401"/>
      <c r="D631" s="15"/>
      <c r="E631" s="400">
        <f t="shared" si="145"/>
        <v>44672</v>
      </c>
      <c r="F631" s="401"/>
      <c r="G631" s="401"/>
      <c r="H631" s="15"/>
      <c r="I631" s="337"/>
      <c r="J631" s="15"/>
      <c r="K631" s="401"/>
      <c r="L631" s="315"/>
    </row>
    <row r="632" spans="1:12" ht="15.75" customHeight="1" x14ac:dyDescent="0.25">
      <c r="A632" s="424" t="s">
        <v>464</v>
      </c>
      <c r="B632" s="15"/>
      <c r="C632" s="401"/>
      <c r="D632" s="15"/>
      <c r="E632" s="401">
        <f t="shared" si="145"/>
        <v>0</v>
      </c>
      <c r="F632" s="400">
        <v>66172</v>
      </c>
      <c r="G632" s="401"/>
      <c r="H632" s="15"/>
      <c r="I632" s="337"/>
      <c r="J632" s="15"/>
      <c r="K632" s="401"/>
      <c r="L632" s="315"/>
    </row>
    <row r="633" spans="1:12" ht="15.75" customHeight="1" x14ac:dyDescent="0.25">
      <c r="A633" s="431" t="s">
        <v>188</v>
      </c>
      <c r="B633" s="322">
        <f>SUM(B630:B632)</f>
        <v>77151</v>
      </c>
      <c r="C633" s="405">
        <f>SUM(C630:C632)</f>
        <v>23870</v>
      </c>
      <c r="D633" s="322">
        <f>SUM(D630:D632)</f>
        <v>0</v>
      </c>
      <c r="E633" s="405">
        <f t="shared" si="145"/>
        <v>101021</v>
      </c>
      <c r="F633" s="405">
        <f t="shared" ref="F633:L633" si="147">SUM(F630:F632)</f>
        <v>66172</v>
      </c>
      <c r="G633" s="405">
        <f t="shared" si="147"/>
        <v>0</v>
      </c>
      <c r="H633" s="322">
        <f t="shared" si="147"/>
        <v>0</v>
      </c>
      <c r="I633" s="340">
        <f t="shared" si="147"/>
        <v>0</v>
      </c>
      <c r="J633" s="322">
        <f t="shared" si="147"/>
        <v>0</v>
      </c>
      <c r="K633" s="405">
        <f t="shared" si="147"/>
        <v>0</v>
      </c>
      <c r="L633" s="387">
        <f t="shared" si="147"/>
        <v>0</v>
      </c>
    </row>
    <row r="634" spans="1:12" ht="15.75" customHeight="1" x14ac:dyDescent="0.25">
      <c r="A634" s="432" t="s">
        <v>134</v>
      </c>
      <c r="B634" s="112">
        <v>165171</v>
      </c>
      <c r="C634" s="404">
        <v>127343</v>
      </c>
      <c r="D634" s="90"/>
      <c r="E634" s="400">
        <f t="shared" si="145"/>
        <v>292514</v>
      </c>
      <c r="F634" s="411"/>
      <c r="G634" s="411"/>
      <c r="H634" s="90"/>
      <c r="I634" s="339"/>
      <c r="J634" s="90"/>
      <c r="K634" s="411"/>
      <c r="L634" s="388"/>
    </row>
    <row r="635" spans="1:12" ht="15.75" customHeight="1" x14ac:dyDescent="0.25">
      <c r="A635" s="424" t="s">
        <v>400</v>
      </c>
      <c r="B635" s="45">
        <v>64219</v>
      </c>
      <c r="C635" s="401"/>
      <c r="D635" s="15"/>
      <c r="E635" s="400">
        <f t="shared" si="145"/>
        <v>64219</v>
      </c>
      <c r="F635" s="401"/>
      <c r="G635" s="401"/>
      <c r="H635" s="15"/>
      <c r="I635" s="337"/>
      <c r="J635" s="15"/>
      <c r="K635" s="401"/>
      <c r="L635" s="315"/>
    </row>
    <row r="636" spans="1:12" ht="15.75" customHeight="1" x14ac:dyDescent="0.25">
      <c r="A636" s="424" t="s">
        <v>424</v>
      </c>
      <c r="B636" s="15"/>
      <c r="C636" s="401"/>
      <c r="D636" s="15"/>
      <c r="E636" s="401">
        <f t="shared" si="145"/>
        <v>0</v>
      </c>
      <c r="F636" s="400">
        <v>2594</v>
      </c>
      <c r="G636" s="401"/>
      <c r="H636" s="15"/>
      <c r="I636" s="337"/>
      <c r="J636" s="15"/>
      <c r="K636" s="401"/>
      <c r="L636" s="315"/>
    </row>
    <row r="637" spans="1:12" ht="15.75" customHeight="1" x14ac:dyDescent="0.25">
      <c r="A637" s="424" t="s">
        <v>424</v>
      </c>
      <c r="B637" s="15"/>
      <c r="C637" s="401"/>
      <c r="D637" s="15"/>
      <c r="E637" s="401">
        <f t="shared" si="145"/>
        <v>0</v>
      </c>
      <c r="F637" s="400">
        <v>379434</v>
      </c>
      <c r="G637" s="401"/>
      <c r="H637" s="15"/>
      <c r="I637" s="337"/>
      <c r="J637" s="15"/>
      <c r="K637" s="401"/>
      <c r="L637" s="315"/>
    </row>
    <row r="638" spans="1:12" ht="15.75" customHeight="1" x14ac:dyDescent="0.25">
      <c r="A638" s="433" t="s">
        <v>231</v>
      </c>
      <c r="B638" s="15"/>
      <c r="C638" s="401"/>
      <c r="D638" s="15"/>
      <c r="E638" s="401">
        <f>SUM(B638:D638)</f>
        <v>0</v>
      </c>
      <c r="F638" s="401"/>
      <c r="G638" s="401"/>
      <c r="H638" s="15"/>
      <c r="I638" s="337"/>
      <c r="J638" s="15"/>
      <c r="K638" s="401"/>
      <c r="L638" s="315"/>
    </row>
    <row r="639" spans="1:12" ht="15.75" customHeight="1" x14ac:dyDescent="0.25">
      <c r="A639" s="425" t="s">
        <v>478</v>
      </c>
      <c r="B639" s="15"/>
      <c r="C639" s="401"/>
      <c r="D639" s="15"/>
      <c r="E639" s="401">
        <f t="shared" ref="E639:E650" si="148">SUM(B639:D639)</f>
        <v>0</v>
      </c>
      <c r="F639" s="401"/>
      <c r="G639" s="400">
        <v>2971</v>
      </c>
      <c r="H639" s="15"/>
      <c r="I639" s="337"/>
      <c r="J639" s="15"/>
      <c r="K639" s="401"/>
      <c r="L639" s="315"/>
    </row>
    <row r="640" spans="1:12" ht="15.75" customHeight="1" x14ac:dyDescent="0.25">
      <c r="A640" s="431" t="s">
        <v>188</v>
      </c>
      <c r="B640" s="322">
        <f>SUM(B634:B639)</f>
        <v>229390</v>
      </c>
      <c r="C640" s="405">
        <f>SUM(C634:C639)</f>
        <v>127343</v>
      </c>
      <c r="D640" s="322">
        <f>SUM(D634:D639)</f>
        <v>0</v>
      </c>
      <c r="E640" s="405">
        <f t="shared" si="148"/>
        <v>356733</v>
      </c>
      <c r="F640" s="405">
        <f t="shared" ref="F640:L640" si="149">SUM(F634:F639)</f>
        <v>382028</v>
      </c>
      <c r="G640" s="405">
        <f t="shared" si="149"/>
        <v>2971</v>
      </c>
      <c r="H640" s="322">
        <f t="shared" si="149"/>
        <v>0</v>
      </c>
      <c r="I640" s="340">
        <f t="shared" si="149"/>
        <v>0</v>
      </c>
      <c r="J640" s="322">
        <f t="shared" si="149"/>
        <v>0</v>
      </c>
      <c r="K640" s="405">
        <f t="shared" si="149"/>
        <v>0</v>
      </c>
      <c r="L640" s="387">
        <f t="shared" si="149"/>
        <v>0</v>
      </c>
    </row>
    <row r="641" spans="1:12" ht="15.75" customHeight="1" x14ac:dyDescent="0.25">
      <c r="A641" s="432" t="s">
        <v>136</v>
      </c>
      <c r="B641" s="112">
        <v>82088</v>
      </c>
      <c r="C641" s="404">
        <v>97649</v>
      </c>
      <c r="D641" s="112">
        <v>122</v>
      </c>
      <c r="E641" s="400">
        <f t="shared" si="148"/>
        <v>179859</v>
      </c>
      <c r="F641" s="411"/>
      <c r="G641" s="411"/>
      <c r="H641" s="90"/>
      <c r="I641" s="339"/>
      <c r="J641" s="90"/>
      <c r="K641" s="411"/>
      <c r="L641" s="388"/>
    </row>
    <row r="642" spans="1:12" ht="15.75" customHeight="1" x14ac:dyDescent="0.25">
      <c r="A642" s="424" t="s">
        <v>400</v>
      </c>
      <c r="B642" s="45">
        <v>62915</v>
      </c>
      <c r="C642" s="401"/>
      <c r="D642" s="15"/>
      <c r="E642" s="400">
        <f t="shared" si="148"/>
        <v>62915</v>
      </c>
      <c r="F642" s="401"/>
      <c r="G642" s="401"/>
      <c r="H642" s="15"/>
      <c r="I642" s="337"/>
      <c r="J642" s="15"/>
      <c r="K642" s="401"/>
      <c r="L642" s="315"/>
    </row>
    <row r="643" spans="1:12" ht="15.75" customHeight="1" x14ac:dyDescent="0.25">
      <c r="A643" s="424" t="s">
        <v>401</v>
      </c>
      <c r="B643" s="15"/>
      <c r="C643" s="401"/>
      <c r="D643" s="15"/>
      <c r="E643" s="401">
        <f t="shared" si="148"/>
        <v>0</v>
      </c>
      <c r="F643" s="400">
        <v>107264</v>
      </c>
      <c r="G643" s="401"/>
      <c r="H643" s="15"/>
      <c r="I643" s="337"/>
      <c r="J643" s="15"/>
      <c r="K643" s="401"/>
      <c r="L643" s="315"/>
    </row>
    <row r="644" spans="1:12" ht="15.75" customHeight="1" x14ac:dyDescent="0.25">
      <c r="A644" s="424" t="s">
        <v>479</v>
      </c>
      <c r="B644" s="45">
        <v>69</v>
      </c>
      <c r="C644" s="400"/>
      <c r="D644" s="45"/>
      <c r="E644" s="400">
        <f t="shared" si="148"/>
        <v>69</v>
      </c>
      <c r="F644" s="401"/>
      <c r="G644" s="401"/>
      <c r="H644" s="15"/>
      <c r="I644" s="337"/>
      <c r="J644" s="15"/>
      <c r="K644" s="401"/>
      <c r="L644" s="315"/>
    </row>
    <row r="645" spans="1:12" ht="15.75" customHeight="1" x14ac:dyDescent="0.25">
      <c r="A645" s="424" t="s">
        <v>481</v>
      </c>
      <c r="B645" s="19"/>
      <c r="C645" s="415"/>
      <c r="D645" s="19"/>
      <c r="E645" s="401">
        <f t="shared" si="148"/>
        <v>0</v>
      </c>
      <c r="F645" s="415"/>
      <c r="G645" s="415"/>
      <c r="H645" s="19"/>
      <c r="I645" s="348">
        <f>SUM(Table13[[#This Row],[Pašv.līdz.]:[Proj.līdz.]])</f>
        <v>454</v>
      </c>
      <c r="J645" s="19"/>
      <c r="K645" s="414">
        <v>454</v>
      </c>
      <c r="L645" s="317"/>
    </row>
    <row r="646" spans="1:12" ht="15.75" customHeight="1" x14ac:dyDescent="0.25">
      <c r="A646" s="424" t="s">
        <v>482</v>
      </c>
      <c r="B646" s="14"/>
      <c r="C646" s="402"/>
      <c r="D646" s="14"/>
      <c r="E646" s="402">
        <f t="shared" ref="E646:E648" si="150">SUM(B646:D646)</f>
        <v>0</v>
      </c>
      <c r="F646" s="402"/>
      <c r="G646" s="469"/>
      <c r="H646" s="38"/>
      <c r="I646" s="348">
        <f>SUM(Table13[[#This Row],[Pašv.līdz.]:[Proj.līdz.]])</f>
        <v>587</v>
      </c>
      <c r="J646" s="38"/>
      <c r="K646" s="469">
        <v>587</v>
      </c>
      <c r="L646" s="176"/>
    </row>
    <row r="647" spans="1:12" ht="15.75" customHeight="1" x14ac:dyDescent="0.25">
      <c r="A647" s="423" t="s">
        <v>483</v>
      </c>
      <c r="B647" s="14"/>
      <c r="C647" s="402"/>
      <c r="D647" s="14"/>
      <c r="E647" s="402">
        <f t="shared" si="150"/>
        <v>0</v>
      </c>
      <c r="F647" s="402"/>
      <c r="G647" s="469">
        <v>9500</v>
      </c>
      <c r="H647" s="38"/>
      <c r="I647" s="348">
        <f>SUM(Table13[[#This Row],[Pašv.līdz.]:[Proj.līdz.]])</f>
        <v>0</v>
      </c>
      <c r="J647" s="38"/>
      <c r="K647" s="469"/>
      <c r="L647" s="176"/>
    </row>
    <row r="648" spans="1:12" ht="15.75" customHeight="1" x14ac:dyDescent="0.25">
      <c r="A648" s="423" t="s">
        <v>484</v>
      </c>
      <c r="B648" s="14"/>
      <c r="C648" s="402"/>
      <c r="D648" s="14"/>
      <c r="E648" s="402">
        <f t="shared" si="150"/>
        <v>0</v>
      </c>
      <c r="F648" s="402"/>
      <c r="G648" s="469">
        <v>4750</v>
      </c>
      <c r="H648" s="38"/>
      <c r="I648" s="351"/>
      <c r="J648" s="38"/>
      <c r="K648" s="469"/>
      <c r="L648" s="176"/>
    </row>
    <row r="649" spans="1:12" ht="15.75" customHeight="1" x14ac:dyDescent="0.25">
      <c r="A649" s="435" t="s">
        <v>188</v>
      </c>
      <c r="B649" s="320">
        <f>SUM(B641:B648)</f>
        <v>145072</v>
      </c>
      <c r="C649" s="403">
        <f>SUM(C641:C648)</f>
        <v>97649</v>
      </c>
      <c r="D649" s="320">
        <f>SUM(D641:D648)</f>
        <v>122</v>
      </c>
      <c r="E649" s="403">
        <f t="shared" si="148"/>
        <v>242843</v>
      </c>
      <c r="F649" s="403">
        <f t="shared" ref="F649:L649" si="151">SUM(F641:F648)</f>
        <v>107264</v>
      </c>
      <c r="G649" s="403">
        <f t="shared" si="151"/>
        <v>14250</v>
      </c>
      <c r="H649" s="320">
        <f t="shared" si="151"/>
        <v>0</v>
      </c>
      <c r="I649" s="338">
        <f t="shared" si="151"/>
        <v>1041</v>
      </c>
      <c r="J649" s="320">
        <f t="shared" si="151"/>
        <v>0</v>
      </c>
      <c r="K649" s="403">
        <f t="shared" si="151"/>
        <v>1041</v>
      </c>
      <c r="L649" s="385">
        <f t="shared" si="151"/>
        <v>0</v>
      </c>
    </row>
    <row r="650" spans="1:12" ht="15.75" customHeight="1" x14ac:dyDescent="0.25">
      <c r="A650" s="458" t="s">
        <v>485</v>
      </c>
      <c r="B650" s="330">
        <f>(B649+B640+B633+B629+B624+B618)</f>
        <v>915517</v>
      </c>
      <c r="C650" s="419">
        <f>(C649+C640+C633+C629+C624+C618)</f>
        <v>427465</v>
      </c>
      <c r="D650" s="330">
        <f>(D649+D640+D633+D629+D624+D618)</f>
        <v>11443</v>
      </c>
      <c r="E650" s="419">
        <f t="shared" si="148"/>
        <v>1354425</v>
      </c>
      <c r="F650" s="419">
        <f t="shared" ref="F650:L650" si="152">(F649+F640+F633+F629+F624+F618)</f>
        <v>1233850</v>
      </c>
      <c r="G650" s="419">
        <f t="shared" si="152"/>
        <v>28620</v>
      </c>
      <c r="H650" s="330">
        <f t="shared" si="152"/>
        <v>0</v>
      </c>
      <c r="I650" s="347">
        <f t="shared" si="152"/>
        <v>101770</v>
      </c>
      <c r="J650" s="330">
        <f t="shared" si="152"/>
        <v>68135</v>
      </c>
      <c r="K650" s="419">
        <f t="shared" si="152"/>
        <v>33635</v>
      </c>
      <c r="L650" s="398">
        <f t="shared" si="152"/>
        <v>0</v>
      </c>
    </row>
    <row r="651" spans="1:12" ht="15.75" customHeight="1" x14ac:dyDescent="0.25">
      <c r="A651" s="434" t="s">
        <v>1123</v>
      </c>
      <c r="B651" s="156">
        <v>228359</v>
      </c>
      <c r="C651" s="399">
        <v>262696</v>
      </c>
      <c r="D651" s="156"/>
      <c r="E651" s="399">
        <f t="shared" ref="E651:E662" si="153">SUM(B651:D651)</f>
        <v>491055</v>
      </c>
      <c r="F651" s="412"/>
      <c r="G651" s="412"/>
      <c r="H651" s="137"/>
      <c r="I651" s="341"/>
      <c r="J651" s="137"/>
      <c r="K651" s="412"/>
      <c r="L651" s="316"/>
    </row>
    <row r="652" spans="1:12" ht="15.75" customHeight="1" x14ac:dyDescent="0.25">
      <c r="A652" s="424" t="s">
        <v>486</v>
      </c>
      <c r="B652" s="15"/>
      <c r="C652" s="401"/>
      <c r="D652" s="15"/>
      <c r="E652" s="401">
        <f>SUM(B652:D652)</f>
        <v>0</v>
      </c>
      <c r="F652" s="401"/>
      <c r="G652" s="400">
        <v>52500</v>
      </c>
      <c r="H652" s="15"/>
      <c r="I652" s="337"/>
      <c r="J652" s="15"/>
      <c r="K652" s="401"/>
      <c r="L652" s="315"/>
    </row>
    <row r="653" spans="1:12" ht="15.75" customHeight="1" x14ac:dyDescent="0.25">
      <c r="A653" s="433" t="s">
        <v>1121</v>
      </c>
      <c r="B653" s="45">
        <v>41348</v>
      </c>
      <c r="C653" s="400">
        <v>64181</v>
      </c>
      <c r="D653" s="45"/>
      <c r="E653" s="400">
        <f t="shared" si="153"/>
        <v>105529</v>
      </c>
      <c r="F653" s="401"/>
      <c r="G653" s="401"/>
      <c r="H653" s="15"/>
      <c r="I653" s="337"/>
      <c r="J653" s="15"/>
      <c r="K653" s="401"/>
      <c r="L653" s="315"/>
    </row>
    <row r="654" spans="1:12" ht="15.75" customHeight="1" x14ac:dyDescent="0.25">
      <c r="A654" s="459" t="s">
        <v>1122</v>
      </c>
      <c r="B654" s="45">
        <v>57591</v>
      </c>
      <c r="C654" s="400">
        <v>71464</v>
      </c>
      <c r="D654" s="45"/>
      <c r="E654" s="400">
        <f t="shared" si="153"/>
        <v>129055</v>
      </c>
      <c r="F654" s="401"/>
      <c r="G654" s="401"/>
      <c r="H654" s="15"/>
      <c r="I654" s="337"/>
      <c r="J654" s="15"/>
      <c r="K654" s="401"/>
      <c r="L654" s="315"/>
    </row>
    <row r="655" spans="1:12" ht="15.75" customHeight="1" x14ac:dyDescent="0.25">
      <c r="A655" s="433" t="s">
        <v>489</v>
      </c>
      <c r="B655" s="15"/>
      <c r="C655" s="400">
        <v>2816</v>
      </c>
      <c r="D655" s="45"/>
      <c r="E655" s="400">
        <f t="shared" si="153"/>
        <v>2816</v>
      </c>
      <c r="F655" s="401"/>
      <c r="G655" s="401"/>
      <c r="H655" s="15"/>
      <c r="I655" s="337"/>
      <c r="J655" s="15"/>
      <c r="K655" s="401"/>
      <c r="L655" s="315"/>
    </row>
    <row r="656" spans="1:12" ht="15.75" customHeight="1" x14ac:dyDescent="0.25">
      <c r="A656" s="433" t="s">
        <v>490</v>
      </c>
      <c r="B656" s="15"/>
      <c r="C656" s="400">
        <v>1642</v>
      </c>
      <c r="D656" s="45"/>
      <c r="E656" s="400">
        <f t="shared" si="153"/>
        <v>1642</v>
      </c>
      <c r="F656" s="401"/>
      <c r="G656" s="401"/>
      <c r="H656" s="15"/>
      <c r="I656" s="337"/>
      <c r="J656" s="15"/>
      <c r="K656" s="401"/>
      <c r="L656" s="315"/>
    </row>
    <row r="657" spans="1:12" ht="15.75" customHeight="1" x14ac:dyDescent="0.25">
      <c r="A657" s="431" t="s">
        <v>188</v>
      </c>
      <c r="B657" s="322">
        <f>SUM(B651:B656)</f>
        <v>327298</v>
      </c>
      <c r="C657" s="405">
        <f>SUM(C651:C656)</f>
        <v>402799</v>
      </c>
      <c r="D657" s="322">
        <f>SUM(D651:D656)</f>
        <v>0</v>
      </c>
      <c r="E657" s="405">
        <f t="shared" si="153"/>
        <v>730097</v>
      </c>
      <c r="F657" s="405">
        <f t="shared" ref="F657:L657" si="154">SUM(F651:F656)</f>
        <v>0</v>
      </c>
      <c r="G657" s="405">
        <f t="shared" si="154"/>
        <v>52500</v>
      </c>
      <c r="H657" s="322">
        <f t="shared" si="154"/>
        <v>0</v>
      </c>
      <c r="I657" s="340">
        <f t="shared" si="154"/>
        <v>0</v>
      </c>
      <c r="J657" s="322">
        <f t="shared" si="154"/>
        <v>0</v>
      </c>
      <c r="K657" s="405">
        <f t="shared" si="154"/>
        <v>0</v>
      </c>
      <c r="L657" s="387">
        <f t="shared" si="154"/>
        <v>0</v>
      </c>
    </row>
    <row r="658" spans="1:12" ht="15.75" customHeight="1" x14ac:dyDescent="0.25">
      <c r="A658" s="423" t="s">
        <v>146</v>
      </c>
      <c r="B658" s="45">
        <v>204005</v>
      </c>
      <c r="C658" s="400">
        <v>20309</v>
      </c>
      <c r="D658" s="45">
        <v>1900</v>
      </c>
      <c r="E658" s="400">
        <f t="shared" si="153"/>
        <v>226214</v>
      </c>
      <c r="F658" s="401"/>
      <c r="G658" s="401"/>
      <c r="H658" s="15"/>
      <c r="I658" s="337"/>
      <c r="J658" s="15"/>
      <c r="K658" s="401"/>
      <c r="L658" s="315"/>
    </row>
    <row r="659" spans="1:12" ht="15.75" customHeight="1" x14ac:dyDescent="0.25">
      <c r="A659" s="424" t="s">
        <v>454</v>
      </c>
      <c r="B659" s="45"/>
      <c r="C659" s="400">
        <v>4000</v>
      </c>
      <c r="D659" s="45"/>
      <c r="E659" s="400">
        <f>SUM(B659:D659)</f>
        <v>4000</v>
      </c>
      <c r="F659" s="401"/>
      <c r="G659" s="401"/>
      <c r="H659" s="15"/>
      <c r="I659" s="337"/>
      <c r="J659" s="15"/>
      <c r="K659" s="401"/>
      <c r="L659" s="315"/>
    </row>
    <row r="660" spans="1:12" ht="15.75" customHeight="1" x14ac:dyDescent="0.25">
      <c r="A660" s="424" t="s">
        <v>492</v>
      </c>
      <c r="B660" s="15"/>
      <c r="C660" s="400">
        <v>2000</v>
      </c>
      <c r="D660" s="45"/>
      <c r="E660" s="400">
        <f>SUM(B660:D660)</f>
        <v>2000</v>
      </c>
      <c r="F660" s="401"/>
      <c r="G660" s="401"/>
      <c r="H660" s="15"/>
      <c r="I660" s="348">
        <f t="shared" ref="I660:I661" si="155">SUM(J660:L660)</f>
        <v>0</v>
      </c>
      <c r="J660" s="15"/>
      <c r="K660" s="401"/>
      <c r="L660" s="315"/>
    </row>
    <row r="661" spans="1:12" ht="15.75" customHeight="1" x14ac:dyDescent="0.25">
      <c r="A661" s="424" t="s">
        <v>493</v>
      </c>
      <c r="B661" s="14"/>
      <c r="C661" s="402"/>
      <c r="D661" s="14"/>
      <c r="E661" s="402">
        <f>SUM(B661:D661)</f>
        <v>0</v>
      </c>
      <c r="F661" s="402"/>
      <c r="G661" s="469"/>
      <c r="H661" s="38"/>
      <c r="I661" s="348">
        <f t="shared" si="155"/>
        <v>3044</v>
      </c>
      <c r="J661" s="38"/>
      <c r="K661" s="469">
        <v>3044</v>
      </c>
      <c r="L661" s="176"/>
    </row>
    <row r="662" spans="1:12" ht="15.75" customHeight="1" x14ac:dyDescent="0.25">
      <c r="A662" s="424" t="s">
        <v>494</v>
      </c>
      <c r="B662" s="15"/>
      <c r="C662" s="401"/>
      <c r="D662" s="15"/>
      <c r="E662" s="401">
        <f t="shared" si="153"/>
        <v>0</v>
      </c>
      <c r="F662" s="401"/>
      <c r="G662" s="401"/>
      <c r="H662" s="15"/>
      <c r="I662" s="348">
        <f>SUM(J662:L662)</f>
        <v>22447</v>
      </c>
      <c r="J662" s="45"/>
      <c r="K662" s="400">
        <v>22447</v>
      </c>
      <c r="L662" s="315"/>
    </row>
    <row r="663" spans="1:12" ht="15.75" customHeight="1" x14ac:dyDescent="0.25">
      <c r="A663" s="431" t="s">
        <v>188</v>
      </c>
      <c r="B663" s="322">
        <f>SUM(B658:B662)</f>
        <v>204005</v>
      </c>
      <c r="C663" s="405">
        <f>SUM(C658:C662)</f>
        <v>26309</v>
      </c>
      <c r="D663" s="322">
        <f>SUM(D658:D662)</f>
        <v>1900</v>
      </c>
      <c r="E663" s="405">
        <f>SUM(B663:D663)</f>
        <v>232214</v>
      </c>
      <c r="F663" s="405">
        <f t="shared" ref="F663:L663" si="156">SUM(F658:F662)</f>
        <v>0</v>
      </c>
      <c r="G663" s="405">
        <f t="shared" si="156"/>
        <v>0</v>
      </c>
      <c r="H663" s="322">
        <f t="shared" si="156"/>
        <v>0</v>
      </c>
      <c r="I663" s="340">
        <f t="shared" si="156"/>
        <v>25491</v>
      </c>
      <c r="J663" s="322">
        <f t="shared" si="156"/>
        <v>0</v>
      </c>
      <c r="K663" s="405">
        <f t="shared" si="156"/>
        <v>25491</v>
      </c>
      <c r="L663" s="387">
        <f t="shared" si="156"/>
        <v>0</v>
      </c>
    </row>
    <row r="664" spans="1:12" ht="15.75" customHeight="1" x14ac:dyDescent="0.25">
      <c r="A664" s="423" t="s">
        <v>495</v>
      </c>
      <c r="B664" s="15"/>
      <c r="C664" s="400">
        <v>315000</v>
      </c>
      <c r="D664" s="15"/>
      <c r="E664" s="400">
        <f>SUM(B664:D664)</f>
        <v>315000</v>
      </c>
      <c r="F664" s="401"/>
      <c r="G664" s="401"/>
      <c r="H664" s="15"/>
      <c r="I664" s="337"/>
      <c r="J664" s="15"/>
      <c r="K664" s="401"/>
      <c r="L664" s="315"/>
    </row>
    <row r="665" spans="1:12" ht="15.75" customHeight="1" x14ac:dyDescent="0.25">
      <c r="A665" s="448" t="s">
        <v>148</v>
      </c>
      <c r="B665" s="15"/>
      <c r="C665" s="401"/>
      <c r="D665" s="15"/>
      <c r="E665" s="420"/>
      <c r="F665" s="401"/>
      <c r="G665" s="401"/>
      <c r="H665" s="15"/>
      <c r="I665" s="337"/>
      <c r="J665" s="15"/>
      <c r="K665" s="401"/>
      <c r="L665" s="315"/>
    </row>
    <row r="666" spans="1:12" ht="15.75" customHeight="1" x14ac:dyDescent="0.25">
      <c r="A666" s="460" t="s">
        <v>1126</v>
      </c>
      <c r="B666" s="112"/>
      <c r="C666" s="404"/>
      <c r="D666" s="112"/>
      <c r="E666" s="400">
        <f>SUM(B666:D666)</f>
        <v>0</v>
      </c>
      <c r="F666" s="404">
        <v>1699815</v>
      </c>
      <c r="G666" s="411"/>
      <c r="H666" s="90"/>
      <c r="I666" s="339"/>
      <c r="J666" s="90"/>
      <c r="K666" s="411"/>
      <c r="L666" s="388"/>
    </row>
    <row r="667" spans="1:12" ht="15.75" customHeight="1" x14ac:dyDescent="0.25">
      <c r="A667" s="423" t="s">
        <v>155</v>
      </c>
      <c r="B667" s="15"/>
      <c r="C667" s="400"/>
      <c r="D667" s="15"/>
      <c r="E667" s="400">
        <f>SUM(B667:D667)</f>
        <v>0</v>
      </c>
      <c r="F667" s="400"/>
      <c r="G667" s="401"/>
      <c r="H667" s="15"/>
      <c r="I667" s="337"/>
      <c r="J667" s="15"/>
      <c r="K667" s="401"/>
      <c r="L667" s="315"/>
    </row>
    <row r="668" spans="1:12" ht="15.75" customHeight="1" x14ac:dyDescent="0.25">
      <c r="A668" s="424" t="s">
        <v>155</v>
      </c>
      <c r="B668" s="14"/>
      <c r="C668" s="402">
        <v>296211</v>
      </c>
      <c r="D668" s="14"/>
      <c r="E668" s="402">
        <f>SUM(B668:D668)</f>
        <v>296211</v>
      </c>
      <c r="F668" s="402"/>
      <c r="G668" s="469"/>
      <c r="H668" s="38"/>
      <c r="I668" s="351"/>
      <c r="J668" s="38"/>
      <c r="K668" s="469"/>
      <c r="L668" s="176"/>
    </row>
    <row r="669" spans="1:12" x14ac:dyDescent="0.25">
      <c r="A669" s="462" t="s">
        <v>496</v>
      </c>
      <c r="B669" s="15"/>
      <c r="C669" s="400"/>
      <c r="D669" s="45"/>
      <c r="E669" s="400">
        <f t="shared" ref="E669" si="157">SUM(B669:D669)</f>
        <v>0</v>
      </c>
      <c r="F669" s="400">
        <v>20174</v>
      </c>
      <c r="G669" s="401"/>
      <c r="H669" s="15"/>
      <c r="I669" s="337"/>
      <c r="J669" s="15"/>
      <c r="K669" s="401"/>
      <c r="L669" s="315"/>
    </row>
    <row r="670" spans="1:12" ht="15.75" customHeight="1" x14ac:dyDescent="0.25">
      <c r="A670" s="423" t="s">
        <v>497</v>
      </c>
      <c r="B670" s="45">
        <v>29433</v>
      </c>
      <c r="C670" s="400">
        <v>10723</v>
      </c>
      <c r="D670" s="15"/>
      <c r="E670" s="400">
        <f>SUM(B670:D670)</f>
        <v>40156</v>
      </c>
      <c r="F670" s="401"/>
      <c r="G670" s="401"/>
      <c r="H670" s="15"/>
      <c r="I670" s="337"/>
      <c r="J670" s="15"/>
      <c r="K670" s="401"/>
      <c r="L670" s="315"/>
    </row>
    <row r="671" spans="1:12" ht="15.75" customHeight="1" x14ac:dyDescent="0.25">
      <c r="A671" s="423" t="s">
        <v>1124</v>
      </c>
      <c r="B671" s="45">
        <v>116765</v>
      </c>
      <c r="C671" s="400">
        <v>21923</v>
      </c>
      <c r="D671" s="45"/>
      <c r="E671" s="400">
        <f>SUM(B671:D671)</f>
        <v>138688</v>
      </c>
      <c r="F671" s="401"/>
      <c r="G671" s="401"/>
      <c r="H671" s="15"/>
      <c r="I671" s="348"/>
      <c r="J671" s="45"/>
      <c r="K671" s="400"/>
      <c r="L671" s="315"/>
    </row>
    <row r="672" spans="1:12" ht="15.75" customHeight="1" x14ac:dyDescent="0.25">
      <c r="A672" s="423" t="s">
        <v>1125</v>
      </c>
      <c r="B672" s="45">
        <v>70444</v>
      </c>
      <c r="C672" s="400">
        <v>14382</v>
      </c>
      <c r="D672" s="45"/>
      <c r="E672" s="400">
        <f>SUM(B672:D672)</f>
        <v>84826</v>
      </c>
      <c r="F672" s="401"/>
      <c r="G672" s="401"/>
      <c r="H672" s="15"/>
      <c r="I672" s="348"/>
      <c r="J672" s="45"/>
      <c r="K672" s="400"/>
      <c r="L672" s="315"/>
    </row>
    <row r="673" spans="1:12" ht="15.75" customHeight="1" x14ac:dyDescent="0.25">
      <c r="A673" s="423" t="s">
        <v>153</v>
      </c>
      <c r="B673" s="45">
        <v>361244</v>
      </c>
      <c r="C673" s="400">
        <v>129472</v>
      </c>
      <c r="D673" s="15"/>
      <c r="E673" s="400">
        <f t="shared" ref="E673:E678" si="158">SUM(B673:D673)</f>
        <v>490716</v>
      </c>
      <c r="F673" s="401"/>
      <c r="G673" s="401"/>
      <c r="H673" s="15"/>
      <c r="I673" s="337"/>
      <c r="J673" s="15"/>
      <c r="K673" s="401"/>
      <c r="L673" s="315"/>
    </row>
    <row r="674" spans="1:12" ht="15.75" customHeight="1" x14ac:dyDescent="0.25">
      <c r="A674" s="424" t="s">
        <v>500</v>
      </c>
      <c r="B674" s="15"/>
      <c r="C674" s="401"/>
      <c r="D674" s="15"/>
      <c r="E674" s="401">
        <f>SUM(B674:D674)</f>
        <v>0</v>
      </c>
      <c r="F674" s="401"/>
      <c r="G674" s="400">
        <v>1800</v>
      </c>
      <c r="H674" s="15"/>
      <c r="I674" s="337"/>
      <c r="J674" s="15"/>
      <c r="K674" s="401"/>
      <c r="L674" s="315"/>
    </row>
    <row r="675" spans="1:12" ht="15.75" customHeight="1" x14ac:dyDescent="0.25">
      <c r="A675" s="424" t="s">
        <v>501</v>
      </c>
      <c r="B675" s="15"/>
      <c r="C675" s="401"/>
      <c r="D675" s="15"/>
      <c r="E675" s="401">
        <f>SUM(B675:D675)</f>
        <v>0</v>
      </c>
      <c r="F675" s="401"/>
      <c r="G675" s="400">
        <v>6500</v>
      </c>
      <c r="H675" s="15"/>
      <c r="I675" s="337"/>
      <c r="J675" s="15"/>
      <c r="K675" s="401"/>
      <c r="L675" s="315"/>
    </row>
    <row r="676" spans="1:12" ht="15.75" customHeight="1" x14ac:dyDescent="0.25">
      <c r="A676" s="423" t="s">
        <v>156</v>
      </c>
      <c r="B676" s="45">
        <v>348310</v>
      </c>
      <c r="C676" s="400">
        <v>140882</v>
      </c>
      <c r="D676" s="15"/>
      <c r="E676" s="400">
        <f t="shared" si="158"/>
        <v>489192</v>
      </c>
      <c r="F676" s="401"/>
      <c r="G676" s="401"/>
      <c r="H676" s="15"/>
      <c r="I676" s="337"/>
      <c r="J676" s="15"/>
      <c r="K676" s="401"/>
      <c r="L676" s="315"/>
    </row>
    <row r="677" spans="1:12" ht="15.75" customHeight="1" x14ac:dyDescent="0.25">
      <c r="A677" s="425" t="s">
        <v>502</v>
      </c>
      <c r="B677" s="15"/>
      <c r="C677" s="401"/>
      <c r="D677" s="15"/>
      <c r="E677" s="401">
        <f t="shared" si="158"/>
        <v>0</v>
      </c>
      <c r="F677" s="401"/>
      <c r="G677" s="400">
        <v>8100</v>
      </c>
      <c r="H677" s="15"/>
      <c r="I677" s="337"/>
      <c r="J677" s="15"/>
      <c r="K677" s="401"/>
      <c r="L677" s="315"/>
    </row>
    <row r="678" spans="1:12" ht="15.75" customHeight="1" x14ac:dyDescent="0.25">
      <c r="A678" s="425" t="s">
        <v>503</v>
      </c>
      <c r="B678" s="15"/>
      <c r="C678" s="401"/>
      <c r="D678" s="15"/>
      <c r="E678" s="401">
        <f t="shared" si="158"/>
        <v>0</v>
      </c>
      <c r="F678" s="401"/>
      <c r="G678" s="400">
        <v>800</v>
      </c>
      <c r="H678" s="15"/>
      <c r="I678" s="337"/>
      <c r="J678" s="15"/>
      <c r="K678" s="401"/>
      <c r="L678" s="315"/>
    </row>
    <row r="679" spans="1:12" ht="15.75" customHeight="1" x14ac:dyDescent="0.25">
      <c r="A679" s="423" t="s">
        <v>1127</v>
      </c>
      <c r="B679" s="45">
        <v>209816</v>
      </c>
      <c r="C679" s="400">
        <v>96610</v>
      </c>
      <c r="D679" s="45"/>
      <c r="E679" s="400">
        <f t="shared" ref="E679:E682" si="159">SUM(B679:D679)</f>
        <v>306426</v>
      </c>
      <c r="F679" s="401"/>
      <c r="G679" s="401"/>
      <c r="H679" s="15"/>
      <c r="I679" s="337"/>
      <c r="J679" s="15"/>
      <c r="K679" s="401"/>
      <c r="L679" s="315"/>
    </row>
    <row r="680" spans="1:12" ht="15.75" customHeight="1" x14ac:dyDescent="0.25">
      <c r="A680" s="424" t="s">
        <v>507</v>
      </c>
      <c r="B680" s="14"/>
      <c r="C680" s="402"/>
      <c r="D680" s="14">
        <v>3500</v>
      </c>
      <c r="E680" s="402">
        <f t="shared" si="159"/>
        <v>3500</v>
      </c>
      <c r="F680" s="402"/>
      <c r="G680" s="469"/>
      <c r="H680" s="38"/>
      <c r="I680" s="351"/>
      <c r="J680" s="38"/>
      <c r="K680" s="469"/>
      <c r="L680" s="176"/>
    </row>
    <row r="681" spans="1:12" ht="15.75" customHeight="1" x14ac:dyDescent="0.25">
      <c r="A681" s="425" t="s">
        <v>508</v>
      </c>
      <c r="B681" s="15"/>
      <c r="C681" s="401"/>
      <c r="D681" s="15"/>
      <c r="E681" s="401">
        <f t="shared" si="159"/>
        <v>0</v>
      </c>
      <c r="F681" s="401"/>
      <c r="G681" s="400">
        <v>10000</v>
      </c>
      <c r="H681" s="15"/>
      <c r="I681" s="337"/>
      <c r="J681" s="15"/>
      <c r="K681" s="401"/>
      <c r="L681" s="315"/>
    </row>
    <row r="682" spans="1:12" ht="15.75" customHeight="1" x14ac:dyDescent="0.25">
      <c r="A682" s="424" t="s">
        <v>152</v>
      </c>
      <c r="B682" s="15"/>
      <c r="C682" s="401"/>
      <c r="D682" s="15"/>
      <c r="E682" s="401">
        <f t="shared" si="159"/>
        <v>0</v>
      </c>
      <c r="F682" s="400">
        <v>278731</v>
      </c>
      <c r="G682" s="401"/>
      <c r="H682" s="15"/>
      <c r="I682" s="337"/>
      <c r="J682" s="15"/>
      <c r="K682" s="401"/>
      <c r="L682" s="315"/>
    </row>
    <row r="683" spans="1:12" ht="15.75" customHeight="1" x14ac:dyDescent="0.25">
      <c r="A683" s="424" t="s">
        <v>509</v>
      </c>
      <c r="B683" s="15"/>
      <c r="C683" s="400">
        <v>387320</v>
      </c>
      <c r="D683" s="45"/>
      <c r="E683" s="400">
        <f t="shared" ref="E683:E697" si="160">SUM(B683:D683)</f>
        <v>387320</v>
      </c>
      <c r="F683" s="400"/>
      <c r="G683" s="401"/>
      <c r="H683" s="15"/>
      <c r="I683" s="337"/>
      <c r="J683" s="15"/>
      <c r="K683" s="401"/>
      <c r="L683" s="315"/>
    </row>
    <row r="684" spans="1:12" ht="15.75" customHeight="1" x14ac:dyDescent="0.25">
      <c r="A684" s="424" t="s">
        <v>510</v>
      </c>
      <c r="B684" s="15"/>
      <c r="C684" s="400">
        <v>120850</v>
      </c>
      <c r="D684" s="45"/>
      <c r="E684" s="400">
        <f t="shared" si="160"/>
        <v>120850</v>
      </c>
      <c r="F684" s="400">
        <v>7458</v>
      </c>
      <c r="G684" s="401"/>
      <c r="H684" s="15"/>
      <c r="I684" s="337"/>
      <c r="J684" s="15"/>
      <c r="K684" s="401"/>
      <c r="L684" s="315"/>
    </row>
    <row r="685" spans="1:12" ht="15.75" customHeight="1" x14ac:dyDescent="0.25">
      <c r="A685" s="424" t="s">
        <v>1114</v>
      </c>
      <c r="B685" s="14"/>
      <c r="C685" s="400">
        <v>21340</v>
      </c>
      <c r="D685" s="45"/>
      <c r="E685" s="400">
        <f>SUM(B685:D685)</f>
        <v>21340</v>
      </c>
      <c r="F685" s="400"/>
      <c r="G685" s="469"/>
      <c r="H685" s="38"/>
      <c r="I685" s="351"/>
      <c r="J685" s="38"/>
      <c r="K685" s="469"/>
      <c r="L685" s="176"/>
    </row>
    <row r="686" spans="1:12" ht="15.75" customHeight="1" x14ac:dyDescent="0.25">
      <c r="A686" s="424" t="s">
        <v>511</v>
      </c>
      <c r="B686" s="15"/>
      <c r="C686" s="400">
        <v>32459</v>
      </c>
      <c r="D686" s="45"/>
      <c r="E686" s="400">
        <f t="shared" si="160"/>
        <v>32459</v>
      </c>
      <c r="F686" s="400"/>
      <c r="G686" s="401"/>
      <c r="H686" s="15"/>
      <c r="I686" s="337"/>
      <c r="J686" s="15"/>
      <c r="K686" s="401"/>
      <c r="L686" s="315"/>
    </row>
    <row r="687" spans="1:12" ht="15.75" customHeight="1" x14ac:dyDescent="0.25">
      <c r="A687" s="424" t="s">
        <v>512</v>
      </c>
      <c r="B687" s="14"/>
      <c r="C687" s="400">
        <v>9900</v>
      </c>
      <c r="D687" s="45"/>
      <c r="E687" s="400">
        <f>SUM(B687:D687)</f>
        <v>9900</v>
      </c>
      <c r="F687" s="400"/>
      <c r="G687" s="469"/>
      <c r="H687" s="38"/>
      <c r="I687" s="351"/>
      <c r="J687" s="38"/>
      <c r="K687" s="469"/>
      <c r="L687" s="176"/>
    </row>
    <row r="688" spans="1:12" ht="15.75" customHeight="1" x14ac:dyDescent="0.25">
      <c r="A688" s="424" t="s">
        <v>513</v>
      </c>
      <c r="B688" s="14"/>
      <c r="C688" s="400">
        <v>2025</v>
      </c>
      <c r="D688" s="45"/>
      <c r="E688" s="400">
        <f>SUM(B688:D688)</f>
        <v>2025</v>
      </c>
      <c r="F688" s="400">
        <v>22275</v>
      </c>
      <c r="G688" s="469"/>
      <c r="H688" s="38"/>
      <c r="I688" s="351"/>
      <c r="J688" s="38"/>
      <c r="K688" s="469"/>
      <c r="L688" s="176"/>
    </row>
    <row r="689" spans="1:12" ht="15.75" customHeight="1" x14ac:dyDescent="0.25">
      <c r="A689" s="424" t="s">
        <v>514</v>
      </c>
      <c r="B689" s="15"/>
      <c r="C689" s="400">
        <v>630000</v>
      </c>
      <c r="D689" s="45"/>
      <c r="E689" s="400">
        <f t="shared" si="160"/>
        <v>630000</v>
      </c>
      <c r="F689" s="400">
        <v>270000</v>
      </c>
      <c r="G689" s="401"/>
      <c r="H689" s="15"/>
      <c r="I689" s="337"/>
      <c r="J689" s="15"/>
      <c r="K689" s="401"/>
      <c r="L689" s="315"/>
    </row>
    <row r="690" spans="1:12" ht="15.75" customHeight="1" x14ac:dyDescent="0.25">
      <c r="A690" s="424" t="s">
        <v>515</v>
      </c>
      <c r="B690" s="14"/>
      <c r="C690" s="400"/>
      <c r="D690" s="45"/>
      <c r="E690" s="400">
        <f>SUM(B690:D690)</f>
        <v>0</v>
      </c>
      <c r="F690" s="400">
        <v>6000</v>
      </c>
      <c r="G690" s="469"/>
      <c r="H690" s="38"/>
      <c r="I690" s="351"/>
      <c r="J690" s="38"/>
      <c r="K690" s="469"/>
      <c r="L690" s="176"/>
    </row>
    <row r="691" spans="1:12" ht="15.75" customHeight="1" x14ac:dyDescent="0.25">
      <c r="A691" s="424" t="s">
        <v>516</v>
      </c>
      <c r="B691" s="15"/>
      <c r="C691" s="400">
        <v>359181</v>
      </c>
      <c r="D691" s="45"/>
      <c r="E691" s="400">
        <f t="shared" si="160"/>
        <v>359181</v>
      </c>
      <c r="F691" s="400">
        <v>13200</v>
      </c>
      <c r="G691" s="401"/>
      <c r="H691" s="15"/>
      <c r="I691" s="337"/>
      <c r="J691" s="15"/>
      <c r="K691" s="401"/>
      <c r="L691" s="315"/>
    </row>
    <row r="692" spans="1:12" ht="15.75" customHeight="1" x14ac:dyDescent="0.25">
      <c r="A692" s="424" t="s">
        <v>517</v>
      </c>
      <c r="B692" s="15"/>
      <c r="C692" s="400">
        <v>280000</v>
      </c>
      <c r="D692" s="45"/>
      <c r="E692" s="400">
        <f t="shared" si="160"/>
        <v>280000</v>
      </c>
      <c r="F692" s="400">
        <v>120000</v>
      </c>
      <c r="G692" s="401"/>
      <c r="H692" s="15"/>
      <c r="I692" s="337"/>
      <c r="J692" s="15"/>
      <c r="K692" s="401"/>
      <c r="L692" s="315"/>
    </row>
    <row r="693" spans="1:12" ht="15.75" customHeight="1" x14ac:dyDescent="0.25">
      <c r="A693" s="424" t="s">
        <v>518</v>
      </c>
      <c r="B693" s="15"/>
      <c r="C693" s="400"/>
      <c r="D693" s="45"/>
      <c r="E693" s="400">
        <f>SUM(B693:D693)</f>
        <v>0</v>
      </c>
      <c r="F693" s="400">
        <v>103500</v>
      </c>
      <c r="G693" s="401"/>
      <c r="H693" s="15"/>
      <c r="I693" s="337"/>
      <c r="J693" s="15"/>
      <c r="K693" s="401"/>
      <c r="L693" s="315"/>
    </row>
    <row r="694" spans="1:12" ht="15.75" customHeight="1" x14ac:dyDescent="0.25">
      <c r="A694" s="423" t="s">
        <v>154</v>
      </c>
      <c r="B694" s="45">
        <v>292551</v>
      </c>
      <c r="C694" s="400">
        <v>25180</v>
      </c>
      <c r="D694" s="45">
        <v>1900</v>
      </c>
      <c r="E694" s="400">
        <f t="shared" si="160"/>
        <v>319631</v>
      </c>
      <c r="F694" s="400"/>
      <c r="G694" s="401"/>
      <c r="H694" s="15"/>
      <c r="I694" s="337"/>
      <c r="J694" s="15"/>
      <c r="K694" s="401"/>
      <c r="L694" s="315"/>
    </row>
    <row r="695" spans="1:12" ht="15.75" customHeight="1" x14ac:dyDescent="0.25">
      <c r="A695" s="423" t="s">
        <v>151</v>
      </c>
      <c r="B695" s="45">
        <v>727045</v>
      </c>
      <c r="C695" s="400">
        <v>67691</v>
      </c>
      <c r="D695" s="45">
        <v>5150</v>
      </c>
      <c r="E695" s="400">
        <f t="shared" si="160"/>
        <v>799886</v>
      </c>
      <c r="F695" s="400"/>
      <c r="G695" s="401"/>
      <c r="H695" s="15"/>
      <c r="I695" s="337"/>
      <c r="J695" s="15"/>
      <c r="K695" s="401"/>
      <c r="L695" s="315"/>
    </row>
    <row r="696" spans="1:12" ht="15.75" customHeight="1" x14ac:dyDescent="0.25">
      <c r="A696" s="424" t="s">
        <v>519</v>
      </c>
      <c r="B696" s="45"/>
      <c r="C696" s="400"/>
      <c r="D696" s="45"/>
      <c r="E696" s="400">
        <f t="shared" si="160"/>
        <v>0</v>
      </c>
      <c r="F696" s="400">
        <v>74685</v>
      </c>
      <c r="G696" s="401"/>
      <c r="H696" s="15"/>
      <c r="I696" s="337"/>
      <c r="J696" s="15"/>
      <c r="K696" s="401"/>
      <c r="L696" s="315"/>
    </row>
    <row r="697" spans="1:12" ht="15.75" customHeight="1" x14ac:dyDescent="0.25">
      <c r="A697" s="424" t="s">
        <v>1128</v>
      </c>
      <c r="B697" s="45">
        <v>1246</v>
      </c>
      <c r="C697" s="400">
        <v>2770</v>
      </c>
      <c r="D697" s="45"/>
      <c r="E697" s="400">
        <f t="shared" si="160"/>
        <v>4016</v>
      </c>
      <c r="F697" s="400"/>
      <c r="G697" s="401"/>
      <c r="H697" s="15"/>
      <c r="I697" s="337">
        <f>SUM(J697:L697)</f>
        <v>0</v>
      </c>
      <c r="J697" s="15"/>
      <c r="K697" s="401"/>
      <c r="L697" s="315"/>
    </row>
    <row r="698" spans="1:12" ht="15.75" customHeight="1" x14ac:dyDescent="0.25">
      <c r="A698" s="431" t="s">
        <v>520</v>
      </c>
      <c r="B698" s="322">
        <f t="shared" ref="B698:L698" si="161">SUM(B666:B697)</f>
        <v>2156854</v>
      </c>
      <c r="C698" s="405">
        <f t="shared" si="161"/>
        <v>2648919</v>
      </c>
      <c r="D698" s="322">
        <f t="shared" si="161"/>
        <v>10550</v>
      </c>
      <c r="E698" s="405">
        <f t="shared" si="161"/>
        <v>4816323</v>
      </c>
      <c r="F698" s="405">
        <f t="shared" si="161"/>
        <v>2615838</v>
      </c>
      <c r="G698" s="405">
        <f t="shared" si="161"/>
        <v>27200</v>
      </c>
      <c r="H698" s="322">
        <f t="shared" si="161"/>
        <v>0</v>
      </c>
      <c r="I698" s="340">
        <f t="shared" si="161"/>
        <v>0</v>
      </c>
      <c r="J698" s="322">
        <f t="shared" si="161"/>
        <v>0</v>
      </c>
      <c r="K698" s="405">
        <f t="shared" si="161"/>
        <v>0</v>
      </c>
      <c r="L698" s="387">
        <f t="shared" si="161"/>
        <v>0</v>
      </c>
    </row>
    <row r="699" spans="1:12" ht="15.75" customHeight="1" x14ac:dyDescent="0.25">
      <c r="A699" s="438" t="s">
        <v>159</v>
      </c>
      <c r="B699" s="14"/>
      <c r="C699" s="400">
        <v>150000</v>
      </c>
      <c r="D699" s="15"/>
      <c r="E699" s="400">
        <f>SUM(B699:D699)</f>
        <v>150000</v>
      </c>
      <c r="F699" s="476"/>
      <c r="G699" s="469"/>
      <c r="H699" s="38"/>
      <c r="I699" s="351"/>
      <c r="J699" s="38"/>
      <c r="K699" s="469"/>
      <c r="L699" s="176"/>
    </row>
    <row r="700" spans="1:12" ht="28.5" customHeight="1" x14ac:dyDescent="0.25">
      <c r="A700" s="440" t="s">
        <v>1129</v>
      </c>
      <c r="B700" s="14"/>
      <c r="C700" s="402"/>
      <c r="D700" s="14"/>
      <c r="E700" s="402">
        <f>SUM(B700:D700)</f>
        <v>0</v>
      </c>
      <c r="F700" s="402"/>
      <c r="G700" s="469"/>
      <c r="H700" s="38">
        <v>108828</v>
      </c>
      <c r="I700" s="351"/>
      <c r="J700" s="38"/>
      <c r="K700" s="469"/>
      <c r="L700" s="176"/>
    </row>
    <row r="701" spans="1:12" ht="30" x14ac:dyDescent="0.25">
      <c r="A701" s="440" t="s">
        <v>1130</v>
      </c>
      <c r="B701" s="14"/>
      <c r="C701" s="402"/>
      <c r="D701" s="14"/>
      <c r="E701" s="402">
        <f>SUM(B701:D701)</f>
        <v>0</v>
      </c>
      <c r="F701" s="402"/>
      <c r="G701" s="469"/>
      <c r="H701" s="38">
        <v>17000</v>
      </c>
      <c r="I701" s="351"/>
      <c r="J701" s="38"/>
      <c r="K701" s="469"/>
      <c r="L701" s="176"/>
    </row>
    <row r="702" spans="1:12" ht="30" x14ac:dyDescent="0.25">
      <c r="A702" s="440" t="s">
        <v>1131</v>
      </c>
      <c r="B702" s="14"/>
      <c r="C702" s="402"/>
      <c r="D702" s="14"/>
      <c r="E702" s="402">
        <f>SUM(B702:D702)</f>
        <v>0</v>
      </c>
      <c r="F702" s="402"/>
      <c r="G702" s="469"/>
      <c r="H702" s="38">
        <v>83000</v>
      </c>
      <c r="I702" s="351"/>
      <c r="J702" s="38"/>
      <c r="K702" s="469"/>
      <c r="L702" s="167"/>
    </row>
    <row r="703" spans="1:12" ht="15.75" customHeight="1" x14ac:dyDescent="0.25">
      <c r="A703" s="461" t="s">
        <v>521</v>
      </c>
      <c r="B703" s="328">
        <f>SUM(B700+B699+B698+B664+B663+B657+B649+B640+B633+B629+B624+B618+B603+B588+B586+B573+B571+B557+B554+B541+B531+B517+B501+B493+B485+B477+B469+B466+B458+B452+B444+B438+B428+B418+B410+B406+B377+B367+B358+B353+B335+B325+B315+B312+B294+B291+B289+B281+B276+B147+B159+B168+B177+B186+B197+B207+B220+B231+B240+B250+B261+B139+B129+B119+B108+B96+B85+B77+B64+B53+B42+B44+B46)</f>
        <v>15430807</v>
      </c>
      <c r="C703" s="468">
        <f>SUM(C700+C699+C698+C664+C663+C657+C649+C640+C633+C629+C624+C618+C603+C588+C586+C573+C571+C557+C554+C541+C531+C517+C501+C493+C485+C477+C469+C466+C458+C452+C444+C438+C428+C418+C410+C406+C377+C367+C358+C353+C335+C325+C315+C312+C294+C291+C289+C281+C276+C147+C159+C168+C177+C186+C197+C207+C220+C231+C240+C250+C261+C139+C129+C119+C108+C96+C85+C77+C64+C53+C42+C44+C46)</f>
        <v>11134932</v>
      </c>
      <c r="D703" s="384">
        <f>SUM(D700+D699+D698+D664+D663+D657+D649+D640+D633+D629+D624+D618+D603+D588+D586+D573+D571+D557+D554+D541+D531+D517+D501+D493+D485+D477+D469+D466+D458+D452+D444+D438+D428+D418+D410+D406+D377+D367+D358+D353+D335+D325+D315+D312+D294+D291+D289+D281+D276+D147+D159+D168+D177+D186+D197+D207+D220+D231+D240+D250+D261+D139+D129+D119+D108+D96+D85+D77+D64+D53+D42+D44+D46)</f>
        <v>86658</v>
      </c>
      <c r="E703" s="421">
        <f>SUM(E700+E699+E698+E664+E663+E657+E649+E640+E633+E629+E624+E618+E603+E588+E586+E573+E571+E557+E554+E541+E531+E517+E501+E493+E485+E477+E469+E466+E458+E452+E444+E438+E428+E418+E410+E406+E377+E367+E358+E353+E335+E325+E315+E312+E294+E291+E289+E281+E276+E147+E159+E168+E177+E186+E197+E207+E220+E231+E240+E250+E261+E139+E129+E119+E108+E96+E85+E77+E64+E53+E42+E44+E46)</f>
        <v>26652397</v>
      </c>
      <c r="F703" s="421">
        <f>SUM(F698+F664+F663+F657+F649+F640+F633+F629+F624+F618+F603+F588+F586+F573+F571+F557+F554+F541+F531+F517+F501+F493+F485+F477+F469+F466+F458+F452+F444+F438+F428+F418+F410+F406+F377+F367+F358+F353+F335+F325+F315+F312+F294+F291+F289+F281+F276+F147+F159+F168+F177+F186+F197+F207+F220+F231+F240+F250+F261+F139+F129+F119+F108+F96+F85+F77+F64+F53+F46+F44+F42)</f>
        <v>9355464</v>
      </c>
      <c r="G703" s="421">
        <f>SUM(G698+G664+G663+G657+G649+G640+G633+G629+G624+G618+G603+G588+G586+G573+G571+G557+G554+G541+G531+G517+G501+G493+G485+G477+G469+G466+G458+G452+G444+G438+G428+G418+G410+G406+G377+G367+G358+G353+G335+G325+G315+G312+G294+G291+G289+G281+G276+G147+G159+G168+G177+G186+G197+G207+G220+G231+G240+G250+G261+G139+G129+G119+G108+G96+G85+G77+G64+G53+G46+G44+G42)</f>
        <v>441815</v>
      </c>
      <c r="H703" s="334">
        <f>H698+H664+H663+H657+H649+H640+H633+H629+H624+H618+H603+H588+H586+H573+H571+H557+H554+H541+H531+H517+H501+H493+H485+H477+H469+H466+H458+H452+H444+H438+H428+H418+H410+H406+H377+H367+H358+H353+H335+H325+H315+H312+H294+H291+H289+H281+H276+H261+H250+H240+H231+H220+H207+H197+H186+H177+H168+H159+H147+H139+H129+H119+H108+H96+H85+H77+H64+H53+H46+H44+H42+H700+H701+H702</f>
        <v>512966</v>
      </c>
      <c r="I703" s="334">
        <f>I698+I664+I663+I657+I649+I640+I633+I629+I624+I618+I603+I588+I586+I573+I571+I557+I554+I541+I531+I517+I501+I493+I485+I477+I469+I466+I458+I452+I444+I438+I428+I418+I410+I406+I377+I367+I358+I353+I335+I325+I315+I312+I294+I291+I289+I281+I276+I261+I250+I240+I231+I220+I207+I197+I186+I177+I168+I159+I147+I139+I129+I119+I108+I96+I85+I77+I64+I53+I46+I44+I42+I700</f>
        <v>1875121</v>
      </c>
      <c r="J703" s="334">
        <f>SUM(J700+J699+J698+J664+J663+J657+J649+J640+J633+J629+J624+J618+J603+J588+J586+J573+J571+J557+J554+J541+J531+J517+J501+J493+J485+J477+J469+J466+J458+J452+J444+J438+J428+J418+J410+J406+J377+J367+J358+J353+J335+J325+J315+J312+J294+J291+J289+J281+J276+J147+J159+J168+J177+J186+J197+J207+J220+J231+J240+J250+J261+J139+J129+J119+J108+J96+J85+J77+J64+J53+J46+J44+J42)</f>
        <v>286724</v>
      </c>
      <c r="K703" s="475">
        <f>SUM(K700+K699+K698+K664+K663+K657+K649+K640+K633+K629+K624+K618+K603+K588+K586+K573+K571+K557+K554+K541+K531+K517+K501+K493+K485+K477+K469+K466+K458+K452+K444+K438+K428+K418+K410+K406+K377+K367+K358+K353+K335+K325+K315+K312+K294+K291+K289+K281+K276+K147+K159+K168+K177+K186+K197+K207+K220+K231+K240+K250+K261+K139+K129+K119+K108+K96+K85+K77+K64+K53+K46+K44+K42)</f>
        <v>361157</v>
      </c>
      <c r="L703" s="335">
        <f>SUM(L700+L699+L698+L664+L663+L657+L649+L640+L633+L629+L624+L618+L603+L588+L586+L573+L571+L557+L554+L541+L531+L517+L501+L493+L485+L477+L469+L466+L458+L452+L444+L438+L428+L418+L410+L406+L377+L367+L358+L353+L335+L325+L315+L312+L294+L291+L289+L281+L276+L147+L159+L168+L177+L186+L197+L207+L220+L231+L240+L250+L261+L139+L129+L119+L108+L96+L85+L77+L64+L53+L46+L44+L42)</f>
        <v>1227240</v>
      </c>
    </row>
    <row r="704" spans="1:12" ht="15.75" customHeight="1" x14ac:dyDescent="0.25">
      <c r="E704" s="3"/>
      <c r="G704" s="159"/>
      <c r="H704" s="159"/>
      <c r="J704" s="159"/>
      <c r="K704" s="159"/>
      <c r="L704" s="159"/>
    </row>
    <row r="705" spans="1:12" ht="15.75" customHeight="1" x14ac:dyDescent="0.25">
      <c r="A705" s="477" t="s">
        <v>1135</v>
      </c>
      <c r="B705" s="477"/>
      <c r="C705" s="477"/>
      <c r="D705" s="477"/>
      <c r="E705" s="477"/>
      <c r="F705" s="477"/>
      <c r="G705" s="477"/>
      <c r="H705" s="477"/>
      <c r="I705" s="477"/>
      <c r="J705" s="477"/>
      <c r="K705" s="477"/>
      <c r="L705" s="477"/>
    </row>
  </sheetData>
  <mergeCells count="1">
    <mergeCell ref="A705:L705"/>
  </mergeCells>
  <pageMargins left="0.70866141732283472" right="0.70866141732283472" top="0.74803149606299213" bottom="0.74803149606299213" header="0" footer="0"/>
  <pageSetup paperSize="9" scale="73" fitToHeight="0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3"/>
  <sheetViews>
    <sheetView workbookViewId="0">
      <pane ySplit="2" topLeftCell="A3" activePane="bottomLeft" state="frozen"/>
      <selection pane="bottomLeft" activeCell="G16" sqref="G16"/>
    </sheetView>
  </sheetViews>
  <sheetFormatPr defaultRowHeight="14.25" x14ac:dyDescent="0.2"/>
  <cols>
    <col min="1" max="1" width="9" bestFit="1" customWidth="1"/>
    <col min="2" max="2" width="32.875" customWidth="1"/>
    <col min="3" max="3" width="11" bestFit="1" customWidth="1"/>
    <col min="4" max="4" width="11" customWidth="1"/>
    <col min="5" max="7" width="11" bestFit="1" customWidth="1"/>
    <col min="8" max="8" width="9" bestFit="1" customWidth="1"/>
    <col min="9" max="9" width="11" customWidth="1"/>
    <col min="10" max="10" width="10.25" bestFit="1" customWidth="1"/>
    <col min="11" max="11" width="11" bestFit="1" customWidth="1"/>
    <col min="12" max="12" width="12.75" customWidth="1"/>
    <col min="13" max="13" width="12.125" customWidth="1"/>
    <col min="14" max="14" width="11.5" bestFit="1" customWidth="1"/>
    <col min="15" max="15" width="11" bestFit="1" customWidth="1"/>
    <col min="16" max="16" width="10" bestFit="1" customWidth="1"/>
    <col min="17" max="17" width="9.75" bestFit="1" customWidth="1"/>
    <col min="18" max="18" width="12.125" bestFit="1" customWidth="1"/>
  </cols>
  <sheetData>
    <row r="2" spans="1:18" ht="60" x14ac:dyDescent="0.2">
      <c r="A2" s="375" t="s">
        <v>523</v>
      </c>
      <c r="B2" s="376" t="s">
        <v>185</v>
      </c>
      <c r="C2" s="377" t="s">
        <v>524</v>
      </c>
      <c r="D2" s="377" t="s">
        <v>525</v>
      </c>
      <c r="E2" s="368" t="s">
        <v>526</v>
      </c>
      <c r="F2" s="377" t="s">
        <v>527</v>
      </c>
      <c r="G2" s="377" t="s">
        <v>190</v>
      </c>
      <c r="H2" s="378" t="s">
        <v>191</v>
      </c>
      <c r="I2" s="378" t="s">
        <v>192</v>
      </c>
      <c r="J2" s="378" t="s">
        <v>194</v>
      </c>
      <c r="K2" s="369" t="s">
        <v>195</v>
      </c>
      <c r="L2" s="368" t="s">
        <v>196</v>
      </c>
      <c r="M2" s="370" t="s">
        <v>197</v>
      </c>
      <c r="N2" s="371" t="s">
        <v>198</v>
      </c>
      <c r="O2" s="369" t="s">
        <v>201</v>
      </c>
      <c r="P2" s="371" t="s">
        <v>202</v>
      </c>
      <c r="Q2" s="371" t="s">
        <v>203</v>
      </c>
      <c r="R2" s="374" t="s">
        <v>204</v>
      </c>
    </row>
    <row r="3" spans="1:18" x14ac:dyDescent="0.2">
      <c r="A3" s="379" t="s">
        <v>528</v>
      </c>
      <c r="B3" s="365" t="s">
        <v>529</v>
      </c>
      <c r="C3" s="365"/>
      <c r="D3" s="365"/>
      <c r="E3" s="365"/>
      <c r="F3" s="365"/>
      <c r="G3" s="365"/>
      <c r="H3" s="365"/>
      <c r="I3" s="365"/>
      <c r="J3" s="365"/>
      <c r="K3" s="365"/>
      <c r="L3" s="365"/>
      <c r="M3" s="365"/>
      <c r="N3" s="365"/>
      <c r="O3" s="365"/>
      <c r="P3" s="365"/>
      <c r="Q3" s="365"/>
      <c r="R3" s="365"/>
    </row>
    <row r="4" spans="1:18" x14ac:dyDescent="0.2">
      <c r="E4">
        <f>Table6[[#This Row],[Atlīdzība bāze 2025]]-Table6[[#This Row],[Tai skaitā atlīdzība 2024]]</f>
        <v>0</v>
      </c>
      <c r="I4" s="360">
        <f>SUM(Table6[[#This Row],[Atlīdzība bāze 2025]:[PL bāze]])</f>
        <v>0</v>
      </c>
      <c r="O4" s="360"/>
    </row>
    <row r="5" spans="1:18" x14ac:dyDescent="0.2">
      <c r="E5">
        <f>Table6[[#This Row],[Atlīdzība bāze 2025]]-Table6[[#This Row],[Tai skaitā atlīdzība 2024]]</f>
        <v>0</v>
      </c>
      <c r="I5" s="360">
        <f>SUM(Table6[[#This Row],[Atlīdzība bāze 2025]:[PL bāze]])</f>
        <v>0</v>
      </c>
      <c r="O5" s="360"/>
    </row>
    <row r="6" spans="1:18" x14ac:dyDescent="0.2">
      <c r="E6">
        <f>Table6[[#This Row],[Atlīdzība bāze 2025]]-Table6[[#This Row],[Tai skaitā atlīdzība 2024]]</f>
        <v>0</v>
      </c>
      <c r="I6" s="360">
        <f>SUM(Table6[[#This Row],[Atlīdzība bāze 2025]:[PL bāze]])</f>
        <v>0</v>
      </c>
      <c r="O6" s="360"/>
    </row>
    <row r="7" spans="1:18" x14ac:dyDescent="0.2">
      <c r="E7">
        <f>Table6[[#This Row],[Atlīdzība bāze 2025]]-Table6[[#This Row],[Tai skaitā atlīdzība 2024]]</f>
        <v>0</v>
      </c>
      <c r="I7" s="360">
        <f>SUM(Table6[[#This Row],[Atlīdzība bāze 2025]:[PL bāze]])</f>
        <v>0</v>
      </c>
      <c r="O7" s="360"/>
    </row>
    <row r="8" spans="1:18" x14ac:dyDescent="0.2">
      <c r="E8">
        <f>Table6[[#This Row],[Atlīdzība bāze 2025]]-Table6[[#This Row],[Tai skaitā atlīdzība 2024]]</f>
        <v>0</v>
      </c>
      <c r="I8" s="360">
        <f>SUM(Table6[[#This Row],[Atlīdzība bāze 2025]:[PL bāze]])</f>
        <v>0</v>
      </c>
      <c r="O8" s="360"/>
    </row>
    <row r="9" spans="1:18" x14ac:dyDescent="0.2">
      <c r="E9">
        <f>Table6[[#This Row],[Atlīdzība bāze 2025]]-Table6[[#This Row],[Tai skaitā atlīdzība 2024]]</f>
        <v>0</v>
      </c>
      <c r="I9" s="360">
        <f>SUM(Table6[[#This Row],[Atlīdzība bāze 2025]:[PL bāze]])</f>
        <v>0</v>
      </c>
      <c r="O9" s="360"/>
    </row>
    <row r="10" spans="1:18" x14ac:dyDescent="0.2">
      <c r="E10">
        <f>Table6[[#This Row],[Atlīdzība bāze 2025]]-Table6[[#This Row],[Tai skaitā atlīdzība 2024]]</f>
        <v>0</v>
      </c>
      <c r="I10" s="360">
        <f>SUM(Table6[[#This Row],[Atlīdzība bāze 2025]:[PL bāze]])</f>
        <v>0</v>
      </c>
      <c r="O10" s="360"/>
    </row>
    <row r="11" spans="1:18" x14ac:dyDescent="0.2">
      <c r="E11">
        <f>Table6[[#This Row],[Atlīdzība bāze 2025]]-Table6[[#This Row],[Tai skaitā atlīdzība 2024]]</f>
        <v>0</v>
      </c>
      <c r="I11" s="360">
        <f>SUM(Table6[[#This Row],[Atlīdzība bāze 2025]:[PL bāze]])</f>
        <v>0</v>
      </c>
      <c r="O11" s="360"/>
    </row>
    <row r="12" spans="1:18" x14ac:dyDescent="0.2">
      <c r="E12">
        <f>Table6[[#This Row],[Atlīdzība bāze 2025]]-Table6[[#This Row],[Tai skaitā atlīdzība 2024]]</f>
        <v>0</v>
      </c>
      <c r="I12" s="360">
        <f>SUM(Table6[[#This Row],[Atlīdzība bāze 2025]:[PL bāze]])</f>
        <v>0</v>
      </c>
      <c r="O12" s="360"/>
    </row>
    <row r="13" spans="1:18" x14ac:dyDescent="0.2">
      <c r="E13">
        <f>Table6[[#This Row],[Atlīdzība bāze 2025]]-Table6[[#This Row],[Tai skaitā atlīdzība 2024]]</f>
        <v>0</v>
      </c>
      <c r="I13" s="360">
        <f>SUM(Table6[[#This Row],[Atlīdzība bāze 2025]:[PL bāze]])</f>
        <v>0</v>
      </c>
      <c r="O13" s="360"/>
    </row>
    <row r="14" spans="1:18" x14ac:dyDescent="0.2">
      <c r="E14">
        <f>Table6[[#This Row],[Atlīdzība bāze 2025]]-Table6[[#This Row],[Tai skaitā atlīdzība 2024]]</f>
        <v>0</v>
      </c>
      <c r="I14" s="360">
        <f>SUM(Table6[[#This Row],[Atlīdzība bāze 2025]:[PL bāze]])</f>
        <v>0</v>
      </c>
      <c r="O14" s="360"/>
    </row>
    <row r="15" spans="1:18" ht="15" x14ac:dyDescent="0.25">
      <c r="A15" s="366"/>
      <c r="B15" s="367" t="s">
        <v>530</v>
      </c>
      <c r="C15" s="366">
        <f t="shared" ref="C15:H15" si="0">SUM(C4:C14)</f>
        <v>0</v>
      </c>
      <c r="D15" s="366">
        <f t="shared" si="0"/>
        <v>0</v>
      </c>
      <c r="E15" s="366">
        <f t="shared" si="0"/>
        <v>0</v>
      </c>
      <c r="F15" s="366">
        <f t="shared" si="0"/>
        <v>0</v>
      </c>
      <c r="G15" s="366">
        <f t="shared" si="0"/>
        <v>0</v>
      </c>
      <c r="H15" s="366">
        <f t="shared" si="0"/>
        <v>0</v>
      </c>
      <c r="I15" s="366">
        <f>SUM(Table6[[#This Row],[Atlīdzība bāze 2025]:[PL bāze]])</f>
        <v>0</v>
      </c>
      <c r="J15" s="366"/>
      <c r="K15" s="366"/>
      <c r="L15" s="366"/>
      <c r="M15" s="366"/>
      <c r="N15" s="366"/>
      <c r="O15" s="366"/>
      <c r="P15" s="366"/>
      <c r="Q15" s="366"/>
      <c r="R15" s="372"/>
    </row>
    <row r="16" spans="1:18" x14ac:dyDescent="0.2">
      <c r="A16" s="364">
        <v>3</v>
      </c>
      <c r="B16" s="365" t="s">
        <v>531</v>
      </c>
      <c r="C16" s="365"/>
      <c r="D16" s="365"/>
      <c r="E16" s="365"/>
      <c r="F16" s="365"/>
      <c r="G16" s="365"/>
      <c r="H16" s="365"/>
      <c r="I16" s="365"/>
      <c r="J16" s="365"/>
      <c r="K16" s="365"/>
      <c r="L16" s="365"/>
      <c r="M16" s="365"/>
      <c r="N16" s="365"/>
      <c r="O16" s="365"/>
      <c r="P16" s="365"/>
      <c r="Q16" s="365"/>
      <c r="R16" s="365"/>
    </row>
    <row r="17" spans="1:18" x14ac:dyDescent="0.2">
      <c r="I17" s="360"/>
      <c r="O17" s="360"/>
    </row>
    <row r="18" spans="1:18" x14ac:dyDescent="0.2">
      <c r="I18" s="360"/>
      <c r="O18" s="360"/>
    </row>
    <row r="19" spans="1:18" x14ac:dyDescent="0.2">
      <c r="I19" s="360"/>
      <c r="O19" s="360"/>
    </row>
    <row r="20" spans="1:18" x14ac:dyDescent="0.2">
      <c r="I20" s="360"/>
      <c r="O20" s="360"/>
    </row>
    <row r="21" spans="1:18" x14ac:dyDescent="0.2">
      <c r="I21" s="360"/>
      <c r="O21" s="360"/>
    </row>
    <row r="22" spans="1:18" x14ac:dyDescent="0.2">
      <c r="I22" s="360"/>
      <c r="O22" s="360"/>
    </row>
    <row r="23" spans="1:18" x14ac:dyDescent="0.2">
      <c r="I23" s="360"/>
      <c r="O23" s="360"/>
    </row>
    <row r="24" spans="1:18" x14ac:dyDescent="0.2">
      <c r="I24" s="360"/>
      <c r="O24" s="360"/>
    </row>
    <row r="25" spans="1:18" x14ac:dyDescent="0.2">
      <c r="I25" s="360"/>
      <c r="O25" s="360"/>
    </row>
    <row r="26" spans="1:18" x14ac:dyDescent="0.2">
      <c r="I26" s="360"/>
      <c r="O26" s="360"/>
    </row>
    <row r="27" spans="1:18" x14ac:dyDescent="0.2">
      <c r="I27" s="360"/>
      <c r="O27" s="360"/>
    </row>
    <row r="28" spans="1:18" x14ac:dyDescent="0.2">
      <c r="I28" s="360"/>
      <c r="O28" s="360"/>
    </row>
    <row r="29" spans="1:18" x14ac:dyDescent="0.2">
      <c r="I29" s="360"/>
      <c r="O29" s="360"/>
    </row>
    <row r="30" spans="1:18" x14ac:dyDescent="0.2">
      <c r="I30" s="360"/>
      <c r="O30" s="360"/>
    </row>
    <row r="31" spans="1:18" x14ac:dyDescent="0.2">
      <c r="I31" s="360"/>
      <c r="O31" s="360"/>
    </row>
    <row r="32" spans="1:18" x14ac:dyDescent="0.2">
      <c r="A32" s="362">
        <v>4</v>
      </c>
      <c r="B32" s="363" t="s">
        <v>58</v>
      </c>
      <c r="C32" s="363"/>
      <c r="D32" s="363"/>
      <c r="E32" s="363"/>
      <c r="F32" s="363"/>
      <c r="G32" s="363"/>
      <c r="H32" s="363"/>
      <c r="I32" s="363"/>
      <c r="J32" s="363"/>
      <c r="K32" s="363"/>
      <c r="L32" s="363"/>
      <c r="M32" s="363"/>
      <c r="N32" s="363"/>
      <c r="O32" s="363"/>
      <c r="P32" s="363"/>
      <c r="Q32" s="363"/>
      <c r="R32" s="373"/>
    </row>
    <row r="33" spans="1:18" x14ac:dyDescent="0.2">
      <c r="I33" s="360"/>
      <c r="O33" s="360"/>
    </row>
    <row r="34" spans="1:18" x14ac:dyDescent="0.2">
      <c r="I34" s="360"/>
      <c r="O34" s="360"/>
    </row>
    <row r="35" spans="1:18" x14ac:dyDescent="0.2">
      <c r="I35" s="360"/>
      <c r="O35" s="360"/>
    </row>
    <row r="36" spans="1:18" x14ac:dyDescent="0.2">
      <c r="I36" s="360"/>
      <c r="O36" s="360"/>
    </row>
    <row r="37" spans="1:18" x14ac:dyDescent="0.2">
      <c r="I37" s="360"/>
      <c r="O37" s="360"/>
    </row>
    <row r="38" spans="1:18" x14ac:dyDescent="0.2">
      <c r="I38" s="360"/>
      <c r="O38" s="360"/>
    </row>
    <row r="39" spans="1:18" x14ac:dyDescent="0.2">
      <c r="I39" s="360"/>
      <c r="O39" s="360"/>
    </row>
    <row r="40" spans="1:18" x14ac:dyDescent="0.2">
      <c r="I40" s="360"/>
      <c r="O40" s="360"/>
    </row>
    <row r="41" spans="1:18" x14ac:dyDescent="0.2">
      <c r="I41" s="360"/>
      <c r="O41" s="360"/>
    </row>
    <row r="42" spans="1:18" x14ac:dyDescent="0.2">
      <c r="I42" s="360"/>
      <c r="O42" s="360"/>
    </row>
    <row r="43" spans="1:18" x14ac:dyDescent="0.2">
      <c r="I43" s="360"/>
      <c r="O43" s="360"/>
    </row>
    <row r="44" spans="1:18" x14ac:dyDescent="0.2">
      <c r="I44" s="360"/>
      <c r="O44" s="360"/>
    </row>
    <row r="45" spans="1:18" x14ac:dyDescent="0.2">
      <c r="I45" s="360"/>
      <c r="O45" s="360"/>
    </row>
    <row r="46" spans="1:18" x14ac:dyDescent="0.2">
      <c r="I46" s="360"/>
      <c r="O46" s="360"/>
    </row>
    <row r="47" spans="1:18" x14ac:dyDescent="0.2">
      <c r="I47" s="360"/>
      <c r="O47" s="360"/>
    </row>
    <row r="48" spans="1:18" x14ac:dyDescent="0.2">
      <c r="A48" s="362">
        <v>5</v>
      </c>
      <c r="B48" s="363" t="s">
        <v>532</v>
      </c>
      <c r="C48" s="363"/>
      <c r="D48" s="363"/>
      <c r="E48" s="363"/>
      <c r="F48" s="363"/>
      <c r="G48" s="363"/>
      <c r="H48" s="363"/>
      <c r="I48" s="363"/>
      <c r="J48" s="363"/>
      <c r="K48" s="363"/>
      <c r="L48" s="363"/>
      <c r="M48" s="363"/>
      <c r="N48" s="363"/>
      <c r="O48" s="363"/>
      <c r="P48" s="363"/>
      <c r="Q48" s="363"/>
      <c r="R48" s="373"/>
    </row>
    <row r="49" spans="9:15" x14ac:dyDescent="0.2">
      <c r="I49" s="360"/>
      <c r="O49" s="360"/>
    </row>
    <row r="50" spans="9:15" x14ac:dyDescent="0.2">
      <c r="I50" s="360"/>
      <c r="O50" s="360"/>
    </row>
    <row r="51" spans="9:15" x14ac:dyDescent="0.2">
      <c r="I51" s="360"/>
      <c r="O51" s="360"/>
    </row>
    <row r="52" spans="9:15" x14ac:dyDescent="0.2">
      <c r="I52" s="360"/>
      <c r="O52" s="360"/>
    </row>
    <row r="53" spans="9:15" x14ac:dyDescent="0.2">
      <c r="I53" s="360"/>
      <c r="O53" s="360"/>
    </row>
    <row r="54" spans="9:15" x14ac:dyDescent="0.2">
      <c r="I54" s="360"/>
      <c r="O54" s="360"/>
    </row>
    <row r="55" spans="9:15" x14ac:dyDescent="0.2">
      <c r="I55" s="360"/>
      <c r="O55" s="360"/>
    </row>
    <row r="56" spans="9:15" x14ac:dyDescent="0.2">
      <c r="I56" s="360"/>
      <c r="O56" s="360"/>
    </row>
    <row r="57" spans="9:15" x14ac:dyDescent="0.2">
      <c r="I57" s="360"/>
      <c r="O57" s="360"/>
    </row>
    <row r="58" spans="9:15" x14ac:dyDescent="0.2">
      <c r="I58" s="360"/>
      <c r="O58" s="360"/>
    </row>
    <row r="59" spans="9:15" x14ac:dyDescent="0.2">
      <c r="I59" s="360"/>
      <c r="O59" s="360"/>
    </row>
    <row r="60" spans="9:15" x14ac:dyDescent="0.2">
      <c r="I60" s="360"/>
      <c r="O60" s="360"/>
    </row>
    <row r="61" spans="9:15" x14ac:dyDescent="0.2">
      <c r="I61" s="360"/>
      <c r="O61" s="360"/>
    </row>
    <row r="62" spans="9:15" x14ac:dyDescent="0.2">
      <c r="I62" s="360"/>
      <c r="O62" s="360"/>
    </row>
    <row r="63" spans="9:15" x14ac:dyDescent="0.2">
      <c r="I63" s="360"/>
      <c r="O63" s="360"/>
    </row>
    <row r="64" spans="9:15" x14ac:dyDescent="0.2">
      <c r="I64" s="360"/>
      <c r="O64" s="360"/>
    </row>
    <row r="65" spans="1:18" x14ac:dyDescent="0.2">
      <c r="A65" s="362">
        <v>6</v>
      </c>
      <c r="B65" s="363" t="s">
        <v>533</v>
      </c>
      <c r="C65" s="363"/>
      <c r="D65" s="363"/>
      <c r="E65" s="363"/>
      <c r="F65" s="363"/>
      <c r="G65" s="363"/>
      <c r="H65" s="363"/>
      <c r="I65" s="363"/>
      <c r="J65" s="363"/>
      <c r="K65" s="363"/>
      <c r="L65" s="363"/>
      <c r="M65" s="363"/>
      <c r="N65" s="363"/>
      <c r="O65" s="363"/>
      <c r="P65" s="363"/>
      <c r="Q65" s="363"/>
      <c r="R65" s="373"/>
    </row>
    <row r="66" spans="1:18" x14ac:dyDescent="0.2">
      <c r="I66" s="360"/>
      <c r="O66" s="360"/>
    </row>
    <row r="67" spans="1:18" x14ac:dyDescent="0.2">
      <c r="I67" s="360"/>
      <c r="O67" s="360"/>
    </row>
    <row r="68" spans="1:18" x14ac:dyDescent="0.2">
      <c r="I68" s="360"/>
      <c r="O68" s="360"/>
    </row>
    <row r="69" spans="1:18" x14ac:dyDescent="0.2">
      <c r="I69" s="360"/>
      <c r="O69" s="360"/>
    </row>
    <row r="70" spans="1:18" x14ac:dyDescent="0.2">
      <c r="I70" s="360"/>
      <c r="O70" s="360"/>
    </row>
    <row r="71" spans="1:18" x14ac:dyDescent="0.2">
      <c r="I71" s="360"/>
      <c r="O71" s="360"/>
    </row>
    <row r="72" spans="1:18" x14ac:dyDescent="0.2">
      <c r="I72" s="360"/>
      <c r="O72" s="360"/>
    </row>
    <row r="73" spans="1:18" x14ac:dyDescent="0.2">
      <c r="I73" s="360"/>
      <c r="O73" s="360"/>
    </row>
    <row r="74" spans="1:18" x14ac:dyDescent="0.2">
      <c r="I74" s="360"/>
      <c r="O74" s="360"/>
    </row>
    <row r="75" spans="1:18" x14ac:dyDescent="0.2">
      <c r="I75" s="360"/>
      <c r="O75" s="360"/>
    </row>
    <row r="76" spans="1:18" x14ac:dyDescent="0.2">
      <c r="I76" s="360"/>
      <c r="O76" s="360"/>
    </row>
    <row r="77" spans="1:18" x14ac:dyDescent="0.2">
      <c r="I77" s="360"/>
      <c r="O77" s="360"/>
    </row>
    <row r="78" spans="1:18" x14ac:dyDescent="0.2">
      <c r="I78" s="360"/>
      <c r="O78" s="360"/>
    </row>
    <row r="79" spans="1:18" x14ac:dyDescent="0.2">
      <c r="I79" s="360"/>
      <c r="O79" s="360"/>
    </row>
    <row r="80" spans="1:18" x14ac:dyDescent="0.2">
      <c r="I80" s="360"/>
      <c r="O80" s="360"/>
    </row>
    <row r="81" spans="1:18" x14ac:dyDescent="0.2">
      <c r="I81" s="360"/>
      <c r="O81" s="360"/>
    </row>
    <row r="82" spans="1:18" x14ac:dyDescent="0.2">
      <c r="A82" s="362">
        <v>7</v>
      </c>
      <c r="B82" s="363" t="s">
        <v>534</v>
      </c>
      <c r="C82" s="363"/>
      <c r="D82" s="363"/>
      <c r="E82" s="363"/>
      <c r="F82" s="363"/>
      <c r="G82" s="363"/>
      <c r="H82" s="363"/>
      <c r="I82" s="363"/>
      <c r="J82" s="363"/>
      <c r="K82" s="363"/>
      <c r="L82" s="363"/>
      <c r="M82" s="363"/>
      <c r="N82" s="363"/>
      <c r="O82" s="363"/>
      <c r="P82" s="363"/>
      <c r="Q82" s="363"/>
      <c r="R82" s="373"/>
    </row>
    <row r="83" spans="1:18" x14ac:dyDescent="0.2">
      <c r="I83" s="360"/>
      <c r="O83" s="360"/>
    </row>
    <row r="84" spans="1:18" x14ac:dyDescent="0.2">
      <c r="I84" s="360"/>
      <c r="O84" s="360"/>
    </row>
    <row r="85" spans="1:18" x14ac:dyDescent="0.2">
      <c r="I85" s="360"/>
      <c r="O85" s="360"/>
    </row>
    <row r="86" spans="1:18" x14ac:dyDescent="0.2">
      <c r="I86" s="360"/>
      <c r="O86" s="360"/>
    </row>
    <row r="87" spans="1:18" x14ac:dyDescent="0.2">
      <c r="I87" s="360"/>
      <c r="O87" s="360"/>
    </row>
    <row r="88" spans="1:18" x14ac:dyDescent="0.2">
      <c r="I88" s="360"/>
      <c r="O88" s="360"/>
    </row>
    <row r="89" spans="1:18" x14ac:dyDescent="0.2">
      <c r="I89" s="360"/>
      <c r="O89" s="360"/>
    </row>
    <row r="90" spans="1:18" x14ac:dyDescent="0.2">
      <c r="I90" s="360"/>
      <c r="O90" s="360"/>
    </row>
    <row r="91" spans="1:18" x14ac:dyDescent="0.2">
      <c r="I91" s="360"/>
      <c r="O91" s="360"/>
    </row>
    <row r="92" spans="1:18" x14ac:dyDescent="0.2">
      <c r="I92" s="360"/>
      <c r="O92" s="360"/>
    </row>
    <row r="93" spans="1:18" x14ac:dyDescent="0.2">
      <c r="I93" s="360"/>
      <c r="O93" s="360"/>
    </row>
    <row r="94" spans="1:18" x14ac:dyDescent="0.2">
      <c r="I94" s="360"/>
      <c r="O94" s="360"/>
    </row>
    <row r="95" spans="1:18" x14ac:dyDescent="0.2">
      <c r="I95" s="360"/>
      <c r="O95" s="360"/>
    </row>
    <row r="96" spans="1:18" x14ac:dyDescent="0.2">
      <c r="I96" s="360"/>
      <c r="O96" s="360"/>
    </row>
    <row r="97" spans="1:18" x14ac:dyDescent="0.2">
      <c r="I97" s="360"/>
      <c r="O97" s="360"/>
    </row>
    <row r="98" spans="1:18" x14ac:dyDescent="0.2">
      <c r="I98" s="360"/>
      <c r="O98" s="360"/>
    </row>
    <row r="99" spans="1:18" x14ac:dyDescent="0.2">
      <c r="A99" s="362">
        <v>8</v>
      </c>
      <c r="B99" s="363" t="s">
        <v>535</v>
      </c>
      <c r="C99" s="363"/>
      <c r="D99" s="363"/>
      <c r="E99" s="363"/>
      <c r="F99" s="363"/>
      <c r="G99" s="363"/>
      <c r="H99" s="363"/>
      <c r="I99" s="363"/>
      <c r="J99" s="363"/>
      <c r="K99" s="363"/>
      <c r="L99" s="363"/>
      <c r="M99" s="363"/>
      <c r="N99" s="363"/>
      <c r="O99" s="363"/>
      <c r="P99" s="363"/>
      <c r="Q99" s="363"/>
      <c r="R99" s="373"/>
    </row>
    <row r="100" spans="1:18" x14ac:dyDescent="0.2">
      <c r="I100" s="360"/>
      <c r="O100" s="360"/>
    </row>
    <row r="101" spans="1:18" x14ac:dyDescent="0.2">
      <c r="I101" s="360"/>
      <c r="O101" s="360"/>
    </row>
    <row r="102" spans="1:18" x14ac:dyDescent="0.2">
      <c r="I102" s="360"/>
      <c r="O102" s="360"/>
    </row>
    <row r="103" spans="1:18" x14ac:dyDescent="0.2">
      <c r="I103" s="360"/>
      <c r="O103" s="360"/>
    </row>
    <row r="104" spans="1:18" x14ac:dyDescent="0.2">
      <c r="I104" s="360"/>
      <c r="O104" s="360"/>
    </row>
    <row r="105" spans="1:18" x14ac:dyDescent="0.2">
      <c r="I105" s="360"/>
      <c r="O105" s="360"/>
    </row>
    <row r="106" spans="1:18" x14ac:dyDescent="0.2">
      <c r="I106" s="360"/>
      <c r="O106" s="360"/>
    </row>
    <row r="107" spans="1:18" x14ac:dyDescent="0.2">
      <c r="I107" s="360"/>
      <c r="O107" s="360"/>
    </row>
    <row r="108" spans="1:18" x14ac:dyDescent="0.2">
      <c r="I108" s="360"/>
      <c r="O108" s="360"/>
    </row>
    <row r="109" spans="1:18" x14ac:dyDescent="0.2">
      <c r="I109" s="360"/>
      <c r="O109" s="360"/>
    </row>
    <row r="110" spans="1:18" x14ac:dyDescent="0.2">
      <c r="I110" s="360"/>
      <c r="O110" s="360"/>
    </row>
    <row r="111" spans="1:18" x14ac:dyDescent="0.2">
      <c r="I111" s="360"/>
      <c r="O111" s="360"/>
    </row>
    <row r="115" spans="1:18" x14ac:dyDescent="0.2">
      <c r="A115" s="362">
        <v>9</v>
      </c>
      <c r="B115" s="363" t="s">
        <v>399</v>
      </c>
      <c r="C115" s="363"/>
      <c r="D115" s="363"/>
      <c r="E115" s="363"/>
      <c r="F115" s="363"/>
      <c r="G115" s="363"/>
      <c r="H115" s="363"/>
      <c r="I115" s="363"/>
      <c r="J115" s="363"/>
      <c r="K115" s="363"/>
      <c r="L115" s="363"/>
      <c r="M115" s="363"/>
      <c r="N115" s="363"/>
      <c r="O115" s="363"/>
      <c r="P115" s="363"/>
      <c r="Q115" s="363"/>
      <c r="R115" s="373"/>
    </row>
    <row r="132" spans="1:18" x14ac:dyDescent="0.2">
      <c r="A132" s="362">
        <v>10</v>
      </c>
      <c r="B132" s="363" t="s">
        <v>536</v>
      </c>
      <c r="C132" s="363"/>
      <c r="D132" s="363"/>
      <c r="E132" s="363"/>
      <c r="F132" s="363"/>
      <c r="G132" s="363"/>
      <c r="H132" s="363"/>
      <c r="I132" s="363"/>
      <c r="J132" s="363"/>
      <c r="K132" s="363"/>
      <c r="L132" s="363"/>
      <c r="M132" s="363"/>
      <c r="N132" s="363"/>
      <c r="O132" s="363"/>
      <c r="P132" s="363"/>
      <c r="Q132" s="363"/>
      <c r="R132" s="373"/>
    </row>
    <row r="134" spans="1:18" x14ac:dyDescent="0.2">
      <c r="R134" s="361"/>
    </row>
    <row r="135" spans="1:18" x14ac:dyDescent="0.2">
      <c r="R135" s="361"/>
    </row>
    <row r="136" spans="1:18" x14ac:dyDescent="0.2">
      <c r="R136" s="361"/>
    </row>
    <row r="137" spans="1:18" x14ac:dyDescent="0.2">
      <c r="R137" s="361"/>
    </row>
    <row r="138" spans="1:18" x14ac:dyDescent="0.2">
      <c r="R138" s="361"/>
    </row>
    <row r="139" spans="1:18" x14ac:dyDescent="0.2">
      <c r="R139" s="361"/>
    </row>
    <row r="140" spans="1:18" x14ac:dyDescent="0.2">
      <c r="R140" s="361"/>
    </row>
    <row r="141" spans="1:18" x14ac:dyDescent="0.2">
      <c r="R141" s="361"/>
    </row>
    <row r="142" spans="1:18" x14ac:dyDescent="0.2">
      <c r="R142" s="361"/>
    </row>
    <row r="143" spans="1:18" x14ac:dyDescent="0.2">
      <c r="R143" s="361"/>
    </row>
    <row r="144" spans="1:18" x14ac:dyDescent="0.2">
      <c r="R144" s="361"/>
    </row>
    <row r="145" spans="18:18" x14ac:dyDescent="0.2">
      <c r="R145" s="361"/>
    </row>
    <row r="146" spans="18:18" x14ac:dyDescent="0.2">
      <c r="R146" s="361"/>
    </row>
    <row r="147" spans="18:18" x14ac:dyDescent="0.2">
      <c r="R147" s="361"/>
    </row>
    <row r="148" spans="18:18" x14ac:dyDescent="0.2">
      <c r="R148" s="361"/>
    </row>
    <row r="149" spans="18:18" x14ac:dyDescent="0.2">
      <c r="R149" s="361"/>
    </row>
    <row r="150" spans="18:18" x14ac:dyDescent="0.2">
      <c r="R150" s="361"/>
    </row>
    <row r="151" spans="18:18" x14ac:dyDescent="0.2">
      <c r="R151" s="361"/>
    </row>
    <row r="152" spans="18:18" x14ac:dyDescent="0.2">
      <c r="R152" s="361"/>
    </row>
    <row r="153" spans="18:18" x14ac:dyDescent="0.2">
      <c r="R153" s="361"/>
    </row>
    <row r="154" spans="18:18" x14ac:dyDescent="0.2">
      <c r="R154" s="361"/>
    </row>
    <row r="155" spans="18:18" x14ac:dyDescent="0.2">
      <c r="R155" s="361"/>
    </row>
    <row r="156" spans="18:18" x14ac:dyDescent="0.2">
      <c r="R156" s="361"/>
    </row>
    <row r="157" spans="18:18" x14ac:dyDescent="0.2">
      <c r="R157" s="361"/>
    </row>
    <row r="158" spans="18:18" x14ac:dyDescent="0.2">
      <c r="R158" s="361"/>
    </row>
    <row r="159" spans="18:18" x14ac:dyDescent="0.2">
      <c r="R159" s="361"/>
    </row>
    <row r="160" spans="18:18" x14ac:dyDescent="0.2">
      <c r="R160" s="361"/>
    </row>
    <row r="161" spans="18:18" x14ac:dyDescent="0.2">
      <c r="R161" s="361"/>
    </row>
    <row r="162" spans="18:18" x14ac:dyDescent="0.2">
      <c r="R162" s="361"/>
    </row>
    <row r="163" spans="18:18" x14ac:dyDescent="0.2">
      <c r="R163" s="361"/>
    </row>
    <row r="164" spans="18:18" x14ac:dyDescent="0.2">
      <c r="R164" s="361"/>
    </row>
    <row r="165" spans="18:18" x14ac:dyDescent="0.2">
      <c r="R165" s="361"/>
    </row>
    <row r="166" spans="18:18" x14ac:dyDescent="0.2">
      <c r="R166" s="361"/>
    </row>
    <row r="167" spans="18:18" x14ac:dyDescent="0.2">
      <c r="R167" s="361"/>
    </row>
    <row r="168" spans="18:18" x14ac:dyDescent="0.2">
      <c r="R168" s="361"/>
    </row>
    <row r="169" spans="18:18" x14ac:dyDescent="0.2">
      <c r="R169" s="361"/>
    </row>
    <row r="170" spans="18:18" x14ac:dyDescent="0.2">
      <c r="R170" s="361"/>
    </row>
    <row r="171" spans="18:18" x14ac:dyDescent="0.2">
      <c r="R171" s="361"/>
    </row>
    <row r="172" spans="18:18" x14ac:dyDescent="0.2">
      <c r="R172" s="361"/>
    </row>
    <row r="173" spans="18:18" x14ac:dyDescent="0.2">
      <c r="R173" s="361"/>
    </row>
    <row r="174" spans="18:18" x14ac:dyDescent="0.2">
      <c r="R174" s="361"/>
    </row>
    <row r="175" spans="18:18" x14ac:dyDescent="0.2">
      <c r="R175" s="361"/>
    </row>
    <row r="176" spans="18:18" x14ac:dyDescent="0.2">
      <c r="R176" s="361"/>
    </row>
    <row r="177" spans="18:18" x14ac:dyDescent="0.2">
      <c r="R177" s="361"/>
    </row>
    <row r="178" spans="18:18" x14ac:dyDescent="0.2">
      <c r="R178" s="361"/>
    </row>
    <row r="179" spans="18:18" x14ac:dyDescent="0.2">
      <c r="R179" s="361"/>
    </row>
    <row r="180" spans="18:18" x14ac:dyDescent="0.2">
      <c r="R180" s="361"/>
    </row>
    <row r="181" spans="18:18" x14ac:dyDescent="0.2">
      <c r="R181" s="361"/>
    </row>
    <row r="182" spans="18:18" x14ac:dyDescent="0.2">
      <c r="R182" s="361"/>
    </row>
    <row r="183" spans="18:18" x14ac:dyDescent="0.2">
      <c r="R183" s="361"/>
    </row>
    <row r="184" spans="18:18" x14ac:dyDescent="0.2">
      <c r="R184" s="361"/>
    </row>
    <row r="185" spans="18:18" x14ac:dyDescent="0.2">
      <c r="R185" s="361"/>
    </row>
    <row r="186" spans="18:18" x14ac:dyDescent="0.2">
      <c r="R186" s="361"/>
    </row>
    <row r="187" spans="18:18" x14ac:dyDescent="0.2">
      <c r="R187" s="361"/>
    </row>
    <row r="188" spans="18:18" x14ac:dyDescent="0.2">
      <c r="R188" s="361"/>
    </row>
    <row r="189" spans="18:18" x14ac:dyDescent="0.2">
      <c r="R189" s="361"/>
    </row>
    <row r="190" spans="18:18" x14ac:dyDescent="0.2">
      <c r="R190" s="361"/>
    </row>
    <row r="191" spans="18:18" x14ac:dyDescent="0.2">
      <c r="R191" s="361"/>
    </row>
    <row r="192" spans="18:18" x14ac:dyDescent="0.2">
      <c r="R192" s="361"/>
    </row>
    <row r="193" spans="18:18" x14ac:dyDescent="0.2">
      <c r="R193" s="361"/>
    </row>
    <row r="194" spans="18:18" x14ac:dyDescent="0.2">
      <c r="R194" s="361"/>
    </row>
    <row r="195" spans="18:18" x14ac:dyDescent="0.2">
      <c r="R195" s="361"/>
    </row>
    <row r="196" spans="18:18" x14ac:dyDescent="0.2">
      <c r="R196" s="361"/>
    </row>
    <row r="197" spans="18:18" x14ac:dyDescent="0.2">
      <c r="R197" s="361"/>
    </row>
    <row r="198" spans="18:18" x14ac:dyDescent="0.2">
      <c r="R198" s="361"/>
    </row>
    <row r="199" spans="18:18" x14ac:dyDescent="0.2">
      <c r="R199" s="361"/>
    </row>
    <row r="200" spans="18:18" x14ac:dyDescent="0.2">
      <c r="R200" s="361"/>
    </row>
    <row r="201" spans="18:18" x14ac:dyDescent="0.2">
      <c r="R201" s="361"/>
    </row>
    <row r="202" spans="18:18" x14ac:dyDescent="0.2">
      <c r="R202" s="361"/>
    </row>
    <row r="203" spans="18:18" x14ac:dyDescent="0.2">
      <c r="R203" s="361"/>
    </row>
  </sheetData>
  <pageMargins left="0.7" right="0.7" top="0.75" bottom="0.75" header="0.3" footer="0.3"/>
  <pageSetup orientation="portrait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F1448"/>
  <sheetViews>
    <sheetView showZeros="0" topLeftCell="C15" zoomScale="80" zoomScaleNormal="80" workbookViewId="0">
      <pane xSplit="5" ySplit="1" topLeftCell="I354" activePane="bottomRight" state="frozen"/>
      <selection activeCell="C15" sqref="C15"/>
      <selection pane="topRight"/>
      <selection pane="bottomLeft"/>
      <selection pane="bottomRight" activeCell="L417" sqref="L417"/>
    </sheetView>
  </sheetViews>
  <sheetFormatPr defaultColWidth="12.625" defaultRowHeight="15" customHeight="1" x14ac:dyDescent="0.2"/>
  <cols>
    <col min="1" max="1" width="16.875" hidden="1" customWidth="1"/>
    <col min="2" max="2" width="35.75" hidden="1" customWidth="1"/>
    <col min="3" max="3" width="72.5" bestFit="1" customWidth="1"/>
    <col min="4" max="4" width="10.875" hidden="1" customWidth="1"/>
    <col min="5" max="5" width="11" hidden="1" customWidth="1"/>
    <col min="6" max="6" width="8.75" hidden="1" customWidth="1"/>
    <col min="7" max="7" width="9.75" hidden="1" customWidth="1"/>
    <col min="8" max="8" width="20.625" style="214" hidden="1" customWidth="1"/>
    <col min="9" max="9" width="13.125" customWidth="1"/>
    <col min="10" max="10" width="10" customWidth="1"/>
    <col min="11" max="11" width="7.625" customWidth="1"/>
    <col min="12" max="12" width="11.875" customWidth="1"/>
    <col min="13" max="13" width="11.875" hidden="1" customWidth="1"/>
    <col min="14" max="14" width="11.875" customWidth="1"/>
    <col min="15" max="15" width="8.5" style="160" customWidth="1"/>
    <col min="16" max="16" width="14" style="214" customWidth="1"/>
    <col min="17" max="17" width="26.75" style="254" customWidth="1"/>
    <col min="18" max="18" width="15" style="160" customWidth="1"/>
    <col min="19" max="20" width="12.5" style="160" hidden="1" customWidth="1"/>
    <col min="21" max="21" width="13.375" style="160" customWidth="1"/>
    <col min="22" max="22" width="9.5" style="160" customWidth="1"/>
    <col min="23" max="23" width="9.625" style="160" customWidth="1"/>
    <col min="24" max="24" width="11.125" style="160" customWidth="1"/>
    <col min="25" max="25" width="8.875" style="277" customWidth="1"/>
    <col min="26" max="26" width="9.375" bestFit="1" customWidth="1"/>
    <col min="27" max="31" width="7.625" customWidth="1"/>
  </cols>
  <sheetData>
    <row r="1" spans="1:31" hidden="1" x14ac:dyDescent="0.25">
      <c r="G1" s="77"/>
      <c r="H1" s="2"/>
      <c r="L1" s="3"/>
      <c r="M1" s="78"/>
      <c r="O1" s="159"/>
      <c r="P1" s="2"/>
      <c r="Q1" s="1"/>
      <c r="R1" s="159"/>
      <c r="S1" s="159"/>
      <c r="T1" s="159"/>
      <c r="V1" s="159"/>
      <c r="W1" s="159"/>
      <c r="X1" s="159"/>
    </row>
    <row r="2" spans="1:31" hidden="1" x14ac:dyDescent="0.25">
      <c r="G2" s="77"/>
      <c r="H2" s="2"/>
      <c r="L2" s="3"/>
      <c r="M2" s="78"/>
      <c r="O2" s="159"/>
      <c r="P2" s="2"/>
      <c r="Q2" s="1"/>
      <c r="R2" s="159"/>
      <c r="S2" s="159"/>
      <c r="T2" s="159"/>
      <c r="V2" s="159"/>
      <c r="W2" s="159"/>
      <c r="X2" s="159"/>
    </row>
    <row r="3" spans="1:31" hidden="1" x14ac:dyDescent="0.25">
      <c r="C3" s="3" t="s">
        <v>174</v>
      </c>
      <c r="D3" s="1"/>
      <c r="E3" s="1"/>
      <c r="F3" s="1"/>
      <c r="G3" s="79"/>
      <c r="H3" s="2"/>
      <c r="I3" s="1"/>
      <c r="J3" s="1"/>
      <c r="K3" s="1"/>
      <c r="L3" s="1"/>
      <c r="M3" s="80"/>
      <c r="O3" s="159"/>
      <c r="P3" s="2"/>
      <c r="Q3" s="1"/>
      <c r="R3" s="159"/>
      <c r="S3" s="159"/>
      <c r="T3" s="159"/>
      <c r="V3" s="159"/>
      <c r="W3" s="159"/>
      <c r="X3" s="159"/>
    </row>
    <row r="4" spans="1:31" hidden="1" x14ac:dyDescent="0.25">
      <c r="C4" s="3" t="s">
        <v>175</v>
      </c>
      <c r="D4" s="1"/>
      <c r="E4" s="1"/>
      <c r="F4" s="1"/>
      <c r="G4" s="79"/>
      <c r="H4" s="2"/>
      <c r="I4" s="1"/>
      <c r="J4" s="1"/>
      <c r="K4" s="1"/>
      <c r="L4" s="1"/>
      <c r="M4" s="80"/>
      <c r="O4" s="159"/>
      <c r="P4" s="2"/>
      <c r="Q4" s="1"/>
      <c r="R4" s="159"/>
      <c r="S4" s="159"/>
      <c r="T4" s="159"/>
      <c r="V4" s="159"/>
      <c r="W4" s="159"/>
      <c r="X4" s="159"/>
    </row>
    <row r="5" spans="1:31" hidden="1" x14ac:dyDescent="0.25">
      <c r="C5" s="54"/>
      <c r="G5" s="77"/>
      <c r="H5" s="2"/>
      <c r="L5" s="3"/>
      <c r="M5" s="78"/>
      <c r="O5" s="159"/>
      <c r="P5" s="2"/>
      <c r="Q5" s="1"/>
      <c r="R5" s="159"/>
      <c r="S5" s="159"/>
      <c r="T5" s="159"/>
      <c r="V5" s="159"/>
      <c r="W5" s="159"/>
      <c r="X5" s="159"/>
    </row>
    <row r="6" spans="1:31" ht="15.75" x14ac:dyDescent="0.25">
      <c r="A6" s="4"/>
      <c r="B6" s="4"/>
      <c r="C6" s="4"/>
      <c r="E6" s="4"/>
      <c r="F6" s="4"/>
      <c r="G6" s="81"/>
      <c r="H6" s="204"/>
      <c r="I6" s="4"/>
      <c r="M6" s="82"/>
      <c r="N6" s="4"/>
      <c r="O6" s="161"/>
      <c r="P6" s="204"/>
      <c r="Q6" s="238"/>
      <c r="R6" s="161"/>
      <c r="S6" s="161"/>
      <c r="T6" s="161"/>
      <c r="U6" s="161"/>
      <c r="V6" s="161"/>
      <c r="W6" s="161"/>
      <c r="X6" s="161"/>
      <c r="Y6" s="278"/>
      <c r="Z6" s="4"/>
      <c r="AA6" s="4"/>
      <c r="AB6" s="4"/>
      <c r="AC6" s="4"/>
      <c r="AD6" s="4"/>
      <c r="AE6" s="4"/>
    </row>
    <row r="7" spans="1:31" ht="15.75" x14ac:dyDescent="0.25">
      <c r="A7" s="4"/>
      <c r="B7" s="4"/>
      <c r="C7" s="4"/>
      <c r="E7" s="4"/>
      <c r="F7" s="4"/>
      <c r="G7" s="81"/>
      <c r="H7" s="204"/>
      <c r="I7" s="4"/>
      <c r="M7" s="82"/>
      <c r="N7" s="4"/>
      <c r="O7" s="161"/>
      <c r="P7" s="204"/>
      <c r="Q7" s="238"/>
      <c r="R7" s="161"/>
      <c r="S7" s="161"/>
      <c r="T7" s="161"/>
      <c r="U7" s="161"/>
      <c r="V7" s="161"/>
      <c r="X7" s="119"/>
      <c r="Y7" s="278"/>
      <c r="Z7" s="4"/>
      <c r="AA7" s="4"/>
      <c r="AB7" s="4"/>
      <c r="AC7" s="4"/>
      <c r="AD7" s="4"/>
      <c r="AE7" s="4"/>
    </row>
    <row r="8" spans="1:31" ht="15.75" x14ac:dyDescent="0.25">
      <c r="A8" s="5"/>
      <c r="B8" s="5"/>
      <c r="C8" s="5"/>
      <c r="D8" s="5"/>
      <c r="E8" s="5"/>
      <c r="F8" s="5"/>
      <c r="G8" s="83"/>
      <c r="H8" s="205"/>
      <c r="I8" s="5"/>
      <c r="J8" s="5"/>
      <c r="K8" s="5"/>
      <c r="L8" s="5"/>
      <c r="M8" s="84"/>
      <c r="N8" s="5"/>
      <c r="O8" s="162"/>
      <c r="P8" s="205"/>
      <c r="Q8" s="239"/>
      <c r="R8" s="162"/>
      <c r="S8" s="162"/>
      <c r="T8" s="162"/>
      <c r="U8" s="162"/>
      <c r="V8" s="162"/>
      <c r="X8" s="119"/>
      <c r="Y8" s="279"/>
      <c r="Z8" s="5"/>
      <c r="AA8" s="5"/>
      <c r="AB8" s="5"/>
      <c r="AC8" s="5"/>
      <c r="AD8" s="5"/>
      <c r="AE8" s="5"/>
    </row>
    <row r="9" spans="1:31" ht="15.75" x14ac:dyDescent="0.25">
      <c r="A9" s="5"/>
      <c r="B9" s="5"/>
      <c r="C9" s="5"/>
      <c r="D9" s="5"/>
      <c r="E9" s="5"/>
      <c r="F9" s="5"/>
      <c r="G9" s="83"/>
      <c r="H9" s="205"/>
      <c r="I9" s="5"/>
      <c r="J9" s="5"/>
      <c r="K9" s="5"/>
      <c r="L9" s="5"/>
      <c r="M9" s="84"/>
      <c r="N9" s="5"/>
      <c r="O9" s="162"/>
      <c r="P9" s="205"/>
      <c r="Q9" s="239"/>
      <c r="R9" s="162"/>
      <c r="S9" s="162"/>
      <c r="T9" s="162"/>
      <c r="U9" s="162"/>
      <c r="V9" s="162"/>
      <c r="W9" s="162"/>
      <c r="X9" s="119"/>
      <c r="Y9" s="279"/>
      <c r="Z9" s="5"/>
      <c r="AA9" s="5"/>
      <c r="AB9" s="5"/>
      <c r="AC9" s="5"/>
      <c r="AD9" s="5"/>
      <c r="AE9" s="5"/>
    </row>
    <row r="10" spans="1:31" x14ac:dyDescent="0.25">
      <c r="C10" s="6"/>
      <c r="G10" s="77"/>
      <c r="H10" s="2"/>
      <c r="L10" s="3"/>
      <c r="M10" s="78"/>
      <c r="O10" s="159"/>
      <c r="P10" s="2"/>
      <c r="Q10" s="1"/>
      <c r="R10" s="159"/>
      <c r="S10" s="159"/>
      <c r="T10" s="159"/>
      <c r="V10" s="159"/>
      <c r="W10" s="159"/>
      <c r="X10" s="120"/>
    </row>
    <row r="11" spans="1:31" x14ac:dyDescent="0.25">
      <c r="C11" s="6"/>
      <c r="G11" s="77"/>
      <c r="H11" s="2"/>
      <c r="I11" s="121" t="s">
        <v>176</v>
      </c>
      <c r="L11" s="3"/>
      <c r="M11" s="78"/>
      <c r="O11" s="159"/>
      <c r="P11" s="2"/>
      <c r="Q11" s="1"/>
      <c r="R11" s="159"/>
      <c r="S11" s="159"/>
      <c r="T11" s="159"/>
      <c r="V11" s="159"/>
      <c r="W11" s="159"/>
      <c r="X11" s="120"/>
    </row>
    <row r="12" spans="1:31" x14ac:dyDescent="0.25">
      <c r="C12" s="6"/>
      <c r="G12" s="77"/>
      <c r="H12" s="2"/>
      <c r="I12" s="121" t="s">
        <v>177</v>
      </c>
      <c r="L12" s="3"/>
      <c r="M12" s="78"/>
      <c r="O12" s="159"/>
      <c r="P12" s="2"/>
      <c r="Q12" s="1"/>
      <c r="R12" s="159"/>
      <c r="S12" s="159"/>
      <c r="T12" s="159"/>
      <c r="V12" s="159"/>
      <c r="W12" s="159"/>
      <c r="X12" s="120"/>
    </row>
    <row r="13" spans="1:31" x14ac:dyDescent="0.25">
      <c r="G13" s="77"/>
      <c r="H13" s="2"/>
      <c r="L13" s="3"/>
      <c r="M13" s="78"/>
      <c r="O13" s="159"/>
      <c r="P13" s="2"/>
      <c r="Q13" s="1"/>
      <c r="R13" s="159"/>
      <c r="S13" s="159"/>
      <c r="T13" s="159"/>
      <c r="V13" s="159"/>
      <c r="W13" s="159"/>
      <c r="X13" s="159"/>
    </row>
    <row r="14" spans="1:31" ht="90" x14ac:dyDescent="0.25">
      <c r="C14" s="8"/>
      <c r="D14" s="76" t="s">
        <v>178</v>
      </c>
      <c r="E14" s="85"/>
      <c r="F14" s="85"/>
      <c r="G14" s="9"/>
      <c r="H14" s="218"/>
      <c r="I14" s="76" t="s">
        <v>179</v>
      </c>
      <c r="J14" s="85"/>
      <c r="K14" s="85"/>
      <c r="L14" s="85"/>
      <c r="M14" s="300"/>
      <c r="N14" s="85"/>
      <c r="O14" s="298"/>
      <c r="P14" s="301"/>
      <c r="Q14" s="240"/>
      <c r="R14" s="306" t="s">
        <v>180</v>
      </c>
      <c r="S14" s="163"/>
      <c r="T14" s="164"/>
      <c r="U14" s="308" t="s">
        <v>181</v>
      </c>
      <c r="V14" s="165" t="s">
        <v>182</v>
      </c>
      <c r="W14" s="166"/>
      <c r="X14" s="164"/>
    </row>
    <row r="15" spans="1:31" ht="43.5" customHeight="1" x14ac:dyDescent="0.25">
      <c r="A15" t="s">
        <v>183</v>
      </c>
      <c r="B15" t="s">
        <v>184</v>
      </c>
      <c r="C15" s="8" t="s">
        <v>185</v>
      </c>
      <c r="D15" s="10" t="s">
        <v>537</v>
      </c>
      <c r="E15" s="86" t="s">
        <v>186</v>
      </c>
      <c r="F15" s="10" t="s">
        <v>187</v>
      </c>
      <c r="G15" s="11" t="s">
        <v>188</v>
      </c>
      <c r="H15" s="219" t="s">
        <v>538</v>
      </c>
      <c r="I15" s="299" t="s">
        <v>539</v>
      </c>
      <c r="J15" s="86" t="s">
        <v>190</v>
      </c>
      <c r="K15" s="299" t="s">
        <v>540</v>
      </c>
      <c r="L15" s="299" t="s">
        <v>192</v>
      </c>
      <c r="M15" s="302" t="s">
        <v>193</v>
      </c>
      <c r="N15" s="299" t="s">
        <v>194</v>
      </c>
      <c r="O15" s="309" t="s">
        <v>195</v>
      </c>
      <c r="P15" s="206" t="s">
        <v>196</v>
      </c>
      <c r="Q15" s="240" t="s">
        <v>197</v>
      </c>
      <c r="R15" s="163" t="s">
        <v>198</v>
      </c>
      <c r="S15" s="163" t="s">
        <v>199</v>
      </c>
      <c r="T15" s="163" t="s">
        <v>200</v>
      </c>
      <c r="U15" s="163" t="s">
        <v>201</v>
      </c>
      <c r="V15" s="307" t="s">
        <v>541</v>
      </c>
      <c r="W15" s="163" t="s">
        <v>542</v>
      </c>
      <c r="X15" s="163" t="s">
        <v>543</v>
      </c>
    </row>
    <row r="16" spans="1:31" ht="14.25" customHeight="1" x14ac:dyDescent="0.25">
      <c r="A16" s="6" t="s">
        <v>84</v>
      </c>
      <c r="B16" s="13" t="s">
        <v>86</v>
      </c>
      <c r="C16" s="29" t="s">
        <v>86</v>
      </c>
      <c r="D16" s="14">
        <v>260290</v>
      </c>
      <c r="E16" s="14">
        <v>242567</v>
      </c>
      <c r="F16" s="14">
        <v>5000</v>
      </c>
      <c r="G16" s="61">
        <f t="shared" ref="G16:G42" si="0">SUM(D16:F16)</f>
        <v>507857</v>
      </c>
      <c r="H16" s="15">
        <v>44549</v>
      </c>
      <c r="I16" s="14">
        <v>278632</v>
      </c>
      <c r="J16" s="14">
        <v>273485</v>
      </c>
      <c r="K16" s="14"/>
      <c r="L16" s="14">
        <f t="shared" ref="L16:L21" si="1">SUM(I16:K16)</f>
        <v>552117</v>
      </c>
      <c r="M16" s="62">
        <f t="shared" ref="M16:M54" si="2">(L16-G16)</f>
        <v>44260</v>
      </c>
      <c r="N16" s="14"/>
      <c r="O16" s="38"/>
      <c r="P16" s="15"/>
      <c r="Q16" s="241"/>
      <c r="R16" s="38"/>
      <c r="S16" s="38"/>
      <c r="T16" s="38"/>
      <c r="U16" s="38"/>
      <c r="V16" s="38"/>
      <c r="W16" s="38"/>
      <c r="X16" s="167"/>
    </row>
    <row r="17" spans="1:31" ht="14.25" customHeight="1" x14ac:dyDescent="0.25">
      <c r="A17" s="109"/>
      <c r="B17" s="13"/>
      <c r="C17" s="13" t="s">
        <v>205</v>
      </c>
      <c r="D17" s="14"/>
      <c r="E17" s="14"/>
      <c r="F17" s="14"/>
      <c r="G17" s="61">
        <f>SUM(D17:F17)</f>
        <v>0</v>
      </c>
      <c r="H17" s="15">
        <v>40000</v>
      </c>
      <c r="I17" s="14"/>
      <c r="J17" s="14"/>
      <c r="K17" s="14"/>
      <c r="L17" s="14">
        <f t="shared" si="1"/>
        <v>0</v>
      </c>
      <c r="M17" s="62">
        <f>(L17-G17)</f>
        <v>0</v>
      </c>
      <c r="N17" s="14"/>
      <c r="O17" s="38"/>
      <c r="P17" s="15"/>
      <c r="Q17" s="241"/>
      <c r="R17" s="38"/>
      <c r="S17" s="38"/>
      <c r="T17" s="38"/>
      <c r="U17" s="38"/>
      <c r="V17" s="38"/>
      <c r="W17" s="38"/>
      <c r="X17" s="167"/>
    </row>
    <row r="18" spans="1:31" ht="14.25" customHeight="1" x14ac:dyDescent="0.25">
      <c r="A18" s="109"/>
      <c r="B18" s="13"/>
      <c r="C18" s="13" t="s">
        <v>544</v>
      </c>
      <c r="D18" s="14"/>
      <c r="E18" s="14"/>
      <c r="F18" s="14"/>
      <c r="G18" s="61">
        <f>SUM(D18:F18)</f>
        <v>0</v>
      </c>
      <c r="H18" s="15">
        <v>23174</v>
      </c>
      <c r="I18" s="14">
        <v>1</v>
      </c>
      <c r="J18" s="14">
        <v>1</v>
      </c>
      <c r="K18" s="14">
        <v>1</v>
      </c>
      <c r="L18" s="14">
        <f t="shared" si="1"/>
        <v>3</v>
      </c>
      <c r="M18" s="62">
        <f>(L18-G18)</f>
        <v>3</v>
      </c>
      <c r="N18" s="14"/>
      <c r="O18" s="38"/>
      <c r="P18" s="15"/>
      <c r="Q18" s="241"/>
      <c r="R18" s="38"/>
      <c r="S18" s="38"/>
      <c r="T18" s="38"/>
      <c r="U18" s="38"/>
      <c r="V18" s="38"/>
      <c r="W18" s="38"/>
      <c r="X18" s="167"/>
    </row>
    <row r="19" spans="1:31" ht="15.75" customHeight="1" x14ac:dyDescent="0.25">
      <c r="A19" s="109"/>
      <c r="B19" s="13"/>
      <c r="C19" s="17" t="s">
        <v>545</v>
      </c>
      <c r="D19" s="14"/>
      <c r="E19" s="14"/>
      <c r="F19" s="14"/>
      <c r="G19" s="61">
        <f>SUM(D19:F19)</f>
        <v>0</v>
      </c>
      <c r="H19" s="15"/>
      <c r="I19" s="14"/>
      <c r="J19" s="14"/>
      <c r="K19" s="14"/>
      <c r="L19" s="14">
        <f t="shared" si="1"/>
        <v>0</v>
      </c>
      <c r="M19" s="62">
        <f>(L19-G19)</f>
        <v>0</v>
      </c>
      <c r="N19" s="14"/>
      <c r="O19" s="38">
        <v>6000</v>
      </c>
      <c r="P19" s="15"/>
      <c r="Q19" s="241"/>
      <c r="R19" s="38"/>
      <c r="S19" s="38"/>
      <c r="T19" s="38"/>
      <c r="U19" s="38"/>
      <c r="V19" s="38"/>
      <c r="W19" s="38"/>
      <c r="X19" s="167"/>
    </row>
    <row r="20" spans="1:31" ht="15.75" customHeight="1" x14ac:dyDescent="0.25">
      <c r="A20" s="109"/>
      <c r="B20" s="13"/>
      <c r="C20" s="17" t="s">
        <v>546</v>
      </c>
      <c r="D20" s="14"/>
      <c r="E20" s="14"/>
      <c r="F20" s="14"/>
      <c r="G20" s="61">
        <f>SUM(D20:F20)</f>
        <v>0</v>
      </c>
      <c r="H20" s="15"/>
      <c r="I20" s="14"/>
      <c r="J20" s="14"/>
      <c r="K20" s="14"/>
      <c r="L20" s="14">
        <f t="shared" si="1"/>
        <v>0</v>
      </c>
      <c r="M20" s="62">
        <f>(L20-G20)</f>
        <v>0</v>
      </c>
      <c r="N20" s="14"/>
      <c r="O20" s="38">
        <v>2000</v>
      </c>
      <c r="P20" s="15"/>
      <c r="Q20" s="241"/>
      <c r="R20" s="38"/>
      <c r="S20" s="38"/>
      <c r="T20" s="38"/>
      <c r="U20" s="38"/>
      <c r="V20" s="38"/>
      <c r="W20" s="38"/>
      <c r="X20" s="167"/>
    </row>
    <row r="21" spans="1:31" ht="15.75" customHeight="1" x14ac:dyDescent="0.25">
      <c r="A21" s="109"/>
      <c r="B21" s="13"/>
      <c r="C21" s="17" t="s">
        <v>547</v>
      </c>
      <c r="D21" s="14"/>
      <c r="E21" s="14"/>
      <c r="F21" s="14"/>
      <c r="G21" s="61">
        <f>SUM(D21:F21)</f>
        <v>0</v>
      </c>
      <c r="H21" s="15"/>
      <c r="I21" s="14"/>
      <c r="J21" s="14"/>
      <c r="K21" s="14"/>
      <c r="L21" s="14">
        <f t="shared" si="1"/>
        <v>0</v>
      </c>
      <c r="M21" s="62">
        <f>(L21-G21)</f>
        <v>0</v>
      </c>
      <c r="N21" s="14"/>
      <c r="O21" s="38">
        <v>500</v>
      </c>
      <c r="P21" s="15"/>
      <c r="Q21" s="241"/>
      <c r="R21" s="38"/>
      <c r="S21" s="38"/>
      <c r="T21" s="38"/>
      <c r="U21" s="38"/>
      <c r="V21" s="38"/>
      <c r="W21" s="38"/>
      <c r="X21" s="167"/>
    </row>
    <row r="22" spans="1:31" ht="15.75" customHeight="1" x14ac:dyDescent="0.25">
      <c r="A22" s="6" t="s">
        <v>84</v>
      </c>
      <c r="B22" s="13" t="s">
        <v>86</v>
      </c>
      <c r="C22" s="17" t="s">
        <v>548</v>
      </c>
      <c r="D22" s="18"/>
      <c r="E22" s="18">
        <v>47135</v>
      </c>
      <c r="F22" s="18"/>
      <c r="G22" s="61">
        <f t="shared" si="0"/>
        <v>47135</v>
      </c>
      <c r="H22" s="15"/>
      <c r="I22" s="18"/>
      <c r="J22" s="18"/>
      <c r="K22" s="18"/>
      <c r="L22" s="14">
        <f t="shared" ref="L22:L42" si="3">SUM(I22:K22)</f>
        <v>0</v>
      </c>
      <c r="M22" s="62">
        <f t="shared" si="2"/>
        <v>-47135</v>
      </c>
      <c r="N22" s="18"/>
      <c r="O22" s="168"/>
      <c r="P22" s="15"/>
      <c r="Q22" s="241">
        <v>4822</v>
      </c>
      <c r="R22" s="168"/>
      <c r="S22" s="168">
        <v>25000</v>
      </c>
      <c r="T22" s="168"/>
      <c r="U22" s="168"/>
      <c r="V22" s="168"/>
      <c r="W22" s="168"/>
      <c r="X22" s="169"/>
      <c r="Y22" s="280"/>
      <c r="Z22" s="16"/>
      <c r="AA22" s="16"/>
      <c r="AB22" s="16"/>
      <c r="AC22" s="16"/>
      <c r="AD22" s="16"/>
      <c r="AE22" s="16"/>
    </row>
    <row r="23" spans="1:31" ht="15.75" customHeight="1" x14ac:dyDescent="0.25">
      <c r="A23" s="109"/>
      <c r="B23" s="13"/>
      <c r="C23" s="13" t="s">
        <v>549</v>
      </c>
      <c r="D23" s="14"/>
      <c r="E23" s="14"/>
      <c r="F23" s="14"/>
      <c r="G23" s="61">
        <f>SUM(D23:F23)</f>
        <v>0</v>
      </c>
      <c r="H23" s="15"/>
      <c r="I23" s="14"/>
      <c r="J23" s="14"/>
      <c r="K23" s="14"/>
      <c r="L23" s="14">
        <f>SUM(I23:K23)</f>
        <v>0</v>
      </c>
      <c r="M23" s="62">
        <f>(L23-G23)</f>
        <v>0</v>
      </c>
      <c r="N23" s="14"/>
      <c r="O23" s="38"/>
      <c r="P23" s="15"/>
      <c r="Q23" s="241">
        <v>7615</v>
      </c>
      <c r="R23" s="38"/>
      <c r="S23" s="38"/>
      <c r="T23" s="38"/>
      <c r="U23" s="38"/>
      <c r="V23" s="38"/>
      <c r="W23" s="38"/>
      <c r="X23" s="167"/>
      <c r="Y23" s="280"/>
      <c r="Z23" s="16"/>
      <c r="AA23" s="16"/>
      <c r="AB23" s="16"/>
      <c r="AC23" s="16"/>
      <c r="AD23" s="16"/>
      <c r="AE23" s="16"/>
    </row>
    <row r="24" spans="1:31" ht="15.75" customHeight="1" x14ac:dyDescent="0.25">
      <c r="A24" s="6" t="s">
        <v>84</v>
      </c>
      <c r="B24" s="13" t="s">
        <v>86</v>
      </c>
      <c r="C24" s="17" t="s">
        <v>550</v>
      </c>
      <c r="D24" s="14"/>
      <c r="E24" s="14"/>
      <c r="F24" s="14"/>
      <c r="G24" s="61">
        <f t="shared" si="0"/>
        <v>0</v>
      </c>
      <c r="H24" s="15"/>
      <c r="I24" s="14"/>
      <c r="J24" s="14"/>
      <c r="K24" s="14"/>
      <c r="L24" s="14">
        <f t="shared" si="3"/>
        <v>0</v>
      </c>
      <c r="M24" s="62">
        <f t="shared" si="2"/>
        <v>0</v>
      </c>
      <c r="N24" s="15"/>
      <c r="O24" s="38"/>
      <c r="P24" s="15"/>
      <c r="Q24" s="241"/>
      <c r="R24" s="38"/>
      <c r="S24" s="38"/>
      <c r="T24" s="38"/>
      <c r="U24" s="292">
        <f>SUM(V24:X24)</f>
        <v>0</v>
      </c>
      <c r="V24" s="292"/>
      <c r="W24" s="38"/>
      <c r="X24" s="167"/>
    </row>
    <row r="25" spans="1:31" ht="15.75" customHeight="1" x14ac:dyDescent="0.25">
      <c r="A25" s="6" t="s">
        <v>84</v>
      </c>
      <c r="B25" s="13" t="s">
        <v>86</v>
      </c>
      <c r="C25" s="17" t="s">
        <v>208</v>
      </c>
      <c r="D25" s="14"/>
      <c r="E25" s="14"/>
      <c r="F25" s="14"/>
      <c r="G25" s="61">
        <f t="shared" si="0"/>
        <v>0</v>
      </c>
      <c r="H25" s="15"/>
      <c r="I25" s="14"/>
      <c r="J25" s="14"/>
      <c r="K25" s="14"/>
      <c r="L25" s="14">
        <f t="shared" si="3"/>
        <v>0</v>
      </c>
      <c r="M25" s="62">
        <f t="shared" si="2"/>
        <v>0</v>
      </c>
      <c r="N25" s="15"/>
      <c r="O25" s="38"/>
      <c r="P25" s="15"/>
      <c r="Q25" s="241"/>
      <c r="R25" s="38"/>
      <c r="S25" s="38"/>
      <c r="T25" s="38"/>
      <c r="U25" s="292">
        <f>SUM(V25:X25)</f>
        <v>23310</v>
      </c>
      <c r="V25" s="292">
        <v>23310</v>
      </c>
      <c r="W25" s="38"/>
      <c r="X25" s="167"/>
    </row>
    <row r="26" spans="1:31" ht="15.75" customHeight="1" x14ac:dyDescent="0.25">
      <c r="A26" s="109"/>
      <c r="B26" s="13"/>
      <c r="C26" s="17" t="s">
        <v>551</v>
      </c>
      <c r="D26" s="14"/>
      <c r="E26" s="14"/>
      <c r="F26" s="14"/>
      <c r="G26" s="61">
        <f>SUM(D26:F26)</f>
        <v>0</v>
      </c>
      <c r="H26" s="15"/>
      <c r="I26" s="14"/>
      <c r="J26" s="14"/>
      <c r="K26" s="14"/>
      <c r="L26" s="14">
        <f>SUM(I26:K26)</f>
        <v>0</v>
      </c>
      <c r="M26" s="62">
        <f>(L26-G26)</f>
        <v>0</v>
      </c>
      <c r="N26" s="14"/>
      <c r="O26" s="38"/>
      <c r="P26" s="15"/>
      <c r="Q26" s="241">
        <v>25600</v>
      </c>
      <c r="R26" s="38"/>
      <c r="S26" s="38"/>
      <c r="T26" s="38"/>
      <c r="U26" s="38"/>
      <c r="V26" s="38"/>
      <c r="W26" s="38"/>
      <c r="X26" s="167"/>
      <c r="Y26" s="277" t="s">
        <v>552</v>
      </c>
    </row>
    <row r="27" spans="1:31" ht="15.75" customHeight="1" x14ac:dyDescent="0.25">
      <c r="A27" s="109"/>
      <c r="B27" s="13"/>
      <c r="C27" s="17" t="s">
        <v>553</v>
      </c>
      <c r="D27" s="14"/>
      <c r="E27" s="14"/>
      <c r="F27" s="14"/>
      <c r="G27" s="61">
        <f>SUM(D27:F27)</f>
        <v>0</v>
      </c>
      <c r="H27" s="15"/>
      <c r="I27" s="14"/>
      <c r="J27" s="14"/>
      <c r="K27" s="14"/>
      <c r="L27" s="14">
        <f>SUM(I27:K27)</f>
        <v>0</v>
      </c>
      <c r="M27" s="62">
        <f>(L27-G27)</f>
        <v>0</v>
      </c>
      <c r="N27" s="14"/>
      <c r="O27" s="38"/>
      <c r="P27" s="15"/>
      <c r="Q27" s="241">
        <v>5000</v>
      </c>
      <c r="R27" s="38"/>
      <c r="S27" s="38"/>
      <c r="T27" s="38"/>
      <c r="U27" s="38"/>
      <c r="V27" s="38"/>
      <c r="W27" s="38"/>
      <c r="X27" s="167"/>
      <c r="Y27" s="277" t="s">
        <v>554</v>
      </c>
    </row>
    <row r="28" spans="1:31" ht="15.75" customHeight="1" x14ac:dyDescent="0.25">
      <c r="A28" s="6" t="s">
        <v>84</v>
      </c>
      <c r="B28" s="13" t="s">
        <v>87</v>
      </c>
      <c r="C28" s="13" t="s">
        <v>87</v>
      </c>
      <c r="D28" s="14"/>
      <c r="E28" s="14"/>
      <c r="F28" s="14"/>
      <c r="G28" s="61">
        <f t="shared" si="0"/>
        <v>0</v>
      </c>
      <c r="H28" s="15"/>
      <c r="I28" s="14"/>
      <c r="J28" s="14"/>
      <c r="K28" s="14"/>
      <c r="L28" s="14">
        <f t="shared" si="3"/>
        <v>0</v>
      </c>
      <c r="M28" s="62">
        <f t="shared" si="2"/>
        <v>0</v>
      </c>
      <c r="N28" s="15"/>
      <c r="O28" s="38"/>
      <c r="P28" s="15"/>
      <c r="Q28" s="241"/>
      <c r="R28" s="38"/>
      <c r="S28" s="38"/>
      <c r="T28" s="38"/>
      <c r="U28" s="38"/>
      <c r="V28" s="38"/>
      <c r="W28" s="38"/>
      <c r="X28" s="167"/>
    </row>
    <row r="29" spans="1:31" ht="15.75" customHeight="1" x14ac:dyDescent="0.25">
      <c r="A29" s="6" t="s">
        <v>84</v>
      </c>
      <c r="B29" s="13" t="s">
        <v>87</v>
      </c>
      <c r="C29" s="13" t="s">
        <v>210</v>
      </c>
      <c r="D29" s="14">
        <v>153097</v>
      </c>
      <c r="E29" s="14"/>
      <c r="F29" s="14"/>
      <c r="G29" s="61">
        <f t="shared" si="0"/>
        <v>153097</v>
      </c>
      <c r="H29" s="15">
        <v>47410</v>
      </c>
      <c r="I29" s="14">
        <v>154334</v>
      </c>
      <c r="J29" s="14"/>
      <c r="K29" s="14"/>
      <c r="L29" s="14">
        <f t="shared" si="3"/>
        <v>154334</v>
      </c>
      <c r="M29" s="62">
        <f t="shared" si="2"/>
        <v>1237</v>
      </c>
      <c r="N29" s="15"/>
      <c r="O29" s="38"/>
      <c r="P29" s="15"/>
      <c r="Q29" s="241"/>
      <c r="R29" s="38"/>
      <c r="S29" s="38"/>
      <c r="T29" s="38"/>
      <c r="U29" s="38"/>
      <c r="V29" s="38"/>
      <c r="W29" s="38"/>
      <c r="X29" s="167"/>
    </row>
    <row r="30" spans="1:31" ht="15.75" customHeight="1" x14ac:dyDescent="0.25">
      <c r="A30" s="6" t="s">
        <v>84</v>
      </c>
      <c r="B30" s="13" t="s">
        <v>87</v>
      </c>
      <c r="C30" s="13" t="s">
        <v>211</v>
      </c>
      <c r="D30" s="14">
        <v>82806</v>
      </c>
      <c r="E30" s="14"/>
      <c r="F30" s="14"/>
      <c r="G30" s="61">
        <f t="shared" si="0"/>
        <v>82806</v>
      </c>
      <c r="H30" s="15">
        <v>51593</v>
      </c>
      <c r="I30" s="14">
        <v>61177</v>
      </c>
      <c r="J30" s="14"/>
      <c r="K30" s="14"/>
      <c r="L30" s="14">
        <f t="shared" si="3"/>
        <v>61177</v>
      </c>
      <c r="M30" s="62">
        <f t="shared" si="2"/>
        <v>-21629</v>
      </c>
      <c r="N30" s="15"/>
      <c r="O30" s="38"/>
      <c r="P30" s="15"/>
      <c r="Q30" s="241"/>
      <c r="R30" s="38"/>
      <c r="S30" s="38"/>
      <c r="T30" s="38"/>
      <c r="U30" s="38"/>
      <c r="V30" s="38"/>
      <c r="W30" s="38"/>
      <c r="X30" s="167"/>
    </row>
    <row r="31" spans="1:31" ht="15.75" customHeight="1" x14ac:dyDescent="0.25">
      <c r="A31" s="6" t="s">
        <v>84</v>
      </c>
      <c r="B31" s="13" t="s">
        <v>87</v>
      </c>
      <c r="C31" s="13" t="s">
        <v>212</v>
      </c>
      <c r="D31" s="14"/>
      <c r="E31" s="14">
        <v>91381</v>
      </c>
      <c r="F31" s="14"/>
      <c r="G31" s="61">
        <f t="shared" si="0"/>
        <v>91381</v>
      </c>
      <c r="H31" s="15"/>
      <c r="I31" s="14"/>
      <c r="J31" s="14">
        <v>107447</v>
      </c>
      <c r="K31" s="14"/>
      <c r="L31" s="14">
        <f>SUM(I31:K31)</f>
        <v>107447</v>
      </c>
      <c r="M31" s="62">
        <f t="shared" si="2"/>
        <v>16066</v>
      </c>
      <c r="N31" s="15"/>
      <c r="O31" s="38"/>
      <c r="P31" s="15"/>
      <c r="Q31" s="241"/>
      <c r="R31" s="38"/>
      <c r="S31" s="38"/>
      <c r="T31" s="38"/>
      <c r="U31" s="38"/>
      <c r="V31" s="38"/>
      <c r="W31" s="38"/>
      <c r="X31" s="167"/>
    </row>
    <row r="32" spans="1:31" ht="15.75" customHeight="1" x14ac:dyDescent="0.25">
      <c r="A32" s="6" t="s">
        <v>84</v>
      </c>
      <c r="B32" s="13" t="s">
        <v>87</v>
      </c>
      <c r="C32" s="13" t="s">
        <v>213</v>
      </c>
      <c r="D32" s="14"/>
      <c r="E32" s="14">
        <v>3299</v>
      </c>
      <c r="F32" s="14"/>
      <c r="G32" s="61">
        <f t="shared" si="0"/>
        <v>3299</v>
      </c>
      <c r="H32" s="15"/>
      <c r="I32" s="14"/>
      <c r="J32" s="14">
        <v>7382</v>
      </c>
      <c r="K32" s="14"/>
      <c r="L32" s="14">
        <f t="shared" si="3"/>
        <v>7382</v>
      </c>
      <c r="M32" s="62">
        <f t="shared" si="2"/>
        <v>4083</v>
      </c>
      <c r="N32" s="15"/>
      <c r="O32" s="38"/>
      <c r="P32" s="15"/>
      <c r="Q32" s="241"/>
      <c r="R32" s="38"/>
      <c r="S32" s="38"/>
      <c r="T32" s="38"/>
      <c r="U32" s="38"/>
      <c r="V32" s="38"/>
      <c r="W32" s="38"/>
      <c r="X32" s="167"/>
    </row>
    <row r="33" spans="1:31" ht="15.75" customHeight="1" x14ac:dyDescent="0.25">
      <c r="A33" s="6" t="s">
        <v>84</v>
      </c>
      <c r="B33" s="13" t="s">
        <v>93</v>
      </c>
      <c r="C33" s="17" t="s">
        <v>555</v>
      </c>
      <c r="D33" s="18">
        <v>36111</v>
      </c>
      <c r="E33" s="18"/>
      <c r="F33" s="18"/>
      <c r="G33" s="61">
        <f t="shared" si="0"/>
        <v>36111</v>
      </c>
      <c r="H33" s="15">
        <v>12736</v>
      </c>
      <c r="I33" s="18">
        <v>38326</v>
      </c>
      <c r="J33" s="18"/>
      <c r="K33" s="18"/>
      <c r="L33" s="14">
        <f t="shared" si="3"/>
        <v>38326</v>
      </c>
      <c r="M33" s="62">
        <f t="shared" si="2"/>
        <v>2215</v>
      </c>
      <c r="N33" s="18">
        <v>29512</v>
      </c>
      <c r="O33" s="168"/>
      <c r="P33" s="19"/>
      <c r="Q33" s="242"/>
      <c r="R33" s="168"/>
      <c r="S33" s="168"/>
      <c r="T33" s="168"/>
      <c r="U33" s="168"/>
      <c r="V33" s="168"/>
      <c r="W33" s="168"/>
      <c r="X33" s="169"/>
      <c r="Y33" s="280"/>
      <c r="Z33" s="16"/>
      <c r="AA33" s="16"/>
      <c r="AB33" s="16"/>
      <c r="AC33" s="16"/>
      <c r="AD33" s="16"/>
      <c r="AE33" s="16"/>
    </row>
    <row r="34" spans="1:31" ht="15.75" customHeight="1" x14ac:dyDescent="0.25">
      <c r="A34" s="6" t="s">
        <v>84</v>
      </c>
      <c r="B34" s="13" t="s">
        <v>93</v>
      </c>
      <c r="C34" s="17" t="s">
        <v>556</v>
      </c>
      <c r="D34" s="18"/>
      <c r="E34" s="18">
        <v>3960</v>
      </c>
      <c r="F34" s="18"/>
      <c r="G34" s="61">
        <f t="shared" si="0"/>
        <v>3960</v>
      </c>
      <c r="H34" s="15"/>
      <c r="I34" s="18"/>
      <c r="J34" s="18">
        <v>7053</v>
      </c>
      <c r="K34" s="18"/>
      <c r="L34" s="14">
        <f t="shared" si="3"/>
        <v>7053</v>
      </c>
      <c r="M34" s="62">
        <f t="shared" si="2"/>
        <v>3093</v>
      </c>
      <c r="N34" s="18">
        <v>4800</v>
      </c>
      <c r="O34" s="168"/>
      <c r="P34" s="19"/>
      <c r="Q34" s="242"/>
      <c r="R34" s="168"/>
      <c r="S34" s="168"/>
      <c r="T34" s="168"/>
      <c r="U34" s="168"/>
      <c r="V34" s="168"/>
      <c r="W34" s="168"/>
      <c r="X34" s="169"/>
      <c r="Y34" s="280"/>
      <c r="Z34" s="16"/>
      <c r="AA34" s="16"/>
      <c r="AB34" s="16"/>
      <c r="AC34" s="16"/>
      <c r="AD34" s="16"/>
      <c r="AE34" s="16"/>
    </row>
    <row r="35" spans="1:31" ht="15.75" customHeight="1" x14ac:dyDescent="0.25">
      <c r="A35" s="6" t="s">
        <v>84</v>
      </c>
      <c r="B35" s="13" t="s">
        <v>91</v>
      </c>
      <c r="C35" s="29" t="s">
        <v>91</v>
      </c>
      <c r="D35" s="14">
        <v>105354</v>
      </c>
      <c r="E35" s="14">
        <v>19647</v>
      </c>
      <c r="F35" s="14">
        <v>2200</v>
      </c>
      <c r="G35" s="61">
        <f t="shared" si="0"/>
        <v>127201</v>
      </c>
      <c r="H35" s="15">
        <v>14127</v>
      </c>
      <c r="I35" s="14">
        <v>137524</v>
      </c>
      <c r="J35" s="14">
        <v>4256</v>
      </c>
      <c r="K35" s="14"/>
      <c r="L35" s="14">
        <f t="shared" si="3"/>
        <v>141780</v>
      </c>
      <c r="M35" s="62">
        <f t="shared" si="2"/>
        <v>14579</v>
      </c>
      <c r="N35" s="15"/>
      <c r="O35" s="38"/>
      <c r="P35" s="15"/>
      <c r="Q35" s="241"/>
      <c r="R35" s="38"/>
      <c r="S35" s="38"/>
      <c r="T35" s="38"/>
      <c r="U35" s="38"/>
      <c r="V35" s="38"/>
      <c r="W35" s="38"/>
      <c r="X35" s="167"/>
    </row>
    <row r="36" spans="1:31" ht="15.75" customHeight="1" x14ac:dyDescent="0.25">
      <c r="A36" s="6" t="s">
        <v>84</v>
      </c>
      <c r="B36" s="13" t="s">
        <v>94</v>
      </c>
      <c r="C36" s="29" t="s">
        <v>94</v>
      </c>
      <c r="D36" s="14">
        <v>58085</v>
      </c>
      <c r="E36" s="14">
        <v>5222</v>
      </c>
      <c r="F36" s="14">
        <v>2000</v>
      </c>
      <c r="G36" s="61">
        <f t="shared" si="0"/>
        <v>65307</v>
      </c>
      <c r="H36" s="15">
        <v>4346</v>
      </c>
      <c r="I36" s="14">
        <v>58378</v>
      </c>
      <c r="J36" s="14">
        <v>5151</v>
      </c>
      <c r="K36" s="14"/>
      <c r="L36" s="14">
        <f t="shared" si="3"/>
        <v>63529</v>
      </c>
      <c r="M36" s="62">
        <f t="shared" si="2"/>
        <v>-1778</v>
      </c>
      <c r="N36" s="15"/>
      <c r="O36" s="38"/>
      <c r="P36" s="15"/>
      <c r="Q36" s="241"/>
      <c r="R36" s="38"/>
      <c r="S36" s="38"/>
      <c r="T36" s="38"/>
      <c r="U36" s="38"/>
      <c r="V36" s="38"/>
      <c r="W36" s="38"/>
      <c r="X36" s="167"/>
    </row>
    <row r="37" spans="1:31" ht="15.75" customHeight="1" x14ac:dyDescent="0.25">
      <c r="A37" s="109"/>
      <c r="B37" s="13"/>
      <c r="C37" s="17" t="s">
        <v>557</v>
      </c>
      <c r="D37" s="14"/>
      <c r="E37" s="14"/>
      <c r="F37" s="14"/>
      <c r="G37" s="61">
        <f>SUM(D37:F37)</f>
        <v>0</v>
      </c>
      <c r="H37" s="15"/>
      <c r="I37" s="14"/>
      <c r="J37" s="14"/>
      <c r="K37" s="14"/>
      <c r="L37" s="14">
        <f>SUM(I37:K37)</f>
        <v>0</v>
      </c>
      <c r="M37" s="62">
        <f>(L37-G37)</f>
        <v>0</v>
      </c>
      <c r="N37" s="14"/>
      <c r="O37" s="38">
        <v>900</v>
      </c>
      <c r="P37" s="15"/>
      <c r="Q37" s="241"/>
      <c r="R37" s="38"/>
      <c r="S37" s="38"/>
      <c r="T37" s="38"/>
      <c r="U37" s="38"/>
      <c r="V37" s="38"/>
      <c r="W37" s="38"/>
      <c r="X37" s="167"/>
    </row>
    <row r="38" spans="1:31" ht="15.75" customHeight="1" x14ac:dyDescent="0.25">
      <c r="A38" s="6" t="s">
        <v>84</v>
      </c>
      <c r="B38" s="13" t="s">
        <v>85</v>
      </c>
      <c r="C38" s="29" t="s">
        <v>85</v>
      </c>
      <c r="D38" s="14">
        <v>595596</v>
      </c>
      <c r="E38" s="14">
        <v>17561</v>
      </c>
      <c r="F38" s="14">
        <v>4600</v>
      </c>
      <c r="G38" s="61">
        <f t="shared" si="0"/>
        <v>617757</v>
      </c>
      <c r="H38" s="15">
        <v>31462</v>
      </c>
      <c r="I38" s="14">
        <v>562524</v>
      </c>
      <c r="J38" s="14">
        <v>27478</v>
      </c>
      <c r="K38" s="14"/>
      <c r="L38" s="14">
        <f t="shared" si="3"/>
        <v>590002</v>
      </c>
      <c r="M38" s="62">
        <f t="shared" si="2"/>
        <v>-27755</v>
      </c>
      <c r="N38" s="15"/>
      <c r="O38" s="38"/>
      <c r="P38" s="15"/>
      <c r="Q38" s="241"/>
      <c r="R38" s="38"/>
      <c r="S38" s="38"/>
      <c r="T38" s="38"/>
      <c r="U38" s="38"/>
      <c r="V38" s="38"/>
      <c r="W38" s="38"/>
      <c r="X38" s="167"/>
    </row>
    <row r="39" spans="1:31" ht="15.75" customHeight="1" x14ac:dyDescent="0.25">
      <c r="A39" s="109"/>
      <c r="B39" s="13"/>
      <c r="C39" s="17" t="s">
        <v>547</v>
      </c>
      <c r="D39" s="14"/>
      <c r="E39" s="14"/>
      <c r="F39" s="14"/>
      <c r="G39" s="61">
        <f>SUM(D39:F39)</f>
        <v>0</v>
      </c>
      <c r="H39" s="15"/>
      <c r="I39" s="14"/>
      <c r="J39" s="14"/>
      <c r="K39" s="14"/>
      <c r="L39" s="14">
        <f>SUM(I39:K39)</f>
        <v>0</v>
      </c>
      <c r="M39" s="62">
        <f>(L39-G39)</f>
        <v>0</v>
      </c>
      <c r="N39" s="14"/>
      <c r="O39" s="38">
        <v>1900</v>
      </c>
      <c r="P39" s="15"/>
      <c r="Q39" s="241"/>
      <c r="R39" s="38"/>
      <c r="S39" s="38"/>
      <c r="T39" s="38"/>
      <c r="U39" s="38"/>
      <c r="V39" s="38"/>
      <c r="W39" s="38"/>
      <c r="X39" s="167"/>
    </row>
    <row r="40" spans="1:31" ht="15.75" customHeight="1" x14ac:dyDescent="0.25">
      <c r="A40" s="6" t="s">
        <v>84</v>
      </c>
      <c r="B40" s="13" t="s">
        <v>92</v>
      </c>
      <c r="C40" s="13" t="s">
        <v>92</v>
      </c>
      <c r="D40" s="14">
        <v>106111</v>
      </c>
      <c r="E40" s="14">
        <v>4310</v>
      </c>
      <c r="F40" s="14">
        <v>1000</v>
      </c>
      <c r="G40" s="61">
        <f t="shared" si="0"/>
        <v>111421</v>
      </c>
      <c r="H40" s="15">
        <v>13416</v>
      </c>
      <c r="I40" s="14">
        <v>125175</v>
      </c>
      <c r="J40" s="14">
        <v>4389</v>
      </c>
      <c r="K40" s="14"/>
      <c r="L40" s="14">
        <f t="shared" si="3"/>
        <v>129564</v>
      </c>
      <c r="M40" s="62">
        <f t="shared" si="2"/>
        <v>18143</v>
      </c>
      <c r="N40" s="15"/>
      <c r="O40" s="38"/>
      <c r="P40" s="15"/>
      <c r="Q40" s="241"/>
      <c r="R40" s="38"/>
      <c r="S40" s="38"/>
      <c r="T40" s="38"/>
      <c r="U40" s="38"/>
      <c r="V40" s="38"/>
      <c r="W40" s="38"/>
      <c r="X40" s="167"/>
    </row>
    <row r="41" spans="1:31" ht="15.75" customHeight="1" x14ac:dyDescent="0.25">
      <c r="A41" s="109"/>
      <c r="B41" s="13"/>
      <c r="C41" s="17" t="s">
        <v>557</v>
      </c>
      <c r="D41" s="14"/>
      <c r="E41" s="14"/>
      <c r="F41" s="14"/>
      <c r="G41" s="61">
        <f>SUM(D41:F41)</f>
        <v>0</v>
      </c>
      <c r="H41" s="15"/>
      <c r="I41" s="14"/>
      <c r="J41" s="14"/>
      <c r="K41" s="14"/>
      <c r="L41" s="14">
        <f>SUM(I41:K41)</f>
        <v>0</v>
      </c>
      <c r="M41" s="62">
        <f>(L41-G41)</f>
        <v>0</v>
      </c>
      <c r="N41" s="14"/>
      <c r="O41" s="38">
        <v>1364</v>
      </c>
      <c r="P41" s="15"/>
      <c r="Q41" s="241"/>
      <c r="R41" s="38"/>
      <c r="S41" s="38"/>
      <c r="T41" s="38"/>
      <c r="U41" s="38"/>
      <c r="V41" s="38"/>
      <c r="W41" s="38"/>
      <c r="X41" s="167"/>
    </row>
    <row r="42" spans="1:31" ht="15.75" customHeight="1" x14ac:dyDescent="0.25">
      <c r="A42" s="6" t="s">
        <v>84</v>
      </c>
      <c r="B42" s="13" t="s">
        <v>89</v>
      </c>
      <c r="C42" s="29" t="s">
        <v>89</v>
      </c>
      <c r="D42" s="14">
        <v>116030</v>
      </c>
      <c r="E42" s="14">
        <v>67274</v>
      </c>
      <c r="F42" s="14">
        <v>4750</v>
      </c>
      <c r="G42" s="61">
        <f t="shared" si="0"/>
        <v>188054</v>
      </c>
      <c r="H42" s="15">
        <v>10337</v>
      </c>
      <c r="I42" s="14">
        <v>116360</v>
      </c>
      <c r="J42" s="14">
        <v>70049</v>
      </c>
      <c r="K42" s="14"/>
      <c r="L42" s="14">
        <f t="shared" si="3"/>
        <v>186409</v>
      </c>
      <c r="M42" s="62">
        <f t="shared" si="2"/>
        <v>-1645</v>
      </c>
      <c r="N42" s="15"/>
      <c r="O42" s="38"/>
      <c r="P42" s="15"/>
      <c r="Q42" s="241"/>
      <c r="R42" s="38"/>
      <c r="S42" s="38"/>
      <c r="T42" s="38"/>
      <c r="U42" s="38"/>
      <c r="V42" s="38"/>
      <c r="W42" s="38"/>
      <c r="X42" s="167"/>
    </row>
    <row r="43" spans="1:31" ht="15.75" customHeight="1" x14ac:dyDescent="0.25">
      <c r="A43" s="6" t="s">
        <v>84</v>
      </c>
      <c r="B43" s="13" t="s">
        <v>90</v>
      </c>
      <c r="C43" s="29" t="s">
        <v>216</v>
      </c>
      <c r="D43" s="14">
        <v>178816</v>
      </c>
      <c r="E43" s="14">
        <v>4348</v>
      </c>
      <c r="F43" s="14">
        <v>1000</v>
      </c>
      <c r="G43" s="61">
        <f t="shared" ref="G43:G48" si="4">SUM(D43:F43)</f>
        <v>184164</v>
      </c>
      <c r="H43" s="15">
        <v>14421</v>
      </c>
      <c r="I43" s="14">
        <v>178740</v>
      </c>
      <c r="J43" s="14">
        <v>2219</v>
      </c>
      <c r="K43" s="14"/>
      <c r="L43" s="14">
        <f>SUM(I43:K43)</f>
        <v>180959</v>
      </c>
      <c r="M43" s="62">
        <f t="shared" si="2"/>
        <v>-3205</v>
      </c>
      <c r="N43" s="15"/>
      <c r="O43" s="38"/>
      <c r="P43" s="15"/>
      <c r="Q43" s="241"/>
      <c r="R43" s="38"/>
      <c r="S43" s="38"/>
      <c r="T43" s="38"/>
      <c r="U43" s="38"/>
      <c r="V43" s="38"/>
      <c r="W43" s="38"/>
      <c r="X43" s="167"/>
    </row>
    <row r="44" spans="1:31" ht="15.75" customHeight="1" x14ac:dyDescent="0.25">
      <c r="A44" s="6" t="s">
        <v>84</v>
      </c>
      <c r="B44" s="13" t="s">
        <v>90</v>
      </c>
      <c r="C44" s="17" t="s">
        <v>218</v>
      </c>
      <c r="D44" s="18"/>
      <c r="E44" s="18">
        <v>2178</v>
      </c>
      <c r="F44" s="18"/>
      <c r="G44" s="61">
        <f t="shared" si="4"/>
        <v>2178</v>
      </c>
      <c r="H44" s="15"/>
      <c r="I44" s="20"/>
      <c r="J44" s="18">
        <v>2178</v>
      </c>
      <c r="K44" s="18"/>
      <c r="L44" s="14">
        <f>SUM(I44:K44)</f>
        <v>2178</v>
      </c>
      <c r="M44" s="62">
        <f t="shared" si="2"/>
        <v>0</v>
      </c>
      <c r="N44" s="19"/>
      <c r="O44" s="168"/>
      <c r="P44" s="19"/>
      <c r="Q44" s="242"/>
      <c r="R44" s="168"/>
      <c r="S44" s="168"/>
      <c r="T44" s="168"/>
      <c r="U44" s="168"/>
      <c r="V44" s="168"/>
      <c r="W44" s="168"/>
      <c r="X44" s="169"/>
      <c r="Y44" s="280"/>
      <c r="Z44" s="16"/>
      <c r="AA44" s="16"/>
      <c r="AB44" s="16"/>
      <c r="AC44" s="16"/>
      <c r="AD44" s="16"/>
      <c r="AE44" s="16"/>
    </row>
    <row r="45" spans="1:31" ht="15.75" customHeight="1" x14ac:dyDescent="0.25">
      <c r="A45" s="109"/>
      <c r="B45" s="13"/>
      <c r="C45" s="17" t="s">
        <v>547</v>
      </c>
      <c r="D45" s="14"/>
      <c r="E45" s="14"/>
      <c r="F45" s="14"/>
      <c r="G45" s="61">
        <f>SUM(D45:F45)</f>
        <v>0</v>
      </c>
      <c r="H45" s="15"/>
      <c r="I45" s="14"/>
      <c r="J45" s="14"/>
      <c r="K45" s="14"/>
      <c r="L45" s="14">
        <f>SUM(I45:K45)</f>
        <v>0</v>
      </c>
      <c r="M45" s="62">
        <f>(L45-G45)</f>
        <v>0</v>
      </c>
      <c r="N45" s="14"/>
      <c r="O45" s="38">
        <v>1500</v>
      </c>
      <c r="P45" s="15"/>
      <c r="Q45" s="241"/>
      <c r="R45" s="38"/>
      <c r="S45" s="38"/>
      <c r="T45" s="38"/>
      <c r="U45" s="38"/>
      <c r="V45" s="38"/>
      <c r="W45" s="38"/>
      <c r="X45" s="167"/>
      <c r="Y45" s="280"/>
      <c r="Z45" s="16"/>
      <c r="AA45" s="16"/>
      <c r="AB45" s="16"/>
      <c r="AC45" s="16"/>
      <c r="AD45" s="16"/>
      <c r="AE45" s="16"/>
    </row>
    <row r="46" spans="1:31" ht="15.75" customHeight="1" x14ac:dyDescent="0.25">
      <c r="A46" s="6" t="s">
        <v>84</v>
      </c>
      <c r="B46" s="17" t="s">
        <v>88</v>
      </c>
      <c r="C46" s="29" t="s">
        <v>88</v>
      </c>
      <c r="D46" s="18">
        <v>181887</v>
      </c>
      <c r="E46" s="18">
        <v>9443</v>
      </c>
      <c r="F46" s="18"/>
      <c r="G46" s="61">
        <f t="shared" si="4"/>
        <v>191330</v>
      </c>
      <c r="H46" s="15">
        <v>19164</v>
      </c>
      <c r="I46" s="18">
        <v>201848</v>
      </c>
      <c r="J46" s="18">
        <v>5023</v>
      </c>
      <c r="K46" s="18"/>
      <c r="L46" s="14">
        <f t="shared" ref="L46:L54" si="5">SUM(I46:K46)</f>
        <v>206871</v>
      </c>
      <c r="M46" s="62">
        <f t="shared" si="2"/>
        <v>15541</v>
      </c>
      <c r="N46" s="19"/>
      <c r="O46" s="168"/>
      <c r="P46" s="19"/>
      <c r="Q46" s="242"/>
      <c r="R46" s="168"/>
      <c r="S46" s="168"/>
      <c r="T46" s="168"/>
      <c r="U46" s="168"/>
      <c r="V46" s="168"/>
      <c r="W46" s="168"/>
      <c r="X46" s="169"/>
      <c r="Y46" s="280"/>
      <c r="Z46" s="16"/>
      <c r="AA46" s="16"/>
      <c r="AB46" s="16"/>
      <c r="AC46" s="16"/>
      <c r="AD46" s="16"/>
      <c r="AE46" s="16"/>
    </row>
    <row r="47" spans="1:31" ht="15.75" customHeight="1" x14ac:dyDescent="0.25">
      <c r="A47" s="6" t="s">
        <v>84</v>
      </c>
      <c r="B47" s="17" t="s">
        <v>88</v>
      </c>
      <c r="C47" s="21" t="s">
        <v>220</v>
      </c>
      <c r="D47" s="18"/>
      <c r="E47" s="18">
        <v>40000</v>
      </c>
      <c r="F47" s="18"/>
      <c r="G47" s="61">
        <f>SUM(D47:F47)</f>
        <v>40000</v>
      </c>
      <c r="H47" s="15"/>
      <c r="I47" s="20"/>
      <c r="J47" s="18">
        <v>40000</v>
      </c>
      <c r="K47" s="18"/>
      <c r="L47" s="14">
        <f t="shared" si="5"/>
        <v>40000</v>
      </c>
      <c r="M47" s="62">
        <f t="shared" si="2"/>
        <v>0</v>
      </c>
      <c r="N47" s="19"/>
      <c r="O47" s="168"/>
      <c r="P47" s="19"/>
      <c r="Q47" s="242"/>
      <c r="R47" s="168"/>
      <c r="S47" s="168"/>
      <c r="T47" s="168"/>
      <c r="U47" s="168"/>
      <c r="V47" s="168"/>
      <c r="W47" s="168"/>
      <c r="X47" s="169"/>
      <c r="Y47" s="280"/>
      <c r="Z47" s="16"/>
      <c r="AA47" s="16"/>
      <c r="AB47" s="16"/>
      <c r="AC47" s="16"/>
      <c r="AD47" s="16"/>
      <c r="AE47" s="16"/>
    </row>
    <row r="48" spans="1:31" ht="15.75" customHeight="1" x14ac:dyDescent="0.25">
      <c r="A48" s="6" t="s">
        <v>84</v>
      </c>
      <c r="B48" s="17" t="s">
        <v>88</v>
      </c>
      <c r="C48" s="21" t="s">
        <v>221</v>
      </c>
      <c r="D48" s="18"/>
      <c r="E48" s="18">
        <v>40000</v>
      </c>
      <c r="F48" s="18"/>
      <c r="G48" s="61">
        <f t="shared" si="4"/>
        <v>40000</v>
      </c>
      <c r="H48" s="15"/>
      <c r="I48" s="20"/>
      <c r="J48" s="18">
        <v>40000</v>
      </c>
      <c r="K48" s="18"/>
      <c r="L48" s="14">
        <f t="shared" si="5"/>
        <v>40000</v>
      </c>
      <c r="M48" s="62">
        <f t="shared" si="2"/>
        <v>0</v>
      </c>
      <c r="N48" s="18"/>
      <c r="O48" s="168"/>
      <c r="P48" s="19"/>
      <c r="Q48" s="242"/>
      <c r="R48" s="168"/>
      <c r="S48" s="168"/>
      <c r="T48" s="168"/>
      <c r="U48" s="168"/>
      <c r="V48" s="168"/>
      <c r="W48" s="168"/>
      <c r="X48" s="170"/>
      <c r="Y48" s="280"/>
      <c r="Z48" s="16"/>
      <c r="AA48" s="16"/>
      <c r="AB48" s="16"/>
      <c r="AC48" s="16"/>
      <c r="AD48" s="16"/>
      <c r="AE48" s="16"/>
    </row>
    <row r="49" spans="1:31" ht="15.75" customHeight="1" x14ac:dyDescent="0.25">
      <c r="A49" s="109"/>
      <c r="B49" s="3"/>
      <c r="C49" s="37" t="s">
        <v>339</v>
      </c>
      <c r="D49" s="14"/>
      <c r="E49" s="14"/>
      <c r="F49" s="14"/>
      <c r="G49" s="61">
        <f>SUM(D49:F49)</f>
        <v>0</v>
      </c>
      <c r="H49" s="15"/>
      <c r="I49" s="14"/>
      <c r="J49" s="14"/>
      <c r="K49" s="14"/>
      <c r="L49" s="14">
        <f>SUM(I49:K49)</f>
        <v>0</v>
      </c>
      <c r="M49" s="62">
        <f>(L49-G49)</f>
        <v>0</v>
      </c>
      <c r="N49" s="14"/>
      <c r="O49" s="38"/>
      <c r="P49" s="15">
        <v>27000</v>
      </c>
      <c r="Q49" s="241"/>
      <c r="R49" s="38"/>
      <c r="S49" s="38"/>
      <c r="T49" s="38"/>
      <c r="U49" s="38"/>
      <c r="V49" s="38"/>
      <c r="W49" s="38"/>
      <c r="X49" s="167"/>
      <c r="Y49" s="280" t="s">
        <v>558</v>
      </c>
      <c r="Z49" s="16"/>
      <c r="AA49" s="16"/>
      <c r="AB49" s="16"/>
      <c r="AC49" s="16"/>
      <c r="AD49" s="16"/>
      <c r="AE49" s="16"/>
    </row>
    <row r="50" spans="1:31" ht="15.75" customHeight="1" x14ac:dyDescent="0.25">
      <c r="A50" s="23"/>
      <c r="B50" s="23"/>
      <c r="C50" s="24" t="s">
        <v>188</v>
      </c>
      <c r="D50" s="87">
        <f>SUM(D16:D48)</f>
        <v>1874183</v>
      </c>
      <c r="E50" s="87">
        <f>SUM(E16:E48)</f>
        <v>598325</v>
      </c>
      <c r="F50" s="87">
        <f>SUM(F16:F48)</f>
        <v>20550</v>
      </c>
      <c r="G50" s="59">
        <f t="shared" ref="G50:G51" si="6">SUM(D50:F50)</f>
        <v>2493058</v>
      </c>
      <c r="H50" s="87">
        <f>SUM(H16:H48)</f>
        <v>326735</v>
      </c>
      <c r="I50" s="87">
        <f>SUM(I16:I49)</f>
        <v>1913019</v>
      </c>
      <c r="J50" s="87">
        <f>SUM(J16:J49)</f>
        <v>596111</v>
      </c>
      <c r="K50" s="87">
        <f>SUM(K16:K49)</f>
        <v>1</v>
      </c>
      <c r="L50" s="74">
        <f>SUM(I50:K50)</f>
        <v>2509131</v>
      </c>
      <c r="M50" s="60">
        <f t="shared" si="2"/>
        <v>16073</v>
      </c>
      <c r="N50" s="87">
        <f>SUM(N16:N49)</f>
        <v>34312</v>
      </c>
      <c r="O50" s="171">
        <f>SUM(O16:O49)</f>
        <v>14164</v>
      </c>
      <c r="P50" s="207">
        <f>SUM(P16:P49)</f>
        <v>27000</v>
      </c>
      <c r="Q50" s="257">
        <f>SUM(Q16:Q49)</f>
        <v>43037</v>
      </c>
      <c r="R50" s="171">
        <f t="shared" ref="R50:Y50" si="7">SUM(R16:R48)</f>
        <v>0</v>
      </c>
      <c r="S50" s="171">
        <f t="shared" si="7"/>
        <v>25000</v>
      </c>
      <c r="T50" s="171">
        <f t="shared" si="7"/>
        <v>0</v>
      </c>
      <c r="U50" s="171">
        <f>SUM(U16:U49)</f>
        <v>23310</v>
      </c>
      <c r="V50" s="171">
        <f>SUM(V16:V49)</f>
        <v>23310</v>
      </c>
      <c r="W50" s="171">
        <f t="shared" si="7"/>
        <v>0</v>
      </c>
      <c r="X50" s="171">
        <f t="shared" si="7"/>
        <v>0</v>
      </c>
      <c r="Y50" s="281">
        <f t="shared" si="7"/>
        <v>0</v>
      </c>
      <c r="Z50" s="23"/>
      <c r="AA50" s="23"/>
      <c r="AB50" s="23"/>
      <c r="AC50" s="23"/>
      <c r="AD50" s="23"/>
      <c r="AE50" s="23"/>
    </row>
    <row r="51" spans="1:31" ht="15.75" customHeight="1" x14ac:dyDescent="0.25">
      <c r="A51" s="25" t="s">
        <v>108</v>
      </c>
      <c r="B51" s="25" t="s">
        <v>110</v>
      </c>
      <c r="C51" s="25" t="s">
        <v>110</v>
      </c>
      <c r="D51" s="74">
        <v>38052</v>
      </c>
      <c r="E51" s="74">
        <v>12625</v>
      </c>
      <c r="F51" s="87"/>
      <c r="G51" s="59">
        <f t="shared" si="6"/>
        <v>50677</v>
      </c>
      <c r="H51" s="90">
        <f>41854-38447</f>
        <v>3407</v>
      </c>
      <c r="I51" s="74">
        <v>38447</v>
      </c>
      <c r="J51" s="74">
        <v>9181</v>
      </c>
      <c r="K51" s="74"/>
      <c r="L51" s="74">
        <f>SUM(I51:K51)</f>
        <v>47628</v>
      </c>
      <c r="M51" s="60">
        <f t="shared" si="2"/>
        <v>-3049</v>
      </c>
      <c r="N51" s="87"/>
      <c r="O51" s="171"/>
      <c r="P51" s="208"/>
      <c r="Q51" s="243"/>
      <c r="R51" s="171"/>
      <c r="S51" s="171"/>
      <c r="T51" s="171"/>
      <c r="U51" s="171"/>
      <c r="V51" s="171"/>
      <c r="W51" s="171"/>
      <c r="X51" s="172"/>
      <c r="Y51" s="282"/>
      <c r="Z51" s="23"/>
      <c r="AA51" s="23"/>
      <c r="AB51" s="23"/>
      <c r="AC51" s="23"/>
      <c r="AD51" s="23"/>
      <c r="AE51" s="23"/>
    </row>
    <row r="52" spans="1:31" ht="15.75" customHeight="1" x14ac:dyDescent="0.25">
      <c r="A52" s="23"/>
      <c r="B52" s="23"/>
      <c r="C52" s="26" t="s">
        <v>188</v>
      </c>
      <c r="D52" s="88">
        <f t="shared" ref="D52:F52" si="8">SUM(D51)</f>
        <v>38052</v>
      </c>
      <c r="E52" s="88">
        <f t="shared" si="8"/>
        <v>12625</v>
      </c>
      <c r="F52" s="88">
        <f t="shared" si="8"/>
        <v>0</v>
      </c>
      <c r="G52" s="27">
        <f>SUM(D52:F52)</f>
        <v>50677</v>
      </c>
      <c r="H52" s="88">
        <f t="shared" ref="H52:K52" si="9">SUM(H51)</f>
        <v>3407</v>
      </c>
      <c r="I52" s="88">
        <f t="shared" si="9"/>
        <v>38447</v>
      </c>
      <c r="J52" s="88">
        <f t="shared" si="9"/>
        <v>9181</v>
      </c>
      <c r="K52" s="88">
        <f t="shared" si="9"/>
        <v>0</v>
      </c>
      <c r="L52" s="89">
        <f t="shared" si="5"/>
        <v>47628</v>
      </c>
      <c r="M52" s="28">
        <f t="shared" si="2"/>
        <v>-3049</v>
      </c>
      <c r="N52" s="88">
        <f t="shared" ref="N52:X52" si="10">SUM(N51)</f>
        <v>0</v>
      </c>
      <c r="O52" s="173">
        <f t="shared" si="10"/>
        <v>0</v>
      </c>
      <c r="P52" s="207">
        <f>SUM(P51)</f>
        <v>0</v>
      </c>
      <c r="Q52" s="257">
        <f>SUM(Q51)</f>
        <v>0</v>
      </c>
      <c r="R52" s="173">
        <f t="shared" si="10"/>
        <v>0</v>
      </c>
      <c r="S52" s="173">
        <f t="shared" si="10"/>
        <v>0</v>
      </c>
      <c r="T52" s="173">
        <f t="shared" si="10"/>
        <v>0</v>
      </c>
      <c r="U52" s="173">
        <f t="shared" si="10"/>
        <v>0</v>
      </c>
      <c r="V52" s="173">
        <f t="shared" si="10"/>
        <v>0</v>
      </c>
      <c r="W52" s="173">
        <f t="shared" si="10"/>
        <v>0</v>
      </c>
      <c r="X52" s="173">
        <f t="shared" si="10"/>
        <v>0</v>
      </c>
      <c r="Y52" s="282"/>
      <c r="Z52" s="23"/>
      <c r="AA52" s="23"/>
      <c r="AB52" s="23"/>
      <c r="AC52" s="23"/>
      <c r="AD52" s="23"/>
      <c r="AE52" s="23"/>
    </row>
    <row r="53" spans="1:31" ht="15.75" customHeight="1" x14ac:dyDescent="0.25">
      <c r="A53" s="25" t="s">
        <v>108</v>
      </c>
      <c r="B53" s="25" t="s">
        <v>109</v>
      </c>
      <c r="C53" s="25" t="s">
        <v>109</v>
      </c>
      <c r="D53" s="74">
        <v>58943</v>
      </c>
      <c r="E53" s="74">
        <v>10031</v>
      </c>
      <c r="F53" s="87"/>
      <c r="G53" s="59">
        <f t="shared" ref="G53" si="11">SUM(D53:F53)</f>
        <v>68974</v>
      </c>
      <c r="H53" s="90">
        <f>53288-64731</f>
        <v>-11443</v>
      </c>
      <c r="I53" s="74">
        <v>64731</v>
      </c>
      <c r="J53" s="74">
        <v>4515</v>
      </c>
      <c r="K53" s="74"/>
      <c r="L53" s="74">
        <f t="shared" si="5"/>
        <v>69246</v>
      </c>
      <c r="M53" s="60">
        <f t="shared" si="2"/>
        <v>272</v>
      </c>
      <c r="N53" s="87"/>
      <c r="O53" s="171"/>
      <c r="P53" s="208"/>
      <c r="Q53" s="243"/>
      <c r="R53" s="171"/>
      <c r="S53" s="171"/>
      <c r="T53" s="171"/>
      <c r="U53" s="171"/>
      <c r="V53" s="171"/>
      <c r="W53" s="171"/>
      <c r="X53" s="172"/>
      <c r="Y53" s="283"/>
      <c r="Z53" s="23"/>
      <c r="AA53" s="23"/>
      <c r="AB53" s="23"/>
      <c r="AC53" s="23"/>
      <c r="AD53" s="23"/>
      <c r="AE53" s="23"/>
    </row>
    <row r="54" spans="1:31" ht="15.75" customHeight="1" x14ac:dyDescent="0.25">
      <c r="A54" s="23"/>
      <c r="B54" s="23"/>
      <c r="C54" s="24" t="s">
        <v>188</v>
      </c>
      <c r="D54" s="87">
        <f t="shared" ref="D54:F54" si="12">SUM(D53)</f>
        <v>58943</v>
      </c>
      <c r="E54" s="87">
        <f t="shared" si="12"/>
        <v>10031</v>
      </c>
      <c r="F54" s="87">
        <f t="shared" si="12"/>
        <v>0</v>
      </c>
      <c r="G54" s="59">
        <f>SUM(D54:F54)</f>
        <v>68974</v>
      </c>
      <c r="H54" s="87">
        <f t="shared" ref="H54:K54" si="13">SUM(H53)</f>
        <v>-11443</v>
      </c>
      <c r="I54" s="87">
        <f t="shared" si="13"/>
        <v>64731</v>
      </c>
      <c r="J54" s="87">
        <f t="shared" si="13"/>
        <v>4515</v>
      </c>
      <c r="K54" s="87">
        <f t="shared" si="13"/>
        <v>0</v>
      </c>
      <c r="L54" s="74">
        <f t="shared" si="5"/>
        <v>69246</v>
      </c>
      <c r="M54" s="60">
        <f t="shared" si="2"/>
        <v>272</v>
      </c>
      <c r="N54" s="87">
        <f t="shared" ref="N54:X54" si="14">SUM(N53)</f>
        <v>0</v>
      </c>
      <c r="O54" s="171">
        <f t="shared" si="14"/>
        <v>0</v>
      </c>
      <c r="P54" s="208">
        <f>SUM(P53)</f>
        <v>0</v>
      </c>
      <c r="Q54" s="243">
        <f>SUM(Q53)</f>
        <v>0</v>
      </c>
      <c r="R54" s="171">
        <f t="shared" si="14"/>
        <v>0</v>
      </c>
      <c r="S54" s="171">
        <f t="shared" si="14"/>
        <v>0</v>
      </c>
      <c r="T54" s="171">
        <f t="shared" si="14"/>
        <v>0</v>
      </c>
      <c r="U54" s="171">
        <f t="shared" si="14"/>
        <v>0</v>
      </c>
      <c r="V54" s="171">
        <f t="shared" si="14"/>
        <v>0</v>
      </c>
      <c r="W54" s="171">
        <f t="shared" si="14"/>
        <v>0</v>
      </c>
      <c r="X54" s="171">
        <f t="shared" si="14"/>
        <v>0</v>
      </c>
      <c r="Y54" s="282"/>
      <c r="Z54" s="23"/>
      <c r="AA54" s="23"/>
      <c r="AB54" s="23"/>
      <c r="AC54" s="23"/>
      <c r="AD54" s="23"/>
      <c r="AE54" s="23"/>
    </row>
    <row r="55" spans="1:31" ht="15.75" customHeight="1" x14ac:dyDescent="0.25">
      <c r="A55" s="23"/>
      <c r="B55" s="23"/>
      <c r="C55" s="123"/>
      <c r="D55" s="124"/>
      <c r="E55" s="124"/>
      <c r="F55" s="124"/>
      <c r="G55" s="125"/>
      <c r="H55" s="137"/>
      <c r="I55" s="124"/>
      <c r="J55" s="124"/>
      <c r="K55" s="124"/>
      <c r="L55" s="126"/>
      <c r="M55" s="127"/>
      <c r="N55" s="124"/>
      <c r="O55" s="174"/>
      <c r="P55" s="209"/>
      <c r="Q55" s="244"/>
      <c r="R55" s="174"/>
      <c r="S55" s="174"/>
      <c r="T55" s="174"/>
      <c r="U55" s="174"/>
      <c r="V55" s="174"/>
      <c r="W55" s="174"/>
      <c r="X55" s="175"/>
      <c r="Y55" s="282"/>
      <c r="Z55" s="23"/>
      <c r="AA55" s="23"/>
      <c r="AB55" s="23"/>
      <c r="AC55" s="23"/>
      <c r="AD55" s="23"/>
      <c r="AE55" s="23"/>
    </row>
    <row r="56" spans="1:31" ht="15.75" customHeight="1" x14ac:dyDescent="0.25">
      <c r="A56" s="6" t="s">
        <v>111</v>
      </c>
      <c r="B56" s="29" t="s">
        <v>131</v>
      </c>
      <c r="C56" s="128" t="s">
        <v>131</v>
      </c>
      <c r="D56" s="14">
        <v>21477</v>
      </c>
      <c r="E56" s="14">
        <v>4182</v>
      </c>
      <c r="F56" s="14"/>
      <c r="G56" s="61">
        <f t="shared" ref="G56:G80" si="15">SUM(D56:F56)</f>
        <v>25659</v>
      </c>
      <c r="H56" s="15">
        <f>24315-21357</f>
        <v>2958</v>
      </c>
      <c r="I56" s="14">
        <v>21357</v>
      </c>
      <c r="J56" s="14">
        <v>2961</v>
      </c>
      <c r="K56" s="30"/>
      <c r="L56" s="14">
        <f t="shared" ref="L56:L91" si="16">SUM(I56:K56)</f>
        <v>24318</v>
      </c>
      <c r="M56" s="62">
        <f t="shared" ref="M56:M91" si="17">(L56-G56)</f>
        <v>-1341</v>
      </c>
      <c r="N56" s="15"/>
      <c r="O56" s="38"/>
      <c r="P56" s="15"/>
      <c r="Q56" s="241"/>
      <c r="R56" s="38"/>
      <c r="S56" s="38"/>
      <c r="T56" s="38"/>
      <c r="U56" s="38"/>
      <c r="V56" s="38"/>
      <c r="W56" s="38"/>
      <c r="X56" s="176"/>
    </row>
    <row r="57" spans="1:31" ht="15.75" customHeight="1" x14ac:dyDescent="0.25">
      <c r="A57" s="6" t="s">
        <v>111</v>
      </c>
      <c r="B57" s="29" t="s">
        <v>131</v>
      </c>
      <c r="C57" s="129" t="s">
        <v>227</v>
      </c>
      <c r="D57" s="14">
        <v>12686</v>
      </c>
      <c r="E57" s="14">
        <v>4659</v>
      </c>
      <c r="F57" s="14">
        <v>850</v>
      </c>
      <c r="G57" s="61">
        <f t="shared" si="15"/>
        <v>18195</v>
      </c>
      <c r="H57" s="15">
        <f>14355-12686</f>
        <v>1669</v>
      </c>
      <c r="I57" s="14">
        <v>12686</v>
      </c>
      <c r="J57" s="14">
        <v>7035</v>
      </c>
      <c r="K57" s="14">
        <v>850</v>
      </c>
      <c r="L57" s="14">
        <f>SUM(I57:K57)</f>
        <v>20571</v>
      </c>
      <c r="M57" s="62">
        <f t="shared" si="17"/>
        <v>2376</v>
      </c>
      <c r="N57" s="15"/>
      <c r="O57" s="38"/>
      <c r="P57" s="15"/>
      <c r="Q57" s="241"/>
      <c r="R57" s="38"/>
      <c r="S57" s="38"/>
      <c r="T57" s="38"/>
      <c r="U57" s="38"/>
      <c r="V57" s="38"/>
      <c r="W57" s="38"/>
      <c r="X57" s="176"/>
    </row>
    <row r="58" spans="1:31" ht="15.75" customHeight="1" x14ac:dyDescent="0.25">
      <c r="A58" s="6" t="s">
        <v>111</v>
      </c>
      <c r="B58" s="29" t="s">
        <v>131</v>
      </c>
      <c r="C58" s="129" t="s">
        <v>228</v>
      </c>
      <c r="D58" s="14">
        <v>12656</v>
      </c>
      <c r="E58" s="14">
        <v>9195</v>
      </c>
      <c r="F58" s="14">
        <v>500</v>
      </c>
      <c r="G58" s="61">
        <f t="shared" si="15"/>
        <v>22351</v>
      </c>
      <c r="H58" s="15">
        <f>15363-12856</f>
        <v>2507</v>
      </c>
      <c r="I58" s="14">
        <v>12856</v>
      </c>
      <c r="J58" s="14">
        <v>11777</v>
      </c>
      <c r="K58" s="14"/>
      <c r="L58" s="14">
        <f t="shared" si="16"/>
        <v>24633</v>
      </c>
      <c r="M58" s="62">
        <f t="shared" si="17"/>
        <v>2282</v>
      </c>
      <c r="N58" s="15"/>
      <c r="O58" s="38"/>
      <c r="P58" s="15"/>
      <c r="Q58" s="241"/>
      <c r="R58" s="38"/>
      <c r="S58" s="38"/>
      <c r="T58" s="38"/>
      <c r="U58" s="38"/>
      <c r="V58" s="38"/>
      <c r="W58" s="38"/>
      <c r="X58" s="176"/>
    </row>
    <row r="59" spans="1:31" ht="15.75" customHeight="1" x14ac:dyDescent="0.25">
      <c r="A59" s="6" t="s">
        <v>111</v>
      </c>
      <c r="B59" s="29" t="s">
        <v>131</v>
      </c>
      <c r="C59" s="129" t="s">
        <v>229</v>
      </c>
      <c r="D59" s="14">
        <v>1797</v>
      </c>
      <c r="E59" s="14">
        <v>13610</v>
      </c>
      <c r="F59" s="14"/>
      <c r="G59" s="61">
        <f t="shared" si="15"/>
        <v>15407</v>
      </c>
      <c r="H59" s="15">
        <f>2207-2149</f>
        <v>58</v>
      </c>
      <c r="I59" s="14">
        <v>2149</v>
      </c>
      <c r="J59" s="14">
        <v>24825</v>
      </c>
      <c r="K59" s="14"/>
      <c r="L59" s="14">
        <f t="shared" si="16"/>
        <v>26974</v>
      </c>
      <c r="M59" s="62">
        <f t="shared" si="17"/>
        <v>11567</v>
      </c>
      <c r="N59" s="15"/>
      <c r="O59" s="38"/>
      <c r="P59" s="15"/>
      <c r="Q59" s="241"/>
      <c r="R59" s="38"/>
      <c r="S59" s="38"/>
      <c r="T59" s="38"/>
      <c r="U59" s="38"/>
      <c r="V59" s="38"/>
      <c r="W59" s="38"/>
      <c r="X59" s="176"/>
    </row>
    <row r="60" spans="1:31" ht="15.75" customHeight="1" x14ac:dyDescent="0.25">
      <c r="A60" s="6" t="s">
        <v>111</v>
      </c>
      <c r="B60" s="29" t="s">
        <v>131</v>
      </c>
      <c r="C60" s="129" t="s">
        <v>64</v>
      </c>
      <c r="D60" s="14"/>
      <c r="E60" s="14">
        <v>2683</v>
      </c>
      <c r="F60" s="14"/>
      <c r="G60" s="61">
        <f t="shared" si="15"/>
        <v>2683</v>
      </c>
      <c r="H60" s="15"/>
      <c r="I60" s="30"/>
      <c r="J60" s="14">
        <v>5270</v>
      </c>
      <c r="K60" s="14"/>
      <c r="L60" s="14">
        <f t="shared" si="16"/>
        <v>5270</v>
      </c>
      <c r="M60" s="62">
        <f t="shared" si="17"/>
        <v>2587</v>
      </c>
      <c r="N60" s="15"/>
      <c r="O60" s="38"/>
      <c r="P60" s="15"/>
      <c r="Q60" s="241"/>
      <c r="R60" s="38"/>
      <c r="S60" s="38"/>
      <c r="T60" s="38"/>
      <c r="U60" s="38"/>
      <c r="V60" s="38"/>
      <c r="W60" s="38"/>
      <c r="X60" s="176"/>
      <c r="Z60" s="46"/>
    </row>
    <row r="61" spans="1:31" ht="15.75" customHeight="1" x14ac:dyDescent="0.25">
      <c r="A61" s="6" t="s">
        <v>111</v>
      </c>
      <c r="B61" s="29" t="s">
        <v>131</v>
      </c>
      <c r="C61" s="130" t="s">
        <v>230</v>
      </c>
      <c r="D61" s="131"/>
      <c r="E61" s="131">
        <v>1582</v>
      </c>
      <c r="F61" s="131">
        <v>6763</v>
      </c>
      <c r="G61" s="132">
        <f t="shared" si="15"/>
        <v>8345</v>
      </c>
      <c r="H61" s="134"/>
      <c r="I61" s="131"/>
      <c r="J61" s="131">
        <v>8696</v>
      </c>
      <c r="K61" s="131"/>
      <c r="L61" s="131">
        <f t="shared" si="16"/>
        <v>8696</v>
      </c>
      <c r="M61" s="133">
        <f t="shared" si="17"/>
        <v>351</v>
      </c>
      <c r="N61" s="134"/>
      <c r="O61" s="177"/>
      <c r="P61" s="134"/>
      <c r="Q61" s="245"/>
      <c r="R61" s="177"/>
      <c r="S61" s="177"/>
      <c r="T61" s="177"/>
      <c r="U61" s="177"/>
      <c r="V61" s="177"/>
      <c r="W61" s="177"/>
      <c r="X61" s="178"/>
    </row>
    <row r="62" spans="1:31" ht="15.75" customHeight="1" x14ac:dyDescent="0.25">
      <c r="A62" s="6" t="s">
        <v>111</v>
      </c>
      <c r="B62" s="29" t="s">
        <v>131</v>
      </c>
      <c r="C62" s="31" t="s">
        <v>231</v>
      </c>
      <c r="D62" s="14"/>
      <c r="E62" s="14"/>
      <c r="F62" s="14"/>
      <c r="G62" s="61">
        <f t="shared" si="15"/>
        <v>0</v>
      </c>
      <c r="H62" s="15"/>
      <c r="I62" s="30"/>
      <c r="J62" s="14"/>
      <c r="K62" s="14"/>
      <c r="L62" s="14">
        <f t="shared" si="16"/>
        <v>0</v>
      </c>
      <c r="M62" s="62">
        <f t="shared" si="17"/>
        <v>0</v>
      </c>
      <c r="N62" s="15"/>
      <c r="O62" s="38"/>
      <c r="P62" s="15"/>
      <c r="Q62" s="241"/>
      <c r="R62" s="38"/>
      <c r="S62" s="38"/>
      <c r="T62" s="38"/>
      <c r="U62" s="38"/>
      <c r="V62" s="38"/>
      <c r="W62" s="38"/>
      <c r="X62" s="167"/>
    </row>
    <row r="63" spans="1:31" ht="15.75" customHeight="1" x14ac:dyDescent="0.25">
      <c r="A63" s="6" t="s">
        <v>111</v>
      </c>
      <c r="B63" s="29" t="s">
        <v>131</v>
      </c>
      <c r="C63" s="17" t="s">
        <v>559</v>
      </c>
      <c r="D63" s="14"/>
      <c r="E63" s="14"/>
      <c r="F63" s="14"/>
      <c r="G63" s="61">
        <f t="shared" si="15"/>
        <v>0</v>
      </c>
      <c r="H63" s="15"/>
      <c r="I63" s="30"/>
      <c r="J63" s="14"/>
      <c r="K63" s="14"/>
      <c r="L63" s="14">
        <f t="shared" si="16"/>
        <v>0</v>
      </c>
      <c r="M63" s="62">
        <f t="shared" si="17"/>
        <v>0</v>
      </c>
      <c r="N63" s="15"/>
      <c r="O63" s="38"/>
      <c r="P63" s="15">
        <v>10000</v>
      </c>
      <c r="Q63" s="241"/>
      <c r="R63" s="38"/>
      <c r="S63" s="38"/>
      <c r="T63" s="38"/>
      <c r="U63" s="38"/>
      <c r="V63" s="38"/>
      <c r="W63" s="38"/>
      <c r="X63" s="167"/>
    </row>
    <row r="64" spans="1:31" ht="15.75" customHeight="1" x14ac:dyDescent="0.25">
      <c r="A64" s="109"/>
      <c r="B64" s="13"/>
      <c r="C64" s="13" t="s">
        <v>560</v>
      </c>
      <c r="D64" s="14"/>
      <c r="E64" s="14"/>
      <c r="F64" s="14"/>
      <c r="G64" s="61">
        <f>SUM(D64:F64)</f>
        <v>0</v>
      </c>
      <c r="H64" s="15"/>
      <c r="I64" s="14"/>
      <c r="J64" s="14"/>
      <c r="K64" s="14"/>
      <c r="L64" s="14">
        <f>SUM(I64:K64)</f>
        <v>0</v>
      </c>
      <c r="M64" s="62">
        <f>(L64-G64)</f>
        <v>0</v>
      </c>
      <c r="N64" s="14"/>
      <c r="O64" s="38"/>
      <c r="P64" s="15">
        <v>2500</v>
      </c>
      <c r="Q64" s="241"/>
      <c r="R64" s="38"/>
      <c r="S64" s="38"/>
      <c r="T64" s="38"/>
      <c r="U64" s="38"/>
      <c r="V64" s="38"/>
      <c r="W64" s="38"/>
      <c r="X64" s="167"/>
    </row>
    <row r="65" spans="1:26" ht="15.75" customHeight="1" x14ac:dyDescent="0.25">
      <c r="A65" s="109"/>
      <c r="B65" s="13"/>
      <c r="C65" s="13" t="s">
        <v>561</v>
      </c>
      <c r="D65" s="14"/>
      <c r="E65" s="14"/>
      <c r="F65" s="14"/>
      <c r="G65" s="61">
        <f>SUM(D65:F65)</f>
        <v>0</v>
      </c>
      <c r="H65" s="15"/>
      <c r="I65" s="14"/>
      <c r="J65" s="14"/>
      <c r="K65" s="14"/>
      <c r="L65" s="14">
        <f>SUM(I65:K65)</f>
        <v>0</v>
      </c>
      <c r="M65" s="62">
        <f>(L65-G65)</f>
        <v>0</v>
      </c>
      <c r="N65" s="14"/>
      <c r="O65" s="38"/>
      <c r="P65" s="15">
        <v>2500</v>
      </c>
      <c r="Q65" s="241"/>
      <c r="R65" s="38"/>
      <c r="S65" s="38"/>
      <c r="T65" s="38"/>
      <c r="U65" s="38"/>
      <c r="V65" s="38"/>
      <c r="W65" s="38"/>
      <c r="X65" s="167"/>
    </row>
    <row r="66" spans="1:26" ht="15.75" customHeight="1" x14ac:dyDescent="0.25">
      <c r="A66" s="109"/>
      <c r="B66" s="13"/>
      <c r="C66" s="13" t="s">
        <v>562</v>
      </c>
      <c r="D66" s="14"/>
      <c r="E66" s="14"/>
      <c r="F66" s="14"/>
      <c r="G66" s="61">
        <f>SUM(D66:F66)</f>
        <v>0</v>
      </c>
      <c r="H66" s="15"/>
      <c r="I66" s="14"/>
      <c r="J66" s="14"/>
      <c r="K66" s="14"/>
      <c r="L66" s="14">
        <f>SUM(I66:K66)</f>
        <v>0</v>
      </c>
      <c r="M66" s="62">
        <f>(L66-G66)</f>
        <v>0</v>
      </c>
      <c r="N66" s="14"/>
      <c r="O66" s="38"/>
      <c r="P66" s="310">
        <v>500</v>
      </c>
      <c r="Q66" s="241"/>
      <c r="R66" s="38"/>
      <c r="S66" s="38"/>
      <c r="T66" s="38"/>
      <c r="U66" s="38"/>
      <c r="V66" s="38"/>
      <c r="W66" s="38"/>
      <c r="X66" s="167"/>
      <c r="Y66" s="277" t="s">
        <v>563</v>
      </c>
    </row>
    <row r="67" spans="1:26" ht="15.75" customHeight="1" x14ac:dyDescent="0.25">
      <c r="A67" s="6" t="s">
        <v>111</v>
      </c>
      <c r="B67" s="29" t="s">
        <v>131</v>
      </c>
      <c r="C67" s="17" t="s">
        <v>564</v>
      </c>
      <c r="D67" s="14"/>
      <c r="E67" s="14"/>
      <c r="F67" s="14"/>
      <c r="G67" s="61">
        <f t="shared" si="15"/>
        <v>0</v>
      </c>
      <c r="H67" s="15"/>
      <c r="I67" s="30"/>
      <c r="J67" s="14"/>
      <c r="K67" s="14"/>
      <c r="L67" s="14">
        <f t="shared" si="16"/>
        <v>0</v>
      </c>
      <c r="M67" s="62">
        <f t="shared" si="17"/>
        <v>0</v>
      </c>
      <c r="N67" s="15"/>
      <c r="O67" s="38"/>
      <c r="P67" s="15"/>
      <c r="Q67" s="241"/>
      <c r="R67" s="38"/>
      <c r="S67" s="38"/>
      <c r="T67" s="38">
        <v>1000</v>
      </c>
      <c r="U67" s="38"/>
      <c r="V67" s="38"/>
      <c r="W67" s="38"/>
      <c r="X67" s="167"/>
    </row>
    <row r="68" spans="1:26" ht="15.75" customHeight="1" x14ac:dyDescent="0.25">
      <c r="A68" s="6" t="s">
        <v>111</v>
      </c>
      <c r="B68" s="29" t="s">
        <v>131</v>
      </c>
      <c r="C68" s="17" t="s">
        <v>565</v>
      </c>
      <c r="D68" s="14"/>
      <c r="E68" s="14"/>
      <c r="F68" s="14"/>
      <c r="G68" s="61">
        <f t="shared" si="15"/>
        <v>0</v>
      </c>
      <c r="H68" s="15"/>
      <c r="I68" s="30"/>
      <c r="J68" s="14"/>
      <c r="K68" s="14"/>
      <c r="L68" s="14">
        <f t="shared" si="16"/>
        <v>0</v>
      </c>
      <c r="M68" s="62">
        <f t="shared" si="17"/>
        <v>0</v>
      </c>
      <c r="N68" s="15"/>
      <c r="O68" s="38"/>
      <c r="P68" s="15"/>
      <c r="Q68" s="241"/>
      <c r="R68" s="38"/>
      <c r="S68" s="38"/>
      <c r="T68" s="38">
        <v>4000</v>
      </c>
      <c r="U68" s="38"/>
      <c r="V68" s="38"/>
      <c r="W68" s="38"/>
      <c r="X68" s="167"/>
    </row>
    <row r="69" spans="1:26" ht="15.75" customHeight="1" x14ac:dyDescent="0.25">
      <c r="A69" s="6" t="s">
        <v>111</v>
      </c>
      <c r="B69" s="29" t="s">
        <v>131</v>
      </c>
      <c r="C69" s="17" t="s">
        <v>566</v>
      </c>
      <c r="D69" s="14"/>
      <c r="E69" s="14"/>
      <c r="F69" s="14"/>
      <c r="G69" s="61">
        <f t="shared" si="15"/>
        <v>0</v>
      </c>
      <c r="H69" s="15"/>
      <c r="I69" s="30"/>
      <c r="J69" s="14"/>
      <c r="K69" s="14"/>
      <c r="L69" s="14">
        <f t="shared" si="16"/>
        <v>0</v>
      </c>
      <c r="M69" s="62">
        <f t="shared" si="17"/>
        <v>0</v>
      </c>
      <c r="N69" s="15"/>
      <c r="O69" s="38"/>
      <c r="P69" s="15"/>
      <c r="Q69" s="241"/>
      <c r="R69" s="38"/>
      <c r="S69" s="38"/>
      <c r="T69" s="38">
        <v>350</v>
      </c>
      <c r="U69" s="38"/>
      <c r="V69" s="38"/>
      <c r="W69" s="38"/>
      <c r="X69" s="167"/>
    </row>
    <row r="70" spans="1:26" ht="15.75" customHeight="1" x14ac:dyDescent="0.25">
      <c r="A70" s="6" t="s">
        <v>111</v>
      </c>
      <c r="B70" s="29" t="s">
        <v>131</v>
      </c>
      <c r="C70" s="17" t="s">
        <v>567</v>
      </c>
      <c r="D70" s="14"/>
      <c r="E70" s="14"/>
      <c r="F70" s="14"/>
      <c r="G70" s="61">
        <f t="shared" si="15"/>
        <v>0</v>
      </c>
      <c r="H70" s="15"/>
      <c r="I70" s="30"/>
      <c r="J70" s="30"/>
      <c r="K70" s="14"/>
      <c r="L70" s="14">
        <f t="shared" si="16"/>
        <v>0</v>
      </c>
      <c r="M70" s="62">
        <f t="shared" si="17"/>
        <v>0</v>
      </c>
      <c r="N70" s="15"/>
      <c r="O70" s="38"/>
      <c r="P70" s="15"/>
      <c r="Q70" s="241"/>
      <c r="R70" s="38"/>
      <c r="S70" s="38"/>
      <c r="T70" s="38">
        <v>3000</v>
      </c>
      <c r="U70" s="38"/>
      <c r="V70" s="38"/>
      <c r="W70" s="38"/>
      <c r="X70" s="167"/>
    </row>
    <row r="71" spans="1:26" ht="15.75" customHeight="1" x14ac:dyDescent="0.25">
      <c r="A71" s="6" t="s">
        <v>111</v>
      </c>
      <c r="B71" s="29" t="s">
        <v>131</v>
      </c>
      <c r="C71" s="17" t="s">
        <v>568</v>
      </c>
      <c r="D71" s="14"/>
      <c r="E71" s="14"/>
      <c r="F71" s="14"/>
      <c r="G71" s="61">
        <f t="shared" si="15"/>
        <v>0</v>
      </c>
      <c r="H71" s="15"/>
      <c r="I71" s="30"/>
      <c r="J71" s="30"/>
      <c r="K71" s="14"/>
      <c r="L71" s="14">
        <f t="shared" si="16"/>
        <v>0</v>
      </c>
      <c r="M71" s="62">
        <f t="shared" si="17"/>
        <v>0</v>
      </c>
      <c r="N71" s="15"/>
      <c r="O71" s="38"/>
      <c r="P71" s="15"/>
      <c r="Q71" s="241"/>
      <c r="R71" s="38"/>
      <c r="S71" s="38"/>
      <c r="T71" s="38"/>
      <c r="U71" s="38"/>
      <c r="V71" s="38"/>
      <c r="W71" s="38"/>
      <c r="X71" s="167"/>
    </row>
    <row r="72" spans="1:26" ht="15.75" customHeight="1" x14ac:dyDescent="0.25">
      <c r="A72" s="6" t="s">
        <v>111</v>
      </c>
      <c r="B72" s="29" t="s">
        <v>131</v>
      </c>
      <c r="C72" s="17" t="s">
        <v>569</v>
      </c>
      <c r="D72" s="14"/>
      <c r="E72" s="14"/>
      <c r="F72" s="14"/>
      <c r="G72" s="61">
        <f t="shared" si="15"/>
        <v>0</v>
      </c>
      <c r="H72" s="15"/>
      <c r="I72" s="30"/>
      <c r="J72" s="30"/>
      <c r="K72" s="14"/>
      <c r="L72" s="14">
        <f t="shared" si="16"/>
        <v>0</v>
      </c>
      <c r="M72" s="62">
        <f t="shared" si="17"/>
        <v>0</v>
      </c>
      <c r="N72" s="15"/>
      <c r="O72" s="38"/>
      <c r="P72" s="15"/>
      <c r="Q72" s="241"/>
      <c r="R72" s="38"/>
      <c r="S72" s="38"/>
      <c r="T72" s="38">
        <v>300</v>
      </c>
      <c r="U72" s="38"/>
      <c r="V72" s="38"/>
      <c r="W72" s="38"/>
      <c r="X72" s="167"/>
    </row>
    <row r="73" spans="1:26" ht="15.75" customHeight="1" x14ac:dyDescent="0.25">
      <c r="A73" s="6" t="s">
        <v>111</v>
      </c>
      <c r="B73" s="29" t="s">
        <v>131</v>
      </c>
      <c r="C73" s="17" t="s">
        <v>570</v>
      </c>
      <c r="D73" s="14"/>
      <c r="E73" s="14"/>
      <c r="F73" s="14"/>
      <c r="G73" s="61">
        <f t="shared" si="15"/>
        <v>0</v>
      </c>
      <c r="H73" s="15"/>
      <c r="I73" s="14"/>
      <c r="J73" s="14"/>
      <c r="K73" s="14"/>
      <c r="L73" s="14">
        <f t="shared" si="16"/>
        <v>0</v>
      </c>
      <c r="M73" s="62">
        <f t="shared" si="17"/>
        <v>0</v>
      </c>
      <c r="N73" s="15"/>
      <c r="O73" s="38"/>
      <c r="P73" s="15"/>
      <c r="Q73" s="241"/>
      <c r="R73" s="38"/>
      <c r="S73" s="38"/>
      <c r="T73" s="38">
        <v>1000</v>
      </c>
      <c r="U73" s="38"/>
      <c r="V73" s="38"/>
      <c r="W73" s="38"/>
      <c r="X73" s="167"/>
    </row>
    <row r="74" spans="1:26" ht="15.75" customHeight="1" x14ac:dyDescent="0.25">
      <c r="C74" s="26" t="s">
        <v>188</v>
      </c>
      <c r="D74" s="89">
        <f t="shared" ref="D74:F74" si="18">SUM(D56:D73)</f>
        <v>48616</v>
      </c>
      <c r="E74" s="89">
        <f t="shared" si="18"/>
        <v>35911</v>
      </c>
      <c r="F74" s="89">
        <f t="shared" si="18"/>
        <v>8113</v>
      </c>
      <c r="G74" s="27">
        <f t="shared" si="15"/>
        <v>92640</v>
      </c>
      <c r="H74" s="89">
        <f>SUM(H56:H73)</f>
        <v>7192</v>
      </c>
      <c r="I74" s="89">
        <f>SUM(I56:I73)</f>
        <v>49048</v>
      </c>
      <c r="J74" s="89">
        <f>SUM(J56:J73)</f>
        <v>60564</v>
      </c>
      <c r="K74" s="89">
        <f>SUM(K56:K73)</f>
        <v>850</v>
      </c>
      <c r="L74" s="89">
        <f>SUM(I74:K74)</f>
        <v>110462</v>
      </c>
      <c r="M74" s="28">
        <f t="shared" si="17"/>
        <v>17822</v>
      </c>
      <c r="N74" s="89">
        <f t="shared" ref="N74:X74" si="19">SUM(N56:N73)</f>
        <v>0</v>
      </c>
      <c r="O74" s="107">
        <f>SUM(O55:O73)</f>
        <v>0</v>
      </c>
      <c r="P74" s="210">
        <f>SUM(P55:P73)</f>
        <v>15500</v>
      </c>
      <c r="Q74" s="246">
        <f>SUM(Q55:Q73)</f>
        <v>0</v>
      </c>
      <c r="R74" s="107">
        <f t="shared" si="19"/>
        <v>0</v>
      </c>
      <c r="S74" s="107">
        <f t="shared" si="19"/>
        <v>0</v>
      </c>
      <c r="T74" s="107">
        <f t="shared" si="19"/>
        <v>9650</v>
      </c>
      <c r="U74" s="107">
        <f t="shared" si="19"/>
        <v>0</v>
      </c>
      <c r="V74" s="107">
        <f t="shared" si="19"/>
        <v>0</v>
      </c>
      <c r="W74" s="107">
        <f t="shared" si="19"/>
        <v>0</v>
      </c>
      <c r="X74" s="107">
        <f t="shared" si="19"/>
        <v>0</v>
      </c>
    </row>
    <row r="75" spans="1:26" ht="15.75" customHeight="1" x14ac:dyDescent="0.25">
      <c r="A75" s="6" t="s">
        <v>111</v>
      </c>
      <c r="B75" s="32" t="s">
        <v>128</v>
      </c>
      <c r="C75" s="32" t="s">
        <v>128</v>
      </c>
      <c r="D75" s="74">
        <v>24601</v>
      </c>
      <c r="E75" s="74">
        <v>1836</v>
      </c>
      <c r="F75" s="74">
        <v>2000</v>
      </c>
      <c r="G75" s="59">
        <f t="shared" si="15"/>
        <v>28437</v>
      </c>
      <c r="H75" s="90">
        <v>3343</v>
      </c>
      <c r="I75" s="74">
        <v>24601</v>
      </c>
      <c r="J75" s="74">
        <v>1112</v>
      </c>
      <c r="K75" s="74"/>
      <c r="L75" s="14">
        <f t="shared" si="16"/>
        <v>25713</v>
      </c>
      <c r="M75" s="60">
        <f t="shared" si="17"/>
        <v>-2724</v>
      </c>
      <c r="N75" s="74"/>
      <c r="O75" s="102"/>
      <c r="P75" s="90"/>
      <c r="Q75" s="247"/>
      <c r="R75" s="102"/>
      <c r="S75" s="102"/>
      <c r="T75" s="102"/>
      <c r="U75" s="102"/>
      <c r="V75" s="102"/>
      <c r="W75" s="102"/>
      <c r="X75" s="179"/>
    </row>
    <row r="76" spans="1:26" ht="15.75" customHeight="1" x14ac:dyDescent="0.25">
      <c r="A76" s="6" t="s">
        <v>111</v>
      </c>
      <c r="B76" s="32" t="s">
        <v>128</v>
      </c>
      <c r="C76" s="13" t="s">
        <v>571</v>
      </c>
      <c r="D76" s="14"/>
      <c r="E76" s="14">
        <v>586</v>
      </c>
      <c r="F76" s="14">
        <v>1565</v>
      </c>
      <c r="G76" s="61">
        <f t="shared" si="15"/>
        <v>2151</v>
      </c>
      <c r="H76" s="15"/>
      <c r="I76" s="14"/>
      <c r="J76" s="14">
        <v>3476</v>
      </c>
      <c r="K76" s="14"/>
      <c r="L76" s="14">
        <f t="shared" si="16"/>
        <v>3476</v>
      </c>
      <c r="M76" s="62">
        <f t="shared" si="17"/>
        <v>1325</v>
      </c>
      <c r="N76" s="14"/>
      <c r="O76" s="38"/>
      <c r="P76" s="15"/>
      <c r="Q76" s="241"/>
      <c r="R76" s="38"/>
      <c r="S76" s="38"/>
      <c r="T76" s="38"/>
      <c r="U76" s="38"/>
      <c r="V76" s="38"/>
      <c r="W76" s="38"/>
      <c r="X76" s="167"/>
    </row>
    <row r="77" spans="1:26" ht="15.75" customHeight="1" x14ac:dyDescent="0.25">
      <c r="A77" s="6" t="s">
        <v>111</v>
      </c>
      <c r="B77" s="32" t="s">
        <v>128</v>
      </c>
      <c r="C77" s="13" t="s">
        <v>229</v>
      </c>
      <c r="D77" s="14">
        <v>10283</v>
      </c>
      <c r="E77" s="14">
        <f>18804-E76</f>
        <v>18218</v>
      </c>
      <c r="F77" s="14"/>
      <c r="G77" s="61">
        <f t="shared" si="15"/>
        <v>28501</v>
      </c>
      <c r="H77" s="15">
        <f>11216-10283</f>
        <v>933</v>
      </c>
      <c r="I77" s="14">
        <v>10283</v>
      </c>
      <c r="J77" s="14">
        <v>28688</v>
      </c>
      <c r="K77" s="14"/>
      <c r="L77" s="14">
        <f t="shared" si="16"/>
        <v>38971</v>
      </c>
      <c r="M77" s="62">
        <f t="shared" si="17"/>
        <v>10470</v>
      </c>
      <c r="N77" s="14"/>
      <c r="O77" s="38"/>
      <c r="P77" s="15"/>
      <c r="Q77" s="241"/>
      <c r="R77" s="38"/>
      <c r="S77" s="38"/>
      <c r="T77" s="38"/>
      <c r="U77" s="38"/>
      <c r="V77" s="38"/>
      <c r="W77" s="38"/>
      <c r="X77" s="167"/>
    </row>
    <row r="78" spans="1:26" ht="15.75" customHeight="1" x14ac:dyDescent="0.25">
      <c r="A78" s="6" t="s">
        <v>111</v>
      </c>
      <c r="B78" s="32" t="s">
        <v>128</v>
      </c>
      <c r="C78" s="13" t="s">
        <v>64</v>
      </c>
      <c r="D78" s="14"/>
      <c r="E78" s="14">
        <v>1175</v>
      </c>
      <c r="F78" s="14"/>
      <c r="G78" s="61">
        <f t="shared" si="15"/>
        <v>1175</v>
      </c>
      <c r="H78" s="15"/>
      <c r="I78" s="14"/>
      <c r="J78" s="14">
        <v>2069</v>
      </c>
      <c r="K78" s="14"/>
      <c r="L78" s="14">
        <f t="shared" si="16"/>
        <v>2069</v>
      </c>
      <c r="M78" s="62">
        <f t="shared" si="17"/>
        <v>894</v>
      </c>
      <c r="N78" s="14"/>
      <c r="O78" s="38"/>
      <c r="P78" s="15"/>
      <c r="Q78" s="241"/>
      <c r="R78" s="38"/>
      <c r="S78" s="38"/>
      <c r="T78" s="38"/>
      <c r="U78" s="38"/>
      <c r="V78" s="38"/>
      <c r="W78" s="38"/>
      <c r="X78" s="167"/>
      <c r="Z78" s="46"/>
    </row>
    <row r="79" spans="1:26" ht="15.75" customHeight="1" x14ac:dyDescent="0.25">
      <c r="A79" s="6" t="s">
        <v>111</v>
      </c>
      <c r="B79" s="32" t="s">
        <v>128</v>
      </c>
      <c r="C79" s="13" t="s">
        <v>232</v>
      </c>
      <c r="D79" s="14">
        <v>19659</v>
      </c>
      <c r="E79" s="14">
        <v>22187</v>
      </c>
      <c r="F79" s="14"/>
      <c r="G79" s="61">
        <f t="shared" si="15"/>
        <v>41846</v>
      </c>
      <c r="H79" s="15">
        <f>28244-26549</f>
        <v>1695</v>
      </c>
      <c r="I79" s="14">
        <v>26549</v>
      </c>
      <c r="J79" s="14">
        <v>34994</v>
      </c>
      <c r="K79" s="14"/>
      <c r="L79" s="14">
        <f t="shared" si="16"/>
        <v>61543</v>
      </c>
      <c r="M79" s="62">
        <f t="shared" si="17"/>
        <v>19697</v>
      </c>
      <c r="N79" s="14"/>
      <c r="O79" s="38"/>
      <c r="P79" s="15"/>
      <c r="Q79" s="241"/>
      <c r="R79" s="38"/>
      <c r="S79" s="38"/>
      <c r="T79" s="38"/>
      <c r="U79" s="38"/>
      <c r="V79" s="38"/>
      <c r="W79" s="38"/>
      <c r="X79" s="167"/>
    </row>
    <row r="80" spans="1:26" ht="15.75" customHeight="1" x14ac:dyDescent="0.25">
      <c r="A80" s="6" t="s">
        <v>111</v>
      </c>
      <c r="B80" s="32" t="s">
        <v>128</v>
      </c>
      <c r="C80" s="13" t="s">
        <v>233</v>
      </c>
      <c r="D80" s="14">
        <v>12359</v>
      </c>
      <c r="E80" s="14">
        <v>4349</v>
      </c>
      <c r="F80" s="14">
        <v>820</v>
      </c>
      <c r="G80" s="61">
        <f t="shared" si="15"/>
        <v>17528</v>
      </c>
      <c r="H80" s="15">
        <f>13592-12359</f>
        <v>1233</v>
      </c>
      <c r="I80" s="14">
        <v>12359</v>
      </c>
      <c r="J80" s="14">
        <v>4479</v>
      </c>
      <c r="K80" s="14">
        <v>850</v>
      </c>
      <c r="L80" s="14">
        <f t="shared" si="16"/>
        <v>17688</v>
      </c>
      <c r="M80" s="62">
        <f t="shared" si="17"/>
        <v>160</v>
      </c>
      <c r="N80" s="14"/>
      <c r="O80" s="38"/>
      <c r="P80" s="15"/>
      <c r="Q80" s="241"/>
      <c r="R80" s="38"/>
      <c r="S80" s="38"/>
      <c r="T80" s="38"/>
      <c r="U80" s="38"/>
      <c r="V80" s="38"/>
      <c r="W80" s="38"/>
      <c r="X80" s="167"/>
    </row>
    <row r="81" spans="1:26" ht="15.75" customHeight="1" x14ac:dyDescent="0.25">
      <c r="A81" s="6" t="s">
        <v>111</v>
      </c>
      <c r="B81" s="32" t="s">
        <v>128</v>
      </c>
      <c r="C81" s="13" t="s">
        <v>572</v>
      </c>
      <c r="D81" s="14">
        <v>347</v>
      </c>
      <c r="E81" s="14"/>
      <c r="F81" s="14"/>
      <c r="G81" s="61">
        <f t="shared" ref="G81:G89" si="20">SUM(D81:F81)</f>
        <v>347</v>
      </c>
      <c r="H81" s="15"/>
      <c r="I81" s="14">
        <v>366</v>
      </c>
      <c r="J81" s="14">
        <v>918</v>
      </c>
      <c r="K81" s="30"/>
      <c r="L81" s="14">
        <f t="shared" si="16"/>
        <v>1284</v>
      </c>
      <c r="M81" s="62">
        <f t="shared" si="17"/>
        <v>937</v>
      </c>
      <c r="N81" s="14">
        <v>10488</v>
      </c>
      <c r="O81" s="38"/>
      <c r="P81" s="15"/>
      <c r="Q81" s="241"/>
      <c r="R81" s="38"/>
      <c r="S81" s="38"/>
      <c r="T81" s="38"/>
      <c r="U81" s="38"/>
      <c r="V81" s="38"/>
      <c r="W81" s="38"/>
      <c r="X81" s="167"/>
    </row>
    <row r="82" spans="1:26" ht="15.75" customHeight="1" x14ac:dyDescent="0.25">
      <c r="A82" s="6" t="s">
        <v>111</v>
      </c>
      <c r="B82" s="32" t="s">
        <v>128</v>
      </c>
      <c r="C82" s="17" t="s">
        <v>573</v>
      </c>
      <c r="D82" s="14"/>
      <c r="E82" s="14"/>
      <c r="F82" s="14"/>
      <c r="G82" s="61">
        <f t="shared" si="20"/>
        <v>0</v>
      </c>
      <c r="H82" s="15"/>
      <c r="I82" s="30"/>
      <c r="J82" s="14"/>
      <c r="K82" s="30"/>
      <c r="L82" s="14">
        <f t="shared" si="16"/>
        <v>0</v>
      </c>
      <c r="M82" s="62">
        <f t="shared" si="17"/>
        <v>0</v>
      </c>
      <c r="N82" s="14"/>
      <c r="O82" s="38"/>
      <c r="P82" s="15"/>
      <c r="Q82" s="241"/>
      <c r="R82" s="38"/>
      <c r="S82" s="38"/>
      <c r="T82" s="38">
        <v>570</v>
      </c>
      <c r="U82" s="38"/>
      <c r="V82" s="38"/>
      <c r="W82" s="38"/>
      <c r="X82" s="167"/>
      <c r="Z82" s="46"/>
    </row>
    <row r="83" spans="1:26" ht="15.75" customHeight="1" x14ac:dyDescent="0.25">
      <c r="A83" s="6" t="s">
        <v>111</v>
      </c>
      <c r="B83" s="32" t="s">
        <v>128</v>
      </c>
      <c r="C83" s="13" t="s">
        <v>574</v>
      </c>
      <c r="D83" s="14"/>
      <c r="E83" s="14"/>
      <c r="F83" s="14"/>
      <c r="G83" s="61">
        <f t="shared" si="20"/>
        <v>0</v>
      </c>
      <c r="H83" s="15"/>
      <c r="I83" s="30"/>
      <c r="J83" s="14"/>
      <c r="K83" s="30"/>
      <c r="L83" s="14">
        <f t="shared" si="16"/>
        <v>0</v>
      </c>
      <c r="M83" s="62">
        <f t="shared" si="17"/>
        <v>0</v>
      </c>
      <c r="N83" s="14"/>
      <c r="O83" s="38"/>
      <c r="P83" s="15"/>
      <c r="Q83" s="241"/>
      <c r="R83" s="38"/>
      <c r="S83" s="38"/>
      <c r="T83" s="38"/>
      <c r="U83" s="38"/>
      <c r="V83" s="38"/>
      <c r="W83" s="38"/>
      <c r="X83" s="167"/>
    </row>
    <row r="84" spans="1:26" ht="15.75" customHeight="1" x14ac:dyDescent="0.25">
      <c r="A84" s="6" t="s">
        <v>111</v>
      </c>
      <c r="B84" s="32" t="s">
        <v>128</v>
      </c>
      <c r="C84" s="31" t="s">
        <v>231</v>
      </c>
      <c r="D84" s="14"/>
      <c r="E84" s="14"/>
      <c r="F84" s="14"/>
      <c r="G84" s="61">
        <f t="shared" si="20"/>
        <v>0</v>
      </c>
      <c r="H84" s="15"/>
      <c r="I84" s="30"/>
      <c r="J84" s="14"/>
      <c r="K84" s="30"/>
      <c r="L84" s="14">
        <f t="shared" si="16"/>
        <v>0</v>
      </c>
      <c r="M84" s="62">
        <f t="shared" si="17"/>
        <v>0</v>
      </c>
      <c r="N84" s="14"/>
      <c r="O84" s="38"/>
      <c r="P84" s="15"/>
      <c r="Q84" s="241"/>
      <c r="R84" s="38"/>
      <c r="S84" s="38"/>
      <c r="T84" s="38"/>
      <c r="U84" s="38"/>
      <c r="V84" s="38"/>
      <c r="W84" s="38"/>
      <c r="X84" s="167"/>
    </row>
    <row r="85" spans="1:26" ht="15.75" customHeight="1" x14ac:dyDescent="0.25">
      <c r="A85" s="6" t="s">
        <v>111</v>
      </c>
      <c r="B85" s="32" t="s">
        <v>128</v>
      </c>
      <c r="C85" s="17" t="s">
        <v>575</v>
      </c>
      <c r="D85" s="14"/>
      <c r="E85" s="14"/>
      <c r="F85" s="14"/>
      <c r="G85" s="61">
        <f t="shared" si="20"/>
        <v>0</v>
      </c>
      <c r="H85" s="15"/>
      <c r="I85" s="30"/>
      <c r="J85" s="15"/>
      <c r="K85" s="30"/>
      <c r="L85" s="14">
        <f t="shared" si="16"/>
        <v>0</v>
      </c>
      <c r="M85" s="62">
        <f t="shared" si="17"/>
        <v>0</v>
      </c>
      <c r="N85" s="14"/>
      <c r="O85" s="38"/>
      <c r="P85" s="15"/>
      <c r="Q85" s="241"/>
      <c r="R85" s="38"/>
      <c r="S85" s="38"/>
      <c r="T85" s="38">
        <v>300</v>
      </c>
      <c r="U85" s="38"/>
      <c r="V85" s="38"/>
      <c r="W85" s="38"/>
      <c r="X85" s="167"/>
    </row>
    <row r="86" spans="1:26" ht="15.75" customHeight="1" x14ac:dyDescent="0.25">
      <c r="A86" s="6" t="s">
        <v>111</v>
      </c>
      <c r="B86" s="32" t="s">
        <v>128</v>
      </c>
      <c r="C86" s="17" t="s">
        <v>576</v>
      </c>
      <c r="D86" s="14"/>
      <c r="E86" s="14"/>
      <c r="F86" s="14"/>
      <c r="G86" s="61">
        <f t="shared" si="20"/>
        <v>0</v>
      </c>
      <c r="H86" s="15"/>
      <c r="I86" s="30"/>
      <c r="J86" s="15"/>
      <c r="K86" s="30"/>
      <c r="L86" s="14">
        <f t="shared" si="16"/>
        <v>0</v>
      </c>
      <c r="M86" s="62">
        <f t="shared" si="17"/>
        <v>0</v>
      </c>
      <c r="N86" s="14"/>
      <c r="O86" s="38"/>
      <c r="P86" s="15"/>
      <c r="Q86" s="241"/>
      <c r="R86" s="38"/>
      <c r="S86" s="38"/>
      <c r="T86" s="38">
        <v>260</v>
      </c>
      <c r="U86" s="38"/>
      <c r="V86" s="38"/>
      <c r="W86" s="38"/>
      <c r="X86" s="167"/>
    </row>
    <row r="87" spans="1:26" ht="15.75" customHeight="1" x14ac:dyDescent="0.25">
      <c r="A87" s="6" t="s">
        <v>111</v>
      </c>
      <c r="B87" s="32" t="s">
        <v>128</v>
      </c>
      <c r="C87" s="17" t="s">
        <v>577</v>
      </c>
      <c r="D87" s="14"/>
      <c r="E87" s="14"/>
      <c r="F87" s="14"/>
      <c r="G87" s="61">
        <f t="shared" si="20"/>
        <v>0</v>
      </c>
      <c r="H87" s="15"/>
      <c r="I87" s="30"/>
      <c r="J87" s="14"/>
      <c r="K87" s="30"/>
      <c r="L87" s="14">
        <f t="shared" si="16"/>
        <v>0</v>
      </c>
      <c r="M87" s="62">
        <f t="shared" si="17"/>
        <v>0</v>
      </c>
      <c r="N87" s="14"/>
      <c r="O87" s="38"/>
      <c r="P87" s="15"/>
      <c r="Q87" s="241"/>
      <c r="R87" s="38"/>
      <c r="S87" s="38"/>
      <c r="T87" s="38"/>
      <c r="U87" s="38"/>
      <c r="V87" s="38"/>
      <c r="W87" s="38"/>
      <c r="X87" s="167"/>
      <c r="Z87" s="46"/>
    </row>
    <row r="88" spans="1:26" ht="15.75" customHeight="1" x14ac:dyDescent="0.25">
      <c r="A88" s="6" t="s">
        <v>111</v>
      </c>
      <c r="B88" s="32" t="s">
        <v>128</v>
      </c>
      <c r="C88" s="17" t="s">
        <v>578</v>
      </c>
      <c r="D88" s="14"/>
      <c r="E88" s="14"/>
      <c r="F88" s="14"/>
      <c r="G88" s="61">
        <f t="shared" si="20"/>
        <v>0</v>
      </c>
      <c r="H88" s="15"/>
      <c r="I88" s="30"/>
      <c r="J88" s="15"/>
      <c r="K88" s="30"/>
      <c r="L88" s="14">
        <f t="shared" si="16"/>
        <v>0</v>
      </c>
      <c r="M88" s="62">
        <f t="shared" si="17"/>
        <v>0</v>
      </c>
      <c r="N88" s="14"/>
      <c r="O88" s="38"/>
      <c r="P88" s="15"/>
      <c r="Q88" s="241"/>
      <c r="R88" s="38"/>
      <c r="S88" s="38"/>
      <c r="T88" s="38">
        <v>400</v>
      </c>
      <c r="U88" s="38"/>
      <c r="V88" s="38"/>
      <c r="W88" s="38"/>
      <c r="X88" s="167"/>
    </row>
    <row r="89" spans="1:26" ht="15.75" customHeight="1" x14ac:dyDescent="0.25">
      <c r="A89" s="6" t="s">
        <v>111</v>
      </c>
      <c r="B89" s="32" t="s">
        <v>128</v>
      </c>
      <c r="C89" s="17" t="s">
        <v>579</v>
      </c>
      <c r="D89" s="14"/>
      <c r="E89" s="14"/>
      <c r="F89" s="14"/>
      <c r="G89" s="61">
        <f t="shared" si="20"/>
        <v>0</v>
      </c>
      <c r="H89" s="15"/>
      <c r="I89" s="30"/>
      <c r="J89" s="15"/>
      <c r="K89" s="30"/>
      <c r="L89" s="14">
        <f t="shared" si="16"/>
        <v>0</v>
      </c>
      <c r="M89" s="62">
        <f t="shared" si="17"/>
        <v>0</v>
      </c>
      <c r="N89" s="14"/>
      <c r="O89" s="38"/>
      <c r="P89" s="15"/>
      <c r="Q89" s="241"/>
      <c r="R89" s="38"/>
      <c r="S89" s="38"/>
      <c r="T89" s="38">
        <v>348</v>
      </c>
      <c r="U89" s="38"/>
      <c r="V89" s="38"/>
      <c r="W89" s="38"/>
      <c r="X89" s="167"/>
    </row>
    <row r="90" spans="1:26" ht="15.75" customHeight="1" x14ac:dyDescent="0.25">
      <c r="A90" s="109"/>
      <c r="B90" s="12"/>
      <c r="C90" s="13" t="s">
        <v>580</v>
      </c>
      <c r="D90" s="14"/>
      <c r="E90" s="14"/>
      <c r="F90" s="14"/>
      <c r="G90" s="61">
        <f>SUM(D90:F90)</f>
        <v>0</v>
      </c>
      <c r="H90" s="15"/>
      <c r="I90" s="14"/>
      <c r="J90" s="14">
        <v>70</v>
      </c>
      <c r="K90" s="14"/>
      <c r="L90" s="14">
        <f>SUM(I90:K90)</f>
        <v>70</v>
      </c>
      <c r="M90" s="62">
        <f>(L90-G90)</f>
        <v>70</v>
      </c>
      <c r="N90" s="14"/>
      <c r="O90" s="38"/>
      <c r="P90" s="15"/>
      <c r="Q90" s="241"/>
      <c r="R90" s="38"/>
      <c r="S90" s="38"/>
      <c r="T90" s="38"/>
      <c r="U90" s="38"/>
      <c r="V90" s="38"/>
      <c r="W90" s="38"/>
      <c r="X90" s="167"/>
    </row>
    <row r="91" spans="1:26" ht="15.75" customHeight="1" x14ac:dyDescent="0.25">
      <c r="A91" s="6" t="s">
        <v>111</v>
      </c>
      <c r="B91" s="32" t="s">
        <v>128</v>
      </c>
      <c r="C91" s="17" t="s">
        <v>581</v>
      </c>
      <c r="D91" s="14"/>
      <c r="E91" s="14"/>
      <c r="F91" s="14"/>
      <c r="G91" s="61">
        <f>SUM(D91:F91)</f>
        <v>0</v>
      </c>
      <c r="H91" s="15"/>
      <c r="I91" s="30"/>
      <c r="J91" s="15"/>
      <c r="K91" s="30"/>
      <c r="L91" s="14">
        <f t="shared" si="16"/>
        <v>0</v>
      </c>
      <c r="M91" s="62">
        <f t="shared" si="17"/>
        <v>0</v>
      </c>
      <c r="N91" s="14"/>
      <c r="O91" s="38"/>
      <c r="P91" s="15"/>
      <c r="Q91" s="241"/>
      <c r="R91" s="38"/>
      <c r="S91" s="38"/>
      <c r="T91" s="38">
        <v>60</v>
      </c>
      <c r="U91" s="38"/>
      <c r="V91" s="38"/>
      <c r="W91" s="38"/>
      <c r="X91" s="167"/>
    </row>
    <row r="92" spans="1:26" ht="30" x14ac:dyDescent="0.25">
      <c r="A92" s="6" t="s">
        <v>111</v>
      </c>
      <c r="B92" s="32" t="s">
        <v>128</v>
      </c>
      <c r="C92" s="33" t="s">
        <v>582</v>
      </c>
      <c r="D92" s="14"/>
      <c r="E92" s="14"/>
      <c r="F92" s="14"/>
      <c r="G92" s="61">
        <f t="shared" ref="G92" si="21">SUM(D92:F92)</f>
        <v>0</v>
      </c>
      <c r="H92" s="15"/>
      <c r="I92" s="30"/>
      <c r="J92" s="14"/>
      <c r="K92" s="30"/>
      <c r="L92" s="14">
        <f t="shared" ref="L92" si="22">SUM(I92:K92)</f>
        <v>0</v>
      </c>
      <c r="M92" s="62">
        <f t="shared" ref="M92" si="23">(L92-G92)</f>
        <v>0</v>
      </c>
      <c r="N92" s="14"/>
      <c r="O92" s="38"/>
      <c r="P92" s="15"/>
      <c r="Q92" s="241"/>
      <c r="R92" s="38"/>
      <c r="S92" s="38"/>
      <c r="T92" s="38"/>
      <c r="U92" s="38"/>
      <c r="V92" s="38"/>
      <c r="W92" s="38"/>
      <c r="X92" s="38"/>
    </row>
    <row r="93" spans="1:26" x14ac:dyDescent="0.25">
      <c r="A93" s="109"/>
      <c r="B93" s="3"/>
      <c r="C93" s="111" t="s">
        <v>583</v>
      </c>
      <c r="D93" s="14"/>
      <c r="E93" s="14"/>
      <c r="F93" s="14"/>
      <c r="G93" s="61">
        <f>SUM(D93:F93)</f>
        <v>0</v>
      </c>
      <c r="H93" s="15"/>
      <c r="I93" s="14"/>
      <c r="J93" s="14"/>
      <c r="K93" s="14"/>
      <c r="L93" s="14">
        <f>SUM(I93:K93)</f>
        <v>0</v>
      </c>
      <c r="M93" s="62">
        <f>(L93-G93)</f>
        <v>0</v>
      </c>
      <c r="N93" s="14"/>
      <c r="O93" s="38"/>
      <c r="P93" s="15"/>
      <c r="Q93" s="241">
        <v>800</v>
      </c>
      <c r="R93" s="38"/>
      <c r="S93" s="38"/>
      <c r="T93" s="38"/>
      <c r="U93" s="38"/>
      <c r="V93" s="38"/>
      <c r="W93" s="38"/>
      <c r="X93" s="167"/>
    </row>
    <row r="94" spans="1:26" x14ac:dyDescent="0.25">
      <c r="A94" s="109"/>
      <c r="B94" s="3"/>
      <c r="C94" s="111" t="s">
        <v>584</v>
      </c>
      <c r="D94" s="14"/>
      <c r="E94" s="14"/>
      <c r="F94" s="14"/>
      <c r="G94" s="61">
        <f>SUM(D94:F94)</f>
        <v>0</v>
      </c>
      <c r="H94" s="15"/>
      <c r="I94" s="14"/>
      <c r="J94" s="14"/>
      <c r="K94" s="14"/>
      <c r="L94" s="14">
        <f>SUM(I94:K94)</f>
        <v>0</v>
      </c>
      <c r="M94" s="62">
        <f>(L94-G94)</f>
        <v>0</v>
      </c>
      <c r="N94" s="14"/>
      <c r="O94" s="38"/>
      <c r="P94" s="15">
        <v>1716</v>
      </c>
      <c r="Q94" s="241"/>
      <c r="R94" s="38"/>
      <c r="S94" s="38"/>
      <c r="T94" s="38"/>
      <c r="U94" s="38"/>
      <c r="V94" s="38"/>
      <c r="W94" s="38"/>
      <c r="X94" s="167"/>
    </row>
    <row r="95" spans="1:26" x14ac:dyDescent="0.25">
      <c r="A95" s="109"/>
      <c r="B95" s="3"/>
      <c r="C95" s="111" t="s">
        <v>585</v>
      </c>
      <c r="D95" s="14"/>
      <c r="E95" s="14"/>
      <c r="F95" s="14"/>
      <c r="G95" s="61">
        <f>SUM(D95:F95)</f>
        <v>0</v>
      </c>
      <c r="H95" s="15"/>
      <c r="I95" s="14"/>
      <c r="J95" s="14"/>
      <c r="K95" s="14"/>
      <c r="L95" s="14">
        <f>SUM(I95:K95)</f>
        <v>0</v>
      </c>
      <c r="M95" s="62">
        <f>(L95-G95)</f>
        <v>0</v>
      </c>
      <c r="N95" s="14"/>
      <c r="O95" s="38"/>
      <c r="P95" s="15">
        <v>5500</v>
      </c>
      <c r="Q95" s="241"/>
      <c r="R95" s="38"/>
      <c r="S95" s="38"/>
      <c r="T95" s="38"/>
      <c r="U95" s="38"/>
      <c r="V95" s="38"/>
      <c r="W95" s="38"/>
      <c r="X95" s="167"/>
    </row>
    <row r="96" spans="1:26" ht="15.75" customHeight="1" x14ac:dyDescent="0.25">
      <c r="C96" s="26" t="s">
        <v>188</v>
      </c>
      <c r="D96" s="89">
        <f t="shared" ref="D96:F96" si="24">SUM(D75:D91)</f>
        <v>67249</v>
      </c>
      <c r="E96" s="89">
        <f t="shared" si="24"/>
        <v>48351</v>
      </c>
      <c r="F96" s="89">
        <f t="shared" si="24"/>
        <v>4385</v>
      </c>
      <c r="G96" s="27">
        <f>SUM(D96:F96)</f>
        <v>119985</v>
      </c>
      <c r="H96" s="89">
        <f>SUM(H75:H91)</f>
        <v>7204</v>
      </c>
      <c r="I96" s="89">
        <f>SUM(I75:I95)</f>
        <v>74158</v>
      </c>
      <c r="J96" s="89">
        <f t="shared" ref="J96:K96" si="25">SUM(J75:J95)</f>
        <v>75806</v>
      </c>
      <c r="K96" s="89">
        <f t="shared" si="25"/>
        <v>850</v>
      </c>
      <c r="L96" s="89">
        <f>SUM(I96:K96)</f>
        <v>150814</v>
      </c>
      <c r="M96" s="28">
        <f>(L96-G96)</f>
        <v>30829</v>
      </c>
      <c r="N96" s="89">
        <f>SUM(N75:N95)</f>
        <v>10488</v>
      </c>
      <c r="O96" s="107">
        <f>SUM(O75:O92)</f>
        <v>0</v>
      </c>
      <c r="P96" s="210">
        <f>SUM(P75:P95)</f>
        <v>7216</v>
      </c>
      <c r="Q96" s="246">
        <f>SUM(Q75:Q95)</f>
        <v>800</v>
      </c>
      <c r="R96" s="210">
        <f t="shared" ref="R96:X96" si="26">SUM(R75:R95)</f>
        <v>0</v>
      </c>
      <c r="S96" s="210">
        <f t="shared" si="26"/>
        <v>0</v>
      </c>
      <c r="T96" s="210">
        <f t="shared" si="26"/>
        <v>1938</v>
      </c>
      <c r="U96" s="210">
        <f t="shared" si="26"/>
        <v>0</v>
      </c>
      <c r="V96" s="210">
        <f t="shared" si="26"/>
        <v>0</v>
      </c>
      <c r="W96" s="210">
        <f t="shared" si="26"/>
        <v>0</v>
      </c>
      <c r="X96" s="210">
        <f t="shared" si="26"/>
        <v>0</v>
      </c>
    </row>
    <row r="97" spans="1:26" ht="15.75" customHeight="1" x14ac:dyDescent="0.25">
      <c r="C97" s="13"/>
      <c r="D97" s="14"/>
      <c r="E97" s="14"/>
      <c r="F97" s="14"/>
      <c r="G97" s="61"/>
      <c r="H97" s="15"/>
      <c r="I97" s="14"/>
      <c r="J97" s="14"/>
      <c r="K97" s="14"/>
      <c r="L97" s="14"/>
      <c r="M97" s="62"/>
      <c r="N97" s="14"/>
      <c r="O97" s="38"/>
      <c r="P97" s="15"/>
      <c r="Q97" s="241"/>
      <c r="R97" s="38"/>
      <c r="S97" s="38"/>
      <c r="T97" s="38"/>
      <c r="U97" s="38"/>
      <c r="V97" s="38"/>
      <c r="W97" s="38"/>
      <c r="X97" s="167"/>
    </row>
    <row r="98" spans="1:26" ht="19.5" customHeight="1" x14ac:dyDescent="0.25">
      <c r="A98" s="6" t="s">
        <v>111</v>
      </c>
      <c r="B98" s="32" t="s">
        <v>116</v>
      </c>
      <c r="C98" s="135" t="s">
        <v>116</v>
      </c>
      <c r="D98" s="126">
        <v>34371</v>
      </c>
      <c r="E98" s="126">
        <v>3531</v>
      </c>
      <c r="F98" s="126"/>
      <c r="G98" s="125">
        <f t="shared" ref="G98:G119" si="27">SUM(D98:F98)</f>
        <v>37902</v>
      </c>
      <c r="H98" s="137">
        <f>39501-34451</f>
        <v>5050</v>
      </c>
      <c r="I98" s="126">
        <v>34451</v>
      </c>
      <c r="J98" s="126">
        <v>2639</v>
      </c>
      <c r="K98" s="136"/>
      <c r="L98" s="126">
        <f t="shared" ref="L98:L119" si="28">SUM(I98:K98)</f>
        <v>37090</v>
      </c>
      <c r="M98" s="127">
        <f t="shared" ref="M98:M119" si="29">(L98-G98)</f>
        <v>-812</v>
      </c>
      <c r="N98" s="137"/>
      <c r="O98" s="180"/>
      <c r="P98" s="137"/>
      <c r="Q98" s="248"/>
      <c r="R98" s="180"/>
      <c r="S98" s="180"/>
      <c r="T98" s="180"/>
      <c r="U98" s="180"/>
      <c r="V98" s="180"/>
      <c r="W98" s="180"/>
      <c r="X98" s="181"/>
    </row>
    <row r="99" spans="1:26" ht="15.75" customHeight="1" x14ac:dyDescent="0.25">
      <c r="A99" s="6" t="s">
        <v>111</v>
      </c>
      <c r="B99" s="32" t="s">
        <v>116</v>
      </c>
      <c r="C99" s="129" t="s">
        <v>64</v>
      </c>
      <c r="D99" s="14"/>
      <c r="E99" s="14">
        <v>5578</v>
      </c>
      <c r="F99" s="14"/>
      <c r="G99" s="61">
        <f t="shared" si="27"/>
        <v>5578</v>
      </c>
      <c r="H99" s="15"/>
      <c r="I99" s="30"/>
      <c r="J99" s="14">
        <v>7726</v>
      </c>
      <c r="K99" s="30"/>
      <c r="L99" s="14">
        <f t="shared" si="28"/>
        <v>7726</v>
      </c>
      <c r="M99" s="62">
        <f t="shared" si="29"/>
        <v>2148</v>
      </c>
      <c r="N99" s="15"/>
      <c r="O99" s="38"/>
      <c r="P99" s="15"/>
      <c r="Q99" s="241"/>
      <c r="R99" s="38"/>
      <c r="S99" s="38"/>
      <c r="T99" s="38"/>
      <c r="U99" s="38"/>
      <c r="V99" s="38"/>
      <c r="W99" s="38"/>
      <c r="X99" s="176"/>
    </row>
    <row r="100" spans="1:26" ht="15.75" customHeight="1" x14ac:dyDescent="0.25">
      <c r="A100" s="6" t="s">
        <v>111</v>
      </c>
      <c r="B100" s="32" t="s">
        <v>116</v>
      </c>
      <c r="C100" s="129" t="s">
        <v>229</v>
      </c>
      <c r="D100" s="14">
        <v>20641</v>
      </c>
      <c r="E100" s="14">
        <f>28600-E107</f>
        <v>27374</v>
      </c>
      <c r="F100" s="14"/>
      <c r="G100" s="61">
        <f t="shared" si="27"/>
        <v>48015</v>
      </c>
      <c r="H100" s="15">
        <f>23698-21006</f>
        <v>2692</v>
      </c>
      <c r="I100" s="14">
        <v>21006</v>
      </c>
      <c r="J100" s="14">
        <v>45469</v>
      </c>
      <c r="K100" s="30"/>
      <c r="L100" s="14">
        <f t="shared" si="28"/>
        <v>66475</v>
      </c>
      <c r="M100" s="62">
        <f t="shared" si="29"/>
        <v>18460</v>
      </c>
      <c r="N100" s="15"/>
      <c r="O100" s="38"/>
      <c r="P100" s="15"/>
      <c r="Q100" s="241"/>
      <c r="R100" s="38"/>
      <c r="S100" s="38"/>
      <c r="T100" s="38"/>
      <c r="U100" s="38"/>
      <c r="V100" s="38"/>
      <c r="W100" s="38"/>
      <c r="X100" s="176"/>
    </row>
    <row r="101" spans="1:26" ht="17.25" customHeight="1" x14ac:dyDescent="0.25">
      <c r="A101" s="6" t="s">
        <v>111</v>
      </c>
      <c r="B101" s="32" t="s">
        <v>116</v>
      </c>
      <c r="C101" s="129" t="s">
        <v>232</v>
      </c>
      <c r="D101" s="14">
        <v>37716</v>
      </c>
      <c r="E101" s="14">
        <v>15368</v>
      </c>
      <c r="F101" s="14">
        <v>1700</v>
      </c>
      <c r="G101" s="61">
        <f t="shared" si="27"/>
        <v>54784</v>
      </c>
      <c r="H101" s="15">
        <f>43586-42652</f>
        <v>934</v>
      </c>
      <c r="I101" s="14">
        <v>42652</v>
      </c>
      <c r="J101" s="14">
        <v>25154</v>
      </c>
      <c r="K101" s="14"/>
      <c r="L101" s="14">
        <f t="shared" si="28"/>
        <v>67806</v>
      </c>
      <c r="M101" s="62">
        <f t="shared" si="29"/>
        <v>13022</v>
      </c>
      <c r="N101" s="15"/>
      <c r="O101" s="38"/>
      <c r="P101" s="15"/>
      <c r="Q101" s="241"/>
      <c r="R101" s="38"/>
      <c r="S101" s="38"/>
      <c r="T101" s="38"/>
      <c r="U101" s="38"/>
      <c r="V101" s="38"/>
      <c r="W101" s="38"/>
      <c r="X101" s="176"/>
      <c r="Y101" s="279"/>
    </row>
    <row r="102" spans="1:26" ht="15.75" customHeight="1" x14ac:dyDescent="0.25">
      <c r="A102" s="6" t="s">
        <v>111</v>
      </c>
      <c r="B102" s="32" t="s">
        <v>116</v>
      </c>
      <c r="C102" s="129" t="s">
        <v>237</v>
      </c>
      <c r="D102" s="14">
        <v>3863</v>
      </c>
      <c r="E102" s="14">
        <v>206</v>
      </c>
      <c r="F102" s="14"/>
      <c r="G102" s="61">
        <f t="shared" si="27"/>
        <v>4069</v>
      </c>
      <c r="H102" s="15"/>
      <c r="I102" s="14"/>
      <c r="J102" s="14"/>
      <c r="K102" s="14"/>
      <c r="L102" s="14">
        <f t="shared" si="28"/>
        <v>0</v>
      </c>
      <c r="M102" s="62">
        <f t="shared" si="29"/>
        <v>-4069</v>
      </c>
      <c r="N102" s="15"/>
      <c r="O102" s="38"/>
      <c r="P102" s="15"/>
      <c r="Q102" s="241"/>
      <c r="R102" s="38"/>
      <c r="S102" s="38"/>
      <c r="T102" s="38"/>
      <c r="U102" s="38"/>
      <c r="V102" s="38"/>
      <c r="W102" s="38"/>
      <c r="X102" s="176"/>
    </row>
    <row r="103" spans="1:26" ht="15.75" customHeight="1" x14ac:dyDescent="0.25">
      <c r="A103" s="6" t="s">
        <v>111</v>
      </c>
      <c r="B103" s="32" t="s">
        <v>116</v>
      </c>
      <c r="C103" s="129" t="s">
        <v>238</v>
      </c>
      <c r="D103" s="14">
        <v>8811</v>
      </c>
      <c r="E103" s="14">
        <v>1727</v>
      </c>
      <c r="F103" s="14">
        <v>850</v>
      </c>
      <c r="G103" s="61">
        <f t="shared" si="27"/>
        <v>11388</v>
      </c>
      <c r="H103" s="15">
        <f>10055-8691</f>
        <v>1364</v>
      </c>
      <c r="I103" s="14">
        <v>8691</v>
      </c>
      <c r="J103" s="14">
        <v>1947</v>
      </c>
      <c r="K103" s="14">
        <v>850</v>
      </c>
      <c r="L103" s="14">
        <f t="shared" si="28"/>
        <v>11488</v>
      </c>
      <c r="M103" s="62">
        <f t="shared" si="29"/>
        <v>100</v>
      </c>
      <c r="N103" s="15"/>
      <c r="O103" s="38"/>
      <c r="P103" s="15"/>
      <c r="Q103" s="241"/>
      <c r="R103" s="38"/>
      <c r="S103" s="38"/>
      <c r="T103" s="38"/>
      <c r="U103" s="38"/>
      <c r="V103" s="38"/>
      <c r="W103" s="38"/>
      <c r="X103" s="176"/>
      <c r="Z103" s="46"/>
    </row>
    <row r="104" spans="1:26" ht="15.75" customHeight="1" x14ac:dyDescent="0.25">
      <c r="A104" s="6" t="s">
        <v>111</v>
      </c>
      <c r="B104" s="32" t="s">
        <v>116</v>
      </c>
      <c r="C104" s="129" t="s">
        <v>239</v>
      </c>
      <c r="D104" s="14">
        <v>8690</v>
      </c>
      <c r="E104" s="14">
        <v>2294</v>
      </c>
      <c r="F104" s="14">
        <v>850</v>
      </c>
      <c r="G104" s="61">
        <f t="shared" si="27"/>
        <v>11834</v>
      </c>
      <c r="H104" s="15">
        <f>10055-8690</f>
        <v>1365</v>
      </c>
      <c r="I104" s="14">
        <v>8690</v>
      </c>
      <c r="J104" s="14">
        <v>2716</v>
      </c>
      <c r="K104" s="14">
        <v>850</v>
      </c>
      <c r="L104" s="14">
        <f t="shared" si="28"/>
        <v>12256</v>
      </c>
      <c r="M104" s="62">
        <f t="shared" si="29"/>
        <v>422</v>
      </c>
      <c r="N104" s="15"/>
      <c r="O104" s="38"/>
      <c r="P104" s="15"/>
      <c r="Q104" s="241"/>
      <c r="R104" s="38"/>
      <c r="S104" s="38"/>
      <c r="T104" s="38"/>
      <c r="U104" s="38"/>
      <c r="V104" s="38"/>
      <c r="W104" s="38"/>
      <c r="X104" s="176"/>
    </row>
    <row r="105" spans="1:26" ht="15.75" customHeight="1" x14ac:dyDescent="0.25">
      <c r="A105" s="6" t="s">
        <v>111</v>
      </c>
      <c r="B105" s="32" t="s">
        <v>116</v>
      </c>
      <c r="C105" s="129" t="s">
        <v>240</v>
      </c>
      <c r="D105" s="14">
        <v>17595</v>
      </c>
      <c r="E105" s="14">
        <v>1374</v>
      </c>
      <c r="F105" s="14"/>
      <c r="G105" s="61">
        <f t="shared" si="27"/>
        <v>18969</v>
      </c>
      <c r="H105" s="15">
        <f>36173-34744</f>
        <v>1429</v>
      </c>
      <c r="I105" s="14">
        <v>34744</v>
      </c>
      <c r="J105" s="14">
        <v>1585</v>
      </c>
      <c r="K105" s="14"/>
      <c r="L105" s="14">
        <f t="shared" si="28"/>
        <v>36329</v>
      </c>
      <c r="M105" s="62">
        <f t="shared" si="29"/>
        <v>17360</v>
      </c>
      <c r="N105" s="14">
        <v>1227</v>
      </c>
      <c r="O105" s="38"/>
      <c r="P105" s="15"/>
      <c r="Q105" s="241"/>
      <c r="R105" s="38"/>
      <c r="S105" s="38"/>
      <c r="T105" s="38"/>
      <c r="U105" s="38"/>
      <c r="V105" s="38"/>
      <c r="W105" s="38"/>
      <c r="X105" s="176"/>
    </row>
    <row r="106" spans="1:26" ht="15.75" customHeight="1" x14ac:dyDescent="0.25">
      <c r="A106" s="6" t="s">
        <v>111</v>
      </c>
      <c r="B106" s="32" t="s">
        <v>116</v>
      </c>
      <c r="C106" s="129" t="s">
        <v>241</v>
      </c>
      <c r="D106" s="14">
        <v>11670</v>
      </c>
      <c r="E106" s="14">
        <v>1944</v>
      </c>
      <c r="F106" s="14"/>
      <c r="G106" s="61">
        <f t="shared" si="27"/>
        <v>13614</v>
      </c>
      <c r="H106" s="15">
        <f>17234-14080</f>
        <v>3154</v>
      </c>
      <c r="I106" s="14">
        <v>14080</v>
      </c>
      <c r="J106" s="14">
        <v>2454</v>
      </c>
      <c r="K106" s="14"/>
      <c r="L106" s="14">
        <f t="shared" si="28"/>
        <v>16534</v>
      </c>
      <c r="M106" s="62">
        <f t="shared" si="29"/>
        <v>2920</v>
      </c>
      <c r="N106" s="15"/>
      <c r="O106" s="38"/>
      <c r="P106" s="15"/>
      <c r="Q106" s="241"/>
      <c r="R106" s="38"/>
      <c r="S106" s="38"/>
      <c r="T106" s="38"/>
      <c r="U106" s="38"/>
      <c r="V106" s="38"/>
      <c r="W106" s="38"/>
      <c r="X106" s="176"/>
    </row>
    <row r="107" spans="1:26" ht="15.75" customHeight="1" x14ac:dyDescent="0.25">
      <c r="A107" s="6" t="s">
        <v>111</v>
      </c>
      <c r="B107" s="32" t="s">
        <v>116</v>
      </c>
      <c r="C107" s="129" t="s">
        <v>586</v>
      </c>
      <c r="D107" s="14"/>
      <c r="E107" s="14">
        <v>1226</v>
      </c>
      <c r="F107" s="14">
        <v>4626</v>
      </c>
      <c r="G107" s="61">
        <f t="shared" si="27"/>
        <v>5852</v>
      </c>
      <c r="H107" s="15"/>
      <c r="I107" s="14"/>
      <c r="J107" s="14">
        <v>9685</v>
      </c>
      <c r="K107" s="14"/>
      <c r="L107" s="14">
        <f t="shared" si="28"/>
        <v>9685</v>
      </c>
      <c r="M107" s="62">
        <f t="shared" si="29"/>
        <v>3833</v>
      </c>
      <c r="N107" s="15"/>
      <c r="O107" s="38"/>
      <c r="P107" s="15"/>
      <c r="Q107" s="241"/>
      <c r="R107" s="38"/>
      <c r="S107" s="38"/>
      <c r="T107" s="38"/>
      <c r="U107" s="38"/>
      <c r="V107" s="38"/>
      <c r="W107" s="38"/>
      <c r="X107" s="176"/>
    </row>
    <row r="108" spans="1:26" ht="15.75" customHeight="1" x14ac:dyDescent="0.25">
      <c r="A108" s="6" t="s">
        <v>111</v>
      </c>
      <c r="B108" s="32" t="s">
        <v>116</v>
      </c>
      <c r="C108" s="129" t="s">
        <v>587</v>
      </c>
      <c r="D108" s="14">
        <v>347</v>
      </c>
      <c r="E108" s="14"/>
      <c r="F108" s="14"/>
      <c r="G108" s="61">
        <f t="shared" si="27"/>
        <v>347</v>
      </c>
      <c r="H108" s="15"/>
      <c r="I108" s="14">
        <v>566</v>
      </c>
      <c r="J108" s="14">
        <v>481</v>
      </c>
      <c r="K108" s="14"/>
      <c r="L108" s="14">
        <f t="shared" si="28"/>
        <v>1047</v>
      </c>
      <c r="M108" s="62">
        <f t="shared" si="29"/>
        <v>700</v>
      </c>
      <c r="N108" s="14">
        <v>10488</v>
      </c>
      <c r="O108" s="38"/>
      <c r="P108" s="15"/>
      <c r="Q108" s="241"/>
      <c r="R108" s="38"/>
      <c r="S108" s="38"/>
      <c r="T108" s="38"/>
      <c r="U108" s="38"/>
      <c r="V108" s="38"/>
      <c r="W108" s="38"/>
      <c r="X108" s="176"/>
    </row>
    <row r="109" spans="1:26" ht="15.75" customHeight="1" x14ac:dyDescent="0.25">
      <c r="A109" s="6" t="s">
        <v>111</v>
      </c>
      <c r="B109" s="32" t="s">
        <v>116</v>
      </c>
      <c r="C109" s="138" t="s">
        <v>588</v>
      </c>
      <c r="D109" s="14"/>
      <c r="E109" s="14"/>
      <c r="F109" s="14"/>
      <c r="G109" s="61">
        <f t="shared" si="27"/>
        <v>0</v>
      </c>
      <c r="H109" s="15"/>
      <c r="I109" s="30"/>
      <c r="J109" s="14"/>
      <c r="K109" s="14"/>
      <c r="L109" s="14">
        <f t="shared" si="28"/>
        <v>0</v>
      </c>
      <c r="M109" s="62">
        <f t="shared" si="29"/>
        <v>0</v>
      </c>
      <c r="N109" s="14"/>
      <c r="O109" s="38"/>
      <c r="P109" s="15"/>
      <c r="Q109" s="241"/>
      <c r="R109" s="38"/>
      <c r="S109" s="38"/>
      <c r="T109" s="38"/>
      <c r="U109" s="38"/>
      <c r="V109" s="38"/>
      <c r="W109" s="38"/>
      <c r="X109" s="176"/>
      <c r="Z109" s="46"/>
    </row>
    <row r="110" spans="1:26" ht="15.75" customHeight="1" x14ac:dyDescent="0.25">
      <c r="A110" s="6" t="s">
        <v>111</v>
      </c>
      <c r="B110" s="32" t="s">
        <v>116</v>
      </c>
      <c r="C110" s="139" t="s">
        <v>231</v>
      </c>
      <c r="D110" s="14"/>
      <c r="E110" s="14"/>
      <c r="F110" s="14"/>
      <c r="G110" s="61">
        <f t="shared" si="27"/>
        <v>0</v>
      </c>
      <c r="H110" s="15"/>
      <c r="I110" s="30"/>
      <c r="J110" s="14"/>
      <c r="K110" s="14"/>
      <c r="L110" s="14">
        <f t="shared" si="28"/>
        <v>0</v>
      </c>
      <c r="M110" s="62">
        <f t="shared" si="29"/>
        <v>0</v>
      </c>
      <c r="N110" s="15"/>
      <c r="O110" s="38"/>
      <c r="P110" s="15"/>
      <c r="Q110" s="241"/>
      <c r="R110" s="38"/>
      <c r="S110" s="38"/>
      <c r="T110" s="38"/>
      <c r="U110" s="38"/>
      <c r="V110" s="38"/>
      <c r="W110" s="38"/>
      <c r="X110" s="176"/>
    </row>
    <row r="111" spans="1:26" ht="15.75" customHeight="1" x14ac:dyDescent="0.25">
      <c r="A111" s="6" t="s">
        <v>111</v>
      </c>
      <c r="B111" s="32" t="s">
        <v>116</v>
      </c>
      <c r="C111" s="138" t="s">
        <v>589</v>
      </c>
      <c r="D111" s="14"/>
      <c r="E111" s="14"/>
      <c r="F111" s="14"/>
      <c r="G111" s="61">
        <f t="shared" si="27"/>
        <v>0</v>
      </c>
      <c r="H111" s="15"/>
      <c r="I111" s="30"/>
      <c r="J111" s="14"/>
      <c r="K111" s="14"/>
      <c r="L111" s="14">
        <f t="shared" si="28"/>
        <v>0</v>
      </c>
      <c r="M111" s="62">
        <f t="shared" si="29"/>
        <v>0</v>
      </c>
      <c r="N111" s="15"/>
      <c r="O111" s="38"/>
      <c r="P111" s="15"/>
      <c r="Q111" s="241"/>
      <c r="R111" s="38"/>
      <c r="S111" s="38"/>
      <c r="T111" s="38">
        <v>1000</v>
      </c>
      <c r="U111" s="38"/>
      <c r="V111" s="38"/>
      <c r="W111" s="38"/>
      <c r="X111" s="176"/>
    </row>
    <row r="112" spans="1:26" ht="15.75" customHeight="1" x14ac:dyDescent="0.25">
      <c r="A112" s="6" t="s">
        <v>111</v>
      </c>
      <c r="B112" s="32" t="s">
        <v>116</v>
      </c>
      <c r="C112" s="138" t="s">
        <v>590</v>
      </c>
      <c r="D112" s="18"/>
      <c r="E112" s="18"/>
      <c r="F112" s="18"/>
      <c r="G112" s="61">
        <f t="shared" si="27"/>
        <v>0</v>
      </c>
      <c r="H112" s="15"/>
      <c r="I112" s="20"/>
      <c r="J112" s="18"/>
      <c r="K112" s="18"/>
      <c r="L112" s="14">
        <f t="shared" si="28"/>
        <v>0</v>
      </c>
      <c r="M112" s="62">
        <f t="shared" si="29"/>
        <v>0</v>
      </c>
      <c r="N112" s="19"/>
      <c r="O112" s="168">
        <v>3060</v>
      </c>
      <c r="P112" s="19"/>
      <c r="Q112" s="242"/>
      <c r="R112" s="168"/>
      <c r="S112" s="38"/>
      <c r="T112" s="38"/>
      <c r="U112" s="38"/>
      <c r="V112" s="38"/>
      <c r="W112" s="38"/>
      <c r="X112" s="176"/>
    </row>
    <row r="113" spans="1:31" ht="15.75" customHeight="1" x14ac:dyDescent="0.25">
      <c r="A113" s="6" t="s">
        <v>111</v>
      </c>
      <c r="B113" s="32" t="s">
        <v>116</v>
      </c>
      <c r="C113" s="138" t="s">
        <v>591</v>
      </c>
      <c r="D113" s="18"/>
      <c r="E113" s="18"/>
      <c r="F113" s="18"/>
      <c r="G113" s="61">
        <f t="shared" si="27"/>
        <v>0</v>
      </c>
      <c r="H113" s="15"/>
      <c r="I113" s="20"/>
      <c r="J113" s="20"/>
      <c r="K113" s="18"/>
      <c r="L113" s="14">
        <f t="shared" si="28"/>
        <v>0</v>
      </c>
      <c r="M113" s="62">
        <f t="shared" si="29"/>
        <v>0</v>
      </c>
      <c r="N113" s="19"/>
      <c r="O113" s="168"/>
      <c r="P113" s="19"/>
      <c r="Q113" s="242"/>
      <c r="R113" s="168"/>
      <c r="S113" s="38">
        <v>9336</v>
      </c>
      <c r="T113" s="38"/>
      <c r="U113" s="38"/>
      <c r="V113" s="38"/>
      <c r="W113" s="38"/>
      <c r="X113" s="176"/>
    </row>
    <row r="114" spans="1:31" ht="15.75" customHeight="1" x14ac:dyDescent="0.25">
      <c r="A114" s="6" t="s">
        <v>111</v>
      </c>
      <c r="B114" s="32" t="s">
        <v>116</v>
      </c>
      <c r="C114" s="138" t="s">
        <v>592</v>
      </c>
      <c r="D114" s="18"/>
      <c r="E114" s="18"/>
      <c r="F114" s="18"/>
      <c r="G114" s="61">
        <f t="shared" si="27"/>
        <v>0</v>
      </c>
      <c r="H114" s="15"/>
      <c r="I114" s="20"/>
      <c r="J114" s="20"/>
      <c r="K114" s="18"/>
      <c r="L114" s="14">
        <f t="shared" si="28"/>
        <v>0</v>
      </c>
      <c r="M114" s="62">
        <f t="shared" si="29"/>
        <v>0</v>
      </c>
      <c r="N114" s="19"/>
      <c r="O114" s="168"/>
      <c r="P114" s="19"/>
      <c r="Q114" s="242"/>
      <c r="R114" s="168"/>
      <c r="S114" s="38"/>
      <c r="T114" s="38"/>
      <c r="U114" s="38"/>
      <c r="V114" s="38"/>
      <c r="W114" s="38"/>
      <c r="X114" s="176"/>
      <c r="Y114" s="279"/>
    </row>
    <row r="115" spans="1:31" ht="15.75" customHeight="1" x14ac:dyDescent="0.25">
      <c r="A115" s="6" t="s">
        <v>111</v>
      </c>
      <c r="B115" s="32" t="s">
        <v>116</v>
      </c>
      <c r="C115" s="140"/>
      <c r="D115" s="92"/>
      <c r="E115" s="92"/>
      <c r="F115" s="92"/>
      <c r="G115" s="61">
        <f t="shared" si="27"/>
        <v>0</v>
      </c>
      <c r="H115" s="15"/>
      <c r="I115" s="92"/>
      <c r="J115" s="92"/>
      <c r="K115" s="92"/>
      <c r="L115" s="14">
        <f t="shared" si="28"/>
        <v>0</v>
      </c>
      <c r="M115" s="62">
        <f t="shared" si="29"/>
        <v>0</v>
      </c>
      <c r="N115" s="93"/>
      <c r="O115" s="182"/>
      <c r="P115" s="93"/>
      <c r="Q115" s="249"/>
      <c r="R115" s="182"/>
      <c r="S115" s="182"/>
      <c r="T115" s="182"/>
      <c r="U115" s="182"/>
      <c r="V115" s="182"/>
      <c r="W115" s="182"/>
      <c r="X115" s="170"/>
      <c r="Y115" s="280"/>
      <c r="Z115" s="16"/>
      <c r="AA115" s="16"/>
      <c r="AB115" s="16"/>
      <c r="AC115" s="16"/>
      <c r="AD115" s="16"/>
      <c r="AE115" s="16"/>
    </row>
    <row r="116" spans="1:31" ht="15.75" customHeight="1" x14ac:dyDescent="0.25">
      <c r="A116" s="109"/>
      <c r="B116" s="3"/>
      <c r="C116" s="13" t="s">
        <v>593</v>
      </c>
      <c r="D116" s="14"/>
      <c r="E116" s="14"/>
      <c r="F116" s="14"/>
      <c r="G116" s="61">
        <f>SUM(D116:F116)</f>
        <v>0</v>
      </c>
      <c r="H116" s="15"/>
      <c r="I116" s="14"/>
      <c r="J116" s="14"/>
      <c r="K116" s="14"/>
      <c r="L116" s="14">
        <f>SUM(I116:K116)</f>
        <v>0</v>
      </c>
      <c r="M116" s="62">
        <f>(L116-G116)</f>
        <v>0</v>
      </c>
      <c r="N116" s="14"/>
      <c r="O116" s="38"/>
      <c r="P116" s="15"/>
      <c r="Q116" s="241">
        <v>450</v>
      </c>
      <c r="R116" s="38"/>
      <c r="S116" s="38"/>
      <c r="T116" s="38"/>
      <c r="U116" s="38"/>
      <c r="V116" s="38"/>
      <c r="W116" s="38"/>
      <c r="X116" s="167"/>
      <c r="Y116" s="280" t="s">
        <v>594</v>
      </c>
      <c r="Z116" s="16"/>
      <c r="AA116" s="16"/>
      <c r="AB116" s="16"/>
      <c r="AC116" s="16"/>
      <c r="AD116" s="16"/>
      <c r="AE116" s="16"/>
    </row>
    <row r="117" spans="1:31" ht="15.75" customHeight="1" x14ac:dyDescent="0.25">
      <c r="A117" s="109"/>
      <c r="B117" s="3"/>
      <c r="C117" s="13" t="s">
        <v>595</v>
      </c>
      <c r="D117" s="14"/>
      <c r="E117" s="14"/>
      <c r="F117" s="14"/>
      <c r="G117" s="61">
        <f>SUM(D117:F117)</f>
        <v>0</v>
      </c>
      <c r="H117" s="15"/>
      <c r="I117" s="14"/>
      <c r="J117" s="14"/>
      <c r="K117" s="14"/>
      <c r="L117" s="14">
        <f>SUM(I117:K117)</f>
        <v>0</v>
      </c>
      <c r="M117" s="62">
        <f>(L117-G117)</f>
        <v>0</v>
      </c>
      <c r="N117" s="14"/>
      <c r="O117" s="38"/>
      <c r="P117" s="15"/>
      <c r="Q117" s="241">
        <v>1500</v>
      </c>
      <c r="R117" s="38"/>
      <c r="S117" s="38"/>
      <c r="T117" s="38"/>
      <c r="U117" s="38"/>
      <c r="V117" s="38"/>
      <c r="W117" s="38"/>
      <c r="X117" s="167"/>
      <c r="Y117" s="280"/>
      <c r="Z117" s="16"/>
      <c r="AA117" s="16"/>
      <c r="AB117" s="16"/>
      <c r="AC117" s="16"/>
      <c r="AD117" s="16"/>
      <c r="AE117" s="16"/>
    </row>
    <row r="118" spans="1:31" ht="15.75" customHeight="1" thickBot="1" x14ac:dyDescent="0.3">
      <c r="A118" s="109"/>
      <c r="B118" s="3"/>
      <c r="C118" s="13" t="s">
        <v>596</v>
      </c>
      <c r="D118" s="14"/>
      <c r="E118" s="14"/>
      <c r="F118" s="14"/>
      <c r="G118" s="61">
        <f>SUM(D118:F118)</f>
        <v>0</v>
      </c>
      <c r="H118" s="15"/>
      <c r="I118" s="14"/>
      <c r="J118" s="14"/>
      <c r="K118" s="14"/>
      <c r="L118" s="14">
        <f>SUM(I118:K118)</f>
        <v>0</v>
      </c>
      <c r="M118" s="62">
        <f>(L118-G118)</f>
        <v>0</v>
      </c>
      <c r="N118" s="14"/>
      <c r="O118" s="235">
        <v>4000</v>
      </c>
      <c r="P118" s="15"/>
      <c r="Q118" s="241"/>
      <c r="R118" s="38"/>
      <c r="S118" s="38"/>
      <c r="T118" s="38"/>
      <c r="U118" s="38"/>
      <c r="V118" s="38"/>
      <c r="W118" s="38"/>
      <c r="X118" s="167"/>
      <c r="Y118" s="284" t="s">
        <v>597</v>
      </c>
      <c r="Z118" s="236"/>
      <c r="AA118" s="16"/>
      <c r="AB118" s="16"/>
      <c r="AC118" s="16"/>
      <c r="AD118" s="16"/>
      <c r="AE118" s="16"/>
    </row>
    <row r="119" spans="1:31" ht="15.75" customHeight="1" thickBot="1" x14ac:dyDescent="0.3">
      <c r="A119" s="16"/>
      <c r="B119" s="16"/>
      <c r="C119" s="220" t="s">
        <v>188</v>
      </c>
      <c r="D119" s="221">
        <f t="shared" ref="D119:F119" si="30">SUM(D98:D115)</f>
        <v>143704</v>
      </c>
      <c r="E119" s="221">
        <f t="shared" si="30"/>
        <v>60622</v>
      </c>
      <c r="F119" s="221">
        <f t="shared" si="30"/>
        <v>8026</v>
      </c>
      <c r="G119" s="222">
        <f t="shared" si="27"/>
        <v>212352</v>
      </c>
      <c r="H119" s="221">
        <f t="shared" ref="H119" si="31">SUM(H98:H115)</f>
        <v>15988</v>
      </c>
      <c r="I119" s="221">
        <f>SUM(I98:I118)</f>
        <v>164880</v>
      </c>
      <c r="J119" s="221">
        <f t="shared" ref="J119:K119" si="32">SUM(J98:J118)</f>
        <v>99856</v>
      </c>
      <c r="K119" s="221">
        <f t="shared" si="32"/>
        <v>1700</v>
      </c>
      <c r="L119" s="223">
        <f t="shared" si="28"/>
        <v>266436</v>
      </c>
      <c r="M119" s="224">
        <f t="shared" si="29"/>
        <v>54084</v>
      </c>
      <c r="N119" s="221">
        <f>SUM(N98:N118)</f>
        <v>11715</v>
      </c>
      <c r="O119" s="225">
        <f>SUM(O98:O118)</f>
        <v>7060</v>
      </c>
      <c r="P119" s="226">
        <f>SUM(P98:P118)</f>
        <v>0</v>
      </c>
      <c r="Q119" s="258">
        <f>SUM(Q98:Q118)</f>
        <v>1950</v>
      </c>
      <c r="R119" s="226">
        <f t="shared" ref="R119:X119" si="33">SUM(R98:R118)</f>
        <v>0</v>
      </c>
      <c r="S119" s="226">
        <f t="shared" si="33"/>
        <v>9336</v>
      </c>
      <c r="T119" s="226">
        <f t="shared" si="33"/>
        <v>1000</v>
      </c>
      <c r="U119" s="226">
        <f t="shared" si="33"/>
        <v>0</v>
      </c>
      <c r="V119" s="226">
        <f t="shared" si="33"/>
        <v>0</v>
      </c>
      <c r="W119" s="226">
        <f t="shared" si="33"/>
        <v>0</v>
      </c>
      <c r="X119" s="227">
        <f t="shared" si="33"/>
        <v>0</v>
      </c>
      <c r="Y119" s="280"/>
      <c r="Z119" s="16"/>
      <c r="AA119" s="16"/>
      <c r="AB119" s="16"/>
      <c r="AC119" s="16"/>
      <c r="AD119" s="16"/>
      <c r="AE119" s="16"/>
    </row>
    <row r="120" spans="1:31" ht="15.75" customHeight="1" x14ac:dyDescent="0.25">
      <c r="A120" s="16"/>
      <c r="B120" s="16"/>
      <c r="C120" s="36"/>
      <c r="D120" s="18"/>
      <c r="E120" s="18"/>
      <c r="F120" s="18"/>
      <c r="G120" s="94"/>
      <c r="H120" s="19"/>
      <c r="I120" s="18"/>
      <c r="J120" s="18"/>
      <c r="K120" s="18"/>
      <c r="L120" s="18"/>
      <c r="M120" s="95"/>
      <c r="N120" s="18"/>
      <c r="O120" s="168"/>
      <c r="P120" s="19"/>
      <c r="Q120" s="242"/>
      <c r="R120" s="168"/>
      <c r="S120" s="168"/>
      <c r="T120" s="168"/>
      <c r="U120" s="168"/>
      <c r="V120" s="168"/>
      <c r="W120" s="168"/>
      <c r="X120" s="169"/>
      <c r="Y120" s="280"/>
      <c r="Z120" s="16"/>
      <c r="AA120" s="16"/>
      <c r="AB120" s="16"/>
      <c r="AC120" s="16"/>
      <c r="AD120" s="16"/>
      <c r="AE120" s="16"/>
    </row>
    <row r="121" spans="1:31" ht="15.75" customHeight="1" x14ac:dyDescent="0.25">
      <c r="A121" s="6" t="s">
        <v>111</v>
      </c>
      <c r="B121" s="29" t="s">
        <v>122</v>
      </c>
      <c r="C121" s="29" t="s">
        <v>122</v>
      </c>
      <c r="D121" s="14">
        <v>109638</v>
      </c>
      <c r="E121" s="14">
        <v>40962</v>
      </c>
      <c r="F121" s="14">
        <v>850</v>
      </c>
      <c r="G121" s="61">
        <f t="shared" ref="G121:G149" si="34">SUM(D121:F121)</f>
        <v>151450</v>
      </c>
      <c r="H121" s="15">
        <f>24332-21756</f>
        <v>2576</v>
      </c>
      <c r="I121" s="14">
        <v>21756</v>
      </c>
      <c r="J121" s="14">
        <v>3589</v>
      </c>
      <c r="K121" s="14"/>
      <c r="L121" s="14">
        <f t="shared" ref="L121:L132" si="35">(I121+J121+K121)</f>
        <v>25345</v>
      </c>
      <c r="M121" s="62">
        <f t="shared" ref="M121:M149" si="36">(L121-G121)</f>
        <v>-126105</v>
      </c>
      <c r="N121" s="15"/>
      <c r="O121" s="38"/>
      <c r="P121" s="15"/>
      <c r="Q121" s="241"/>
      <c r="R121" s="38"/>
      <c r="S121" s="38"/>
      <c r="T121" s="38"/>
      <c r="U121" s="38"/>
      <c r="V121" s="38"/>
      <c r="W121" s="38"/>
      <c r="X121" s="167"/>
    </row>
    <row r="122" spans="1:31" ht="15.75" customHeight="1" x14ac:dyDescent="0.25">
      <c r="A122" s="109"/>
      <c r="B122" s="13"/>
      <c r="C122" s="13" t="s">
        <v>244</v>
      </c>
      <c r="D122" s="14"/>
      <c r="E122" s="14"/>
      <c r="F122" s="14"/>
      <c r="G122" s="61">
        <f>SUM(D122:F122)</f>
        <v>0</v>
      </c>
      <c r="H122" s="15">
        <f>13992-12372+307</f>
        <v>1927</v>
      </c>
      <c r="I122" s="14">
        <v>12372</v>
      </c>
      <c r="J122" s="14">
        <v>6584</v>
      </c>
      <c r="K122" s="14"/>
      <c r="L122" s="14">
        <f>SUM(I122:K122)</f>
        <v>18956</v>
      </c>
      <c r="M122" s="62">
        <f>(L122-G122)</f>
        <v>18956</v>
      </c>
      <c r="N122" s="14"/>
      <c r="O122" s="38"/>
      <c r="P122" s="15"/>
      <c r="Q122" s="241"/>
      <c r="R122" s="38"/>
      <c r="S122" s="38"/>
      <c r="T122" s="38"/>
      <c r="U122" s="38"/>
      <c r="V122" s="38"/>
      <c r="W122" s="38"/>
      <c r="X122" s="167"/>
    </row>
    <row r="123" spans="1:31" ht="15.75" customHeight="1" x14ac:dyDescent="0.25">
      <c r="A123" s="109"/>
      <c r="B123" s="13"/>
      <c r="C123" s="13" t="s">
        <v>245</v>
      </c>
      <c r="D123" s="14"/>
      <c r="E123" s="14"/>
      <c r="F123" s="14"/>
      <c r="G123" s="61">
        <f>SUM(D123:F123)</f>
        <v>0</v>
      </c>
      <c r="H123" s="15">
        <f>14964-11970+457</f>
        <v>3451</v>
      </c>
      <c r="I123" s="14">
        <v>11970</v>
      </c>
      <c r="J123" s="14">
        <v>2288</v>
      </c>
      <c r="K123" s="14">
        <v>850</v>
      </c>
      <c r="L123" s="14">
        <f>SUM(I123:K123)</f>
        <v>15108</v>
      </c>
      <c r="M123" s="62">
        <f>(L123-G123)</f>
        <v>15108</v>
      </c>
      <c r="N123" s="14"/>
      <c r="O123" s="38"/>
      <c r="P123" s="15"/>
      <c r="Q123" s="241"/>
      <c r="R123" s="38"/>
      <c r="S123" s="38"/>
      <c r="T123" s="38"/>
      <c r="U123" s="38"/>
      <c r="V123" s="38"/>
      <c r="W123" s="38"/>
      <c r="X123" s="167"/>
    </row>
    <row r="124" spans="1:31" ht="15.75" customHeight="1" x14ac:dyDescent="0.25">
      <c r="A124" s="109"/>
      <c r="B124" s="13"/>
      <c r="C124" s="13" t="s">
        <v>232</v>
      </c>
      <c r="D124" s="14"/>
      <c r="E124" s="14"/>
      <c r="F124" s="14"/>
      <c r="G124" s="61">
        <f>SUM(D124:F124)</f>
        <v>0</v>
      </c>
      <c r="H124" s="15">
        <f>43379-40581</f>
        <v>2798</v>
      </c>
      <c r="I124" s="14">
        <v>40581</v>
      </c>
      <c r="J124" s="14">
        <v>13312</v>
      </c>
      <c r="K124" s="14"/>
      <c r="L124" s="14">
        <f>SUM(I124:K124)</f>
        <v>53893</v>
      </c>
      <c r="M124" s="62">
        <f>(L124-G124)</f>
        <v>53893</v>
      </c>
      <c r="N124" s="14"/>
      <c r="O124" s="38"/>
      <c r="P124" s="15"/>
      <c r="Q124" s="241"/>
      <c r="R124" s="38"/>
      <c r="S124" s="38"/>
      <c r="T124" s="38"/>
      <c r="U124" s="38"/>
      <c r="V124" s="38"/>
      <c r="W124" s="38"/>
      <c r="X124" s="167"/>
    </row>
    <row r="125" spans="1:31" ht="15.75" customHeight="1" x14ac:dyDescent="0.25">
      <c r="A125" s="109"/>
      <c r="B125" s="13"/>
      <c r="C125" s="13" t="s">
        <v>64</v>
      </c>
      <c r="D125" s="14"/>
      <c r="E125" s="14"/>
      <c r="F125" s="14"/>
      <c r="G125" s="61">
        <f>SUM(D125:F125)</f>
        <v>0</v>
      </c>
      <c r="H125" s="15"/>
      <c r="I125" s="14"/>
      <c r="J125" s="14">
        <v>6979</v>
      </c>
      <c r="K125" s="14"/>
      <c r="L125" s="14">
        <f>SUM(I125:K125)</f>
        <v>6979</v>
      </c>
      <c r="M125" s="62">
        <f>(L125-G125)</f>
        <v>6979</v>
      </c>
      <c r="N125" s="14"/>
      <c r="O125" s="38"/>
      <c r="P125" s="15"/>
      <c r="Q125" s="241"/>
      <c r="R125" s="38"/>
      <c r="S125" s="38"/>
      <c r="T125" s="38"/>
      <c r="U125" s="38"/>
      <c r="V125" s="38"/>
      <c r="W125" s="38"/>
      <c r="X125" s="167"/>
    </row>
    <row r="126" spans="1:31" ht="15.75" customHeight="1" x14ac:dyDescent="0.25">
      <c r="A126" s="109"/>
      <c r="B126" s="13"/>
      <c r="C126" s="13" t="s">
        <v>229</v>
      </c>
      <c r="D126" s="14"/>
      <c r="E126" s="14"/>
      <c r="F126" s="14"/>
      <c r="G126" s="61">
        <f>SUM(D126:F126)</f>
        <v>0</v>
      </c>
      <c r="H126" s="15">
        <f>22033-20325</f>
        <v>1708</v>
      </c>
      <c r="I126" s="14">
        <v>20325</v>
      </c>
      <c r="J126" s="14">
        <v>23116</v>
      </c>
      <c r="K126" s="14"/>
      <c r="L126" s="14">
        <f>SUM(I126:K126)</f>
        <v>43441</v>
      </c>
      <c r="M126" s="62">
        <f>(L126-G126)</f>
        <v>43441</v>
      </c>
      <c r="N126" s="14"/>
      <c r="O126" s="38"/>
      <c r="P126" s="15"/>
      <c r="Q126" s="241"/>
      <c r="R126" s="38"/>
      <c r="S126" s="38"/>
      <c r="T126" s="38"/>
      <c r="U126" s="38"/>
      <c r="V126" s="38"/>
      <c r="W126" s="38"/>
      <c r="X126" s="167"/>
    </row>
    <row r="127" spans="1:31" ht="15.75" customHeight="1" x14ac:dyDescent="0.25">
      <c r="A127" s="6" t="s">
        <v>111</v>
      </c>
      <c r="B127" s="29" t="s">
        <v>122</v>
      </c>
      <c r="C127" s="13" t="s">
        <v>598</v>
      </c>
      <c r="D127" s="14"/>
      <c r="E127" s="14"/>
      <c r="F127" s="14">
        <v>2000</v>
      </c>
      <c r="G127" s="61">
        <f t="shared" si="34"/>
        <v>2000</v>
      </c>
      <c r="H127" s="15"/>
      <c r="I127" s="14"/>
      <c r="J127" s="14"/>
      <c r="K127" s="14"/>
      <c r="L127" s="14">
        <f t="shared" si="35"/>
        <v>0</v>
      </c>
      <c r="M127" s="62">
        <f t="shared" si="36"/>
        <v>-2000</v>
      </c>
      <c r="N127" s="15"/>
      <c r="O127" s="38"/>
      <c r="P127" s="15"/>
      <c r="Q127" s="241"/>
      <c r="R127" s="38"/>
      <c r="S127" s="38"/>
      <c r="T127" s="38"/>
      <c r="U127" s="38"/>
      <c r="V127" s="38"/>
      <c r="W127" s="38"/>
      <c r="X127" s="167"/>
    </row>
    <row r="128" spans="1:31" ht="15.75" customHeight="1" x14ac:dyDescent="0.25">
      <c r="A128" s="6" t="s">
        <v>111</v>
      </c>
      <c r="B128" s="29" t="s">
        <v>122</v>
      </c>
      <c r="C128" s="31" t="s">
        <v>231</v>
      </c>
      <c r="D128" s="14"/>
      <c r="E128" s="14"/>
      <c r="F128" s="14"/>
      <c r="G128" s="61">
        <f t="shared" si="34"/>
        <v>0</v>
      </c>
      <c r="H128" s="15"/>
      <c r="I128" s="14"/>
      <c r="J128" s="14"/>
      <c r="K128" s="14"/>
      <c r="L128" s="14">
        <f t="shared" si="35"/>
        <v>0</v>
      </c>
      <c r="M128" s="62">
        <f t="shared" si="36"/>
        <v>0</v>
      </c>
      <c r="N128" s="15"/>
      <c r="O128" s="38"/>
      <c r="P128" s="15"/>
      <c r="Q128" s="241"/>
      <c r="R128" s="38"/>
      <c r="S128" s="38"/>
      <c r="T128" s="38"/>
      <c r="U128" s="38"/>
      <c r="V128" s="38"/>
      <c r="W128" s="38"/>
      <c r="X128" s="167"/>
    </row>
    <row r="129" spans="1:26" ht="15.75" customHeight="1" x14ac:dyDescent="0.25">
      <c r="A129" s="109"/>
      <c r="B129" s="13"/>
      <c r="C129" s="13" t="s">
        <v>599</v>
      </c>
      <c r="D129" s="14"/>
      <c r="E129" s="14"/>
      <c r="F129" s="14"/>
      <c r="G129" s="61">
        <f>SUM(D129:F129)</f>
        <v>0</v>
      </c>
      <c r="H129" s="15"/>
      <c r="I129" s="14"/>
      <c r="J129" s="14"/>
      <c r="K129" s="14"/>
      <c r="L129" s="14">
        <f>SUM(I129:K129)</f>
        <v>0</v>
      </c>
      <c r="M129" s="62">
        <f>(L129-G129)</f>
        <v>0</v>
      </c>
      <c r="N129" s="14"/>
      <c r="O129" s="38">
        <v>2500</v>
      </c>
      <c r="P129" s="15"/>
      <c r="Q129" s="241"/>
      <c r="R129" s="38"/>
      <c r="S129" s="38"/>
      <c r="T129" s="38"/>
      <c r="U129" s="38"/>
      <c r="V129" s="38"/>
      <c r="W129" s="38"/>
      <c r="X129" s="167"/>
    </row>
    <row r="130" spans="1:26" ht="15.75" customHeight="1" x14ac:dyDescent="0.25">
      <c r="A130" s="109"/>
      <c r="B130" s="13"/>
      <c r="C130" s="13" t="s">
        <v>600</v>
      </c>
      <c r="D130" s="14"/>
      <c r="E130" s="14"/>
      <c r="F130" s="14"/>
      <c r="G130" s="61">
        <f>SUM(D130:F130)</f>
        <v>0</v>
      </c>
      <c r="H130" s="15"/>
      <c r="I130" s="14"/>
      <c r="J130" s="14">
        <v>150</v>
      </c>
      <c r="K130" s="14"/>
      <c r="L130" s="14">
        <f>SUM(I130:K130)</f>
        <v>150</v>
      </c>
      <c r="M130" s="62">
        <f>(L130-G130)</f>
        <v>150</v>
      </c>
      <c r="N130" s="14"/>
      <c r="O130" s="38"/>
      <c r="P130" s="15"/>
      <c r="Q130" s="241"/>
      <c r="R130" s="38"/>
      <c r="S130" s="38"/>
      <c r="T130" s="38"/>
      <c r="U130" s="38"/>
      <c r="V130" s="38"/>
      <c r="W130" s="38"/>
      <c r="X130" s="167"/>
    </row>
    <row r="131" spans="1:26" ht="15.75" customHeight="1" x14ac:dyDescent="0.25">
      <c r="A131" s="6" t="s">
        <v>111</v>
      </c>
      <c r="B131" s="29" t="s">
        <v>122</v>
      </c>
      <c r="C131" s="17" t="s">
        <v>601</v>
      </c>
      <c r="D131" s="14"/>
      <c r="E131" s="14"/>
      <c r="F131" s="14"/>
      <c r="G131" s="61">
        <f t="shared" si="34"/>
        <v>0</v>
      </c>
      <c r="H131" s="15"/>
      <c r="I131" s="14"/>
      <c r="J131" s="14"/>
      <c r="K131" s="14"/>
      <c r="L131" s="14">
        <f t="shared" si="35"/>
        <v>0</v>
      </c>
      <c r="M131" s="62">
        <f t="shared" si="36"/>
        <v>0</v>
      </c>
      <c r="N131" s="15"/>
      <c r="O131" s="38"/>
      <c r="P131" s="15">
        <v>6500</v>
      </c>
      <c r="Q131" s="241"/>
      <c r="R131" s="38"/>
      <c r="S131" s="38"/>
      <c r="T131" s="38"/>
      <c r="U131" s="38"/>
      <c r="V131" s="38"/>
      <c r="W131" s="38"/>
      <c r="X131" s="167"/>
    </row>
    <row r="132" spans="1:26" ht="15.75" customHeight="1" x14ac:dyDescent="0.25">
      <c r="A132" s="6" t="s">
        <v>111</v>
      </c>
      <c r="B132" s="29" t="s">
        <v>122</v>
      </c>
      <c r="C132" s="21" t="s">
        <v>602</v>
      </c>
      <c r="D132" s="14"/>
      <c r="E132" s="14"/>
      <c r="F132" s="14"/>
      <c r="G132" s="61">
        <f t="shared" si="34"/>
        <v>0</v>
      </c>
      <c r="H132" s="15"/>
      <c r="I132" s="14"/>
      <c r="J132" s="14"/>
      <c r="K132" s="14"/>
      <c r="L132" s="14">
        <f t="shared" si="35"/>
        <v>0</v>
      </c>
      <c r="M132" s="62">
        <f t="shared" si="36"/>
        <v>0</v>
      </c>
      <c r="N132" s="14"/>
      <c r="O132" s="264">
        <v>1500</v>
      </c>
      <c r="P132" s="15"/>
      <c r="Q132" s="241"/>
      <c r="R132" s="38"/>
      <c r="S132" s="38"/>
      <c r="T132" s="38">
        <v>300</v>
      </c>
      <c r="U132" s="38"/>
      <c r="V132" s="38"/>
      <c r="W132" s="38"/>
      <c r="X132" s="167"/>
      <c r="Y132" s="285" t="s">
        <v>597</v>
      </c>
      <c r="Z132" s="265"/>
    </row>
    <row r="133" spans="1:26" ht="15.75" customHeight="1" x14ac:dyDescent="0.25">
      <c r="C133" s="24" t="s">
        <v>188</v>
      </c>
      <c r="D133" s="74">
        <f>SUM(D121:D132)</f>
        <v>109638</v>
      </c>
      <c r="E133" s="74">
        <f>SUM(E121:E132)</f>
        <v>40962</v>
      </c>
      <c r="F133" s="74">
        <f>SUM(F121:F132)</f>
        <v>2850</v>
      </c>
      <c r="G133" s="59">
        <f t="shared" si="34"/>
        <v>153450</v>
      </c>
      <c r="H133" s="74">
        <f>SUM(H121:H132)</f>
        <v>12460</v>
      </c>
      <c r="I133" s="74">
        <f>SUM(I121:I132)</f>
        <v>107004</v>
      </c>
      <c r="J133" s="74">
        <f>SUM(J121:J132)</f>
        <v>56018</v>
      </c>
      <c r="K133" s="74">
        <f>SUM(K121:K132)</f>
        <v>850</v>
      </c>
      <c r="L133" s="74">
        <f t="shared" ref="L133:L149" si="37">SUM(I133:K133)</f>
        <v>163872</v>
      </c>
      <c r="M133" s="60">
        <f t="shared" si="36"/>
        <v>10422</v>
      </c>
      <c r="N133" s="74">
        <f t="shared" ref="N133:X133" si="38">SUM(N121:N132)</f>
        <v>0</v>
      </c>
      <c r="O133" s="102">
        <f t="shared" si="38"/>
        <v>4000</v>
      </c>
      <c r="P133" s="90">
        <f t="shared" si="38"/>
        <v>6500</v>
      </c>
      <c r="Q133" s="247">
        <f t="shared" si="38"/>
        <v>0</v>
      </c>
      <c r="R133" s="102">
        <f t="shared" si="38"/>
        <v>0</v>
      </c>
      <c r="S133" s="102">
        <f t="shared" si="38"/>
        <v>0</v>
      </c>
      <c r="T133" s="102">
        <f t="shared" si="38"/>
        <v>300</v>
      </c>
      <c r="U133" s="102">
        <f t="shared" si="38"/>
        <v>0</v>
      </c>
      <c r="V133" s="102">
        <f t="shared" si="38"/>
        <v>0</v>
      </c>
      <c r="W133" s="102">
        <f t="shared" si="38"/>
        <v>0</v>
      </c>
      <c r="X133" s="102">
        <f t="shared" si="38"/>
        <v>0</v>
      </c>
    </row>
    <row r="134" spans="1:26" ht="15.75" customHeight="1" x14ac:dyDescent="0.25">
      <c r="A134" s="6" t="s">
        <v>111</v>
      </c>
      <c r="B134" s="29" t="s">
        <v>120</v>
      </c>
      <c r="C134" s="135" t="s">
        <v>120</v>
      </c>
      <c r="D134" s="126">
        <v>29507</v>
      </c>
      <c r="E134" s="126">
        <v>3745</v>
      </c>
      <c r="F134" s="126"/>
      <c r="G134" s="125">
        <f t="shared" si="34"/>
        <v>33252</v>
      </c>
      <c r="H134" s="137">
        <f>23552-21357</f>
        <v>2195</v>
      </c>
      <c r="I134" s="126">
        <v>21357</v>
      </c>
      <c r="J134" s="126">
        <v>4069</v>
      </c>
      <c r="K134" s="136"/>
      <c r="L134" s="126">
        <f t="shared" si="37"/>
        <v>25426</v>
      </c>
      <c r="M134" s="127">
        <f t="shared" si="36"/>
        <v>-7826</v>
      </c>
      <c r="N134" s="137"/>
      <c r="O134" s="180"/>
      <c r="P134" s="137"/>
      <c r="Q134" s="248"/>
      <c r="R134" s="180"/>
      <c r="S134" s="180"/>
      <c r="T134" s="180"/>
      <c r="U134" s="180"/>
      <c r="V134" s="180"/>
      <c r="W134" s="180"/>
      <c r="X134" s="181"/>
    </row>
    <row r="135" spans="1:26" ht="15.75" customHeight="1" x14ac:dyDescent="0.25">
      <c r="A135" s="6" t="s">
        <v>111</v>
      </c>
      <c r="B135" s="29" t="s">
        <v>120</v>
      </c>
      <c r="C135" s="129" t="s">
        <v>603</v>
      </c>
      <c r="D135" s="14">
        <v>1932</v>
      </c>
      <c r="E135" s="14"/>
      <c r="F135" s="14"/>
      <c r="G135" s="61">
        <f t="shared" si="34"/>
        <v>1932</v>
      </c>
      <c r="H135" s="15"/>
      <c r="I135" s="14"/>
      <c r="J135" s="14"/>
      <c r="K135" s="30"/>
      <c r="L135" s="14">
        <f t="shared" si="37"/>
        <v>0</v>
      </c>
      <c r="M135" s="62">
        <f t="shared" si="36"/>
        <v>-1932</v>
      </c>
      <c r="N135" s="14"/>
      <c r="O135" s="38"/>
      <c r="P135" s="15"/>
      <c r="Q135" s="241"/>
      <c r="R135" s="38"/>
      <c r="S135" s="38"/>
      <c r="T135" s="38"/>
      <c r="U135" s="38"/>
      <c r="V135" s="38"/>
      <c r="W135" s="38"/>
      <c r="X135" s="176"/>
    </row>
    <row r="136" spans="1:26" ht="15.75" customHeight="1" x14ac:dyDescent="0.25">
      <c r="A136" s="6" t="s">
        <v>111</v>
      </c>
      <c r="B136" s="29" t="s">
        <v>120</v>
      </c>
      <c r="C136" s="129" t="s">
        <v>229</v>
      </c>
      <c r="D136" s="14">
        <v>22815</v>
      </c>
      <c r="E136" s="14">
        <f>23693-E139</f>
        <v>17439</v>
      </c>
      <c r="F136" s="14"/>
      <c r="G136" s="61">
        <f t="shared" si="34"/>
        <v>40254</v>
      </c>
      <c r="H136" s="15">
        <f>26074-25436</f>
        <v>638</v>
      </c>
      <c r="I136" s="38">
        <v>25436</v>
      </c>
      <c r="J136" s="14">
        <v>36487</v>
      </c>
      <c r="K136" s="30"/>
      <c r="L136" s="14">
        <f t="shared" si="37"/>
        <v>61923</v>
      </c>
      <c r="M136" s="62">
        <f t="shared" si="36"/>
        <v>21669</v>
      </c>
      <c r="N136" s="14"/>
      <c r="O136" s="38"/>
      <c r="P136" s="15"/>
      <c r="Q136" s="241"/>
      <c r="R136" s="38"/>
      <c r="S136" s="38"/>
      <c r="T136" s="38"/>
      <c r="U136" s="38"/>
      <c r="V136" s="38"/>
      <c r="W136" s="38"/>
      <c r="X136" s="176"/>
    </row>
    <row r="137" spans="1:26" ht="15.75" customHeight="1" x14ac:dyDescent="0.25">
      <c r="A137" s="6" t="s">
        <v>111</v>
      </c>
      <c r="B137" s="29" t="s">
        <v>120</v>
      </c>
      <c r="C137" s="129" t="s">
        <v>64</v>
      </c>
      <c r="D137" s="14"/>
      <c r="E137" s="14">
        <v>3064</v>
      </c>
      <c r="F137" s="14"/>
      <c r="G137" s="61">
        <f t="shared" si="34"/>
        <v>3064</v>
      </c>
      <c r="H137" s="15"/>
      <c r="I137" s="14"/>
      <c r="J137" s="14">
        <v>3354</v>
      </c>
      <c r="K137" s="30"/>
      <c r="L137" s="14">
        <f t="shared" si="37"/>
        <v>3354</v>
      </c>
      <c r="M137" s="62">
        <f t="shared" si="36"/>
        <v>290</v>
      </c>
      <c r="N137" s="14"/>
      <c r="O137" s="38"/>
      <c r="P137" s="15"/>
      <c r="Q137" s="241"/>
      <c r="R137" s="38"/>
      <c r="S137" s="38"/>
      <c r="T137" s="38"/>
      <c r="U137" s="38"/>
      <c r="V137" s="38"/>
      <c r="W137" s="38"/>
      <c r="X137" s="176"/>
    </row>
    <row r="138" spans="1:26" ht="15.75" customHeight="1" x14ac:dyDescent="0.25">
      <c r="A138" s="6" t="s">
        <v>111</v>
      </c>
      <c r="B138" s="29" t="s">
        <v>120</v>
      </c>
      <c r="C138" s="129" t="s">
        <v>232</v>
      </c>
      <c r="D138" s="14">
        <v>26597</v>
      </c>
      <c r="E138" s="14" t="e">
        <f>8606-#REF!-#REF!</f>
        <v>#REF!</v>
      </c>
      <c r="F138" s="14"/>
      <c r="G138" s="61" t="e">
        <f t="shared" si="34"/>
        <v>#REF!</v>
      </c>
      <c r="H138" s="15">
        <f>29513-27094</f>
        <v>2419</v>
      </c>
      <c r="I138" s="14">
        <v>27094</v>
      </c>
      <c r="J138" s="14">
        <v>13556</v>
      </c>
      <c r="K138" s="30"/>
      <c r="L138" s="14">
        <f t="shared" si="37"/>
        <v>40650</v>
      </c>
      <c r="M138" s="62" t="e">
        <f t="shared" si="36"/>
        <v>#REF!</v>
      </c>
      <c r="N138" s="14"/>
      <c r="O138" s="38"/>
      <c r="P138" s="15"/>
      <c r="Q138" s="241"/>
      <c r="R138" s="38"/>
      <c r="S138" s="38"/>
      <c r="T138" s="38"/>
      <c r="U138" s="38"/>
      <c r="V138" s="38"/>
      <c r="W138" s="38"/>
      <c r="X138" s="176"/>
    </row>
    <row r="139" spans="1:26" ht="15.75" customHeight="1" x14ac:dyDescent="0.25">
      <c r="A139" s="6" t="s">
        <v>111</v>
      </c>
      <c r="B139" s="29" t="s">
        <v>120</v>
      </c>
      <c r="C139" s="129" t="s">
        <v>230</v>
      </c>
      <c r="D139" s="14"/>
      <c r="E139" s="14">
        <v>6254</v>
      </c>
      <c r="F139" s="14"/>
      <c r="G139" s="61">
        <f t="shared" si="34"/>
        <v>6254</v>
      </c>
      <c r="H139" s="15"/>
      <c r="I139" s="38"/>
      <c r="J139" s="14"/>
      <c r="K139" s="30"/>
      <c r="L139" s="14">
        <f t="shared" si="37"/>
        <v>0</v>
      </c>
      <c r="M139" s="62">
        <f t="shared" si="36"/>
        <v>-6254</v>
      </c>
      <c r="N139" s="14"/>
      <c r="O139" s="38"/>
      <c r="P139" s="15"/>
      <c r="Q139" s="241"/>
      <c r="R139" s="38"/>
      <c r="S139" s="38"/>
      <c r="T139" s="38"/>
      <c r="U139" s="38"/>
      <c r="V139" s="38"/>
      <c r="W139" s="38"/>
      <c r="X139" s="176"/>
    </row>
    <row r="140" spans="1:26" ht="15.75" customHeight="1" x14ac:dyDescent="0.25">
      <c r="A140" s="6" t="s">
        <v>111</v>
      </c>
      <c r="B140" s="29" t="s">
        <v>120</v>
      </c>
      <c r="C140" s="129" t="s">
        <v>572</v>
      </c>
      <c r="D140" s="14">
        <v>5840</v>
      </c>
      <c r="E140" s="14"/>
      <c r="F140" s="14"/>
      <c r="G140" s="61">
        <f t="shared" si="34"/>
        <v>5840</v>
      </c>
      <c r="H140" s="15"/>
      <c r="I140" s="14">
        <v>6111</v>
      </c>
      <c r="J140" s="14">
        <v>552</v>
      </c>
      <c r="K140" s="30"/>
      <c r="L140" s="14">
        <f t="shared" si="37"/>
        <v>6663</v>
      </c>
      <c r="M140" s="62">
        <f t="shared" si="36"/>
        <v>823</v>
      </c>
      <c r="N140" s="14">
        <v>10488</v>
      </c>
      <c r="O140" s="38"/>
      <c r="P140" s="15"/>
      <c r="Q140" s="241"/>
      <c r="R140" s="38"/>
      <c r="S140" s="38"/>
      <c r="T140" s="38"/>
      <c r="U140" s="38"/>
      <c r="V140" s="38"/>
      <c r="W140" s="38"/>
      <c r="X140" s="176"/>
    </row>
    <row r="141" spans="1:26" ht="15.75" customHeight="1" x14ac:dyDescent="0.25">
      <c r="A141" s="6" t="s">
        <v>111</v>
      </c>
      <c r="B141" s="29" t="s">
        <v>120</v>
      </c>
      <c r="C141" s="129" t="s">
        <v>246</v>
      </c>
      <c r="D141" s="14">
        <v>28364</v>
      </c>
      <c r="E141" s="14">
        <v>7244</v>
      </c>
      <c r="F141" s="14">
        <v>850</v>
      </c>
      <c r="G141" s="61">
        <f t="shared" si="34"/>
        <v>36458</v>
      </c>
      <c r="H141" s="15">
        <v>3554</v>
      </c>
      <c r="I141" s="14">
        <v>33925</v>
      </c>
      <c r="J141" s="14">
        <v>4410</v>
      </c>
      <c r="K141" s="14">
        <v>850</v>
      </c>
      <c r="L141" s="14">
        <f t="shared" si="37"/>
        <v>39185</v>
      </c>
      <c r="M141" s="62">
        <f t="shared" si="36"/>
        <v>2727</v>
      </c>
      <c r="N141" s="15"/>
      <c r="O141" s="38"/>
      <c r="P141" s="15"/>
      <c r="Q141" s="241"/>
      <c r="R141" s="38"/>
      <c r="S141" s="38"/>
      <c r="T141" s="38"/>
      <c r="U141" s="38"/>
      <c r="V141" s="38"/>
      <c r="W141" s="38"/>
      <c r="X141" s="176"/>
      <c r="Z141" s="46"/>
    </row>
    <row r="142" spans="1:26" ht="15.75" customHeight="1" x14ac:dyDescent="0.25">
      <c r="A142" s="6" t="s">
        <v>111</v>
      </c>
      <c r="B142" s="29" t="s">
        <v>120</v>
      </c>
      <c r="C142" s="129" t="s">
        <v>247</v>
      </c>
      <c r="D142" s="14">
        <v>11799</v>
      </c>
      <c r="E142" s="14">
        <v>4255</v>
      </c>
      <c r="F142" s="14"/>
      <c r="G142" s="61">
        <f t="shared" si="34"/>
        <v>16054</v>
      </c>
      <c r="H142" s="15">
        <f>9640-11176</f>
        <v>-1536</v>
      </c>
      <c r="I142" s="14">
        <v>11176</v>
      </c>
      <c r="J142" s="14">
        <v>4262</v>
      </c>
      <c r="K142" s="14"/>
      <c r="L142" s="14">
        <f t="shared" si="37"/>
        <v>15438</v>
      </c>
      <c r="M142" s="62">
        <f t="shared" si="36"/>
        <v>-616</v>
      </c>
      <c r="N142" s="15"/>
      <c r="O142" s="38"/>
      <c r="P142" s="15"/>
      <c r="Q142" s="241"/>
      <c r="R142" s="38"/>
      <c r="S142" s="38"/>
      <c r="T142" s="38"/>
      <c r="U142" s="38"/>
      <c r="V142" s="38"/>
      <c r="W142" s="38"/>
      <c r="X142" s="176"/>
    </row>
    <row r="143" spans="1:26" ht="15.75" customHeight="1" x14ac:dyDescent="0.25">
      <c r="A143" s="109"/>
      <c r="B143" s="13"/>
      <c r="C143" s="139" t="s">
        <v>231</v>
      </c>
      <c r="D143" s="14"/>
      <c r="E143" s="14"/>
      <c r="F143" s="14"/>
      <c r="G143" s="61">
        <f t="shared" ref="G143:G148" si="39">SUM(D143:F143)</f>
        <v>0</v>
      </c>
      <c r="H143" s="15"/>
      <c r="I143" s="14"/>
      <c r="J143" s="14"/>
      <c r="K143" s="14"/>
      <c r="L143" s="14">
        <f t="shared" ref="L143:L148" si="40">SUM(I143:K143)</f>
        <v>0</v>
      </c>
      <c r="M143" s="62">
        <f t="shared" ref="M143:M148" si="41">(L143-G143)</f>
        <v>0</v>
      </c>
      <c r="N143" s="14"/>
      <c r="O143" s="38"/>
      <c r="P143" s="15"/>
      <c r="Q143" s="241"/>
      <c r="R143" s="38"/>
      <c r="S143" s="38"/>
      <c r="T143" s="38"/>
      <c r="U143" s="38"/>
      <c r="V143" s="38"/>
      <c r="W143" s="38"/>
      <c r="X143" s="176"/>
    </row>
    <row r="144" spans="1:26" ht="15.75" customHeight="1" x14ac:dyDescent="0.25">
      <c r="A144" s="109"/>
      <c r="B144" s="13"/>
      <c r="C144" s="138" t="s">
        <v>604</v>
      </c>
      <c r="D144" s="14"/>
      <c r="E144" s="14"/>
      <c r="F144" s="14"/>
      <c r="G144" s="61">
        <f t="shared" si="39"/>
        <v>0</v>
      </c>
      <c r="H144" s="15"/>
      <c r="I144" s="14"/>
      <c r="J144" s="14"/>
      <c r="K144" s="14"/>
      <c r="L144" s="14">
        <f t="shared" si="40"/>
        <v>0</v>
      </c>
      <c r="M144" s="62">
        <f t="shared" si="41"/>
        <v>0</v>
      </c>
      <c r="N144" s="14"/>
      <c r="O144" s="38">
        <v>2418</v>
      </c>
      <c r="P144" s="15"/>
      <c r="Q144" s="241"/>
      <c r="R144" s="38"/>
      <c r="S144" s="38"/>
      <c r="T144" s="38"/>
      <c r="U144" s="38"/>
      <c r="V144" s="38"/>
      <c r="W144" s="38"/>
      <c r="X144" s="176"/>
    </row>
    <row r="145" spans="1:31" ht="15.75" customHeight="1" x14ac:dyDescent="0.25">
      <c r="A145" s="109"/>
      <c r="B145" s="3"/>
      <c r="C145" s="13" t="s">
        <v>605</v>
      </c>
      <c r="D145" s="14"/>
      <c r="E145" s="14"/>
      <c r="F145" s="14"/>
      <c r="G145" s="61">
        <f t="shared" si="39"/>
        <v>0</v>
      </c>
      <c r="H145" s="15"/>
      <c r="I145" s="14"/>
      <c r="J145" s="14"/>
      <c r="K145" s="14"/>
      <c r="L145" s="14">
        <f t="shared" si="40"/>
        <v>0</v>
      </c>
      <c r="M145" s="62">
        <f t="shared" si="41"/>
        <v>0</v>
      </c>
      <c r="N145" s="14"/>
      <c r="O145" s="38"/>
      <c r="P145" s="15"/>
      <c r="Q145" s="241">
        <v>15000</v>
      </c>
      <c r="R145" s="38"/>
      <c r="S145" s="38"/>
      <c r="T145" s="38"/>
      <c r="U145" s="38"/>
      <c r="V145" s="38"/>
      <c r="W145" s="38"/>
      <c r="X145" s="167"/>
    </row>
    <row r="146" spans="1:31" ht="15.75" customHeight="1" x14ac:dyDescent="0.25">
      <c r="A146" s="109"/>
      <c r="B146" s="3"/>
      <c r="C146" s="13" t="s">
        <v>606</v>
      </c>
      <c r="D146" s="14"/>
      <c r="E146" s="14"/>
      <c r="F146" s="14"/>
      <c r="G146" s="61">
        <f t="shared" si="39"/>
        <v>0</v>
      </c>
      <c r="H146" s="15"/>
      <c r="I146" s="14"/>
      <c r="J146" s="14"/>
      <c r="K146" s="14"/>
      <c r="L146" s="14">
        <f t="shared" si="40"/>
        <v>0</v>
      </c>
      <c r="M146" s="62">
        <f t="shared" si="41"/>
        <v>0</v>
      </c>
      <c r="N146" s="14"/>
      <c r="O146" s="38"/>
      <c r="P146" s="15">
        <v>7000</v>
      </c>
      <c r="Q146" s="241"/>
      <c r="R146" s="38"/>
      <c r="S146" s="38"/>
      <c r="T146" s="38"/>
      <c r="U146" s="38"/>
      <c r="V146" s="38"/>
      <c r="W146" s="38"/>
      <c r="X146" s="167"/>
    </row>
    <row r="147" spans="1:31" ht="15.75" customHeight="1" x14ac:dyDescent="0.25">
      <c r="A147" s="109"/>
      <c r="B147" s="3"/>
      <c r="C147" s="13" t="s">
        <v>607</v>
      </c>
      <c r="D147" s="14"/>
      <c r="E147" s="14"/>
      <c r="F147" s="14"/>
      <c r="G147" s="61">
        <f t="shared" si="39"/>
        <v>0</v>
      </c>
      <c r="H147" s="15"/>
      <c r="I147" s="14"/>
      <c r="J147" s="14"/>
      <c r="K147" s="14"/>
      <c r="L147" s="14">
        <f t="shared" si="40"/>
        <v>0</v>
      </c>
      <c r="M147" s="62">
        <f t="shared" si="41"/>
        <v>0</v>
      </c>
      <c r="N147" s="14"/>
      <c r="O147" s="38"/>
      <c r="P147" s="15">
        <v>5000</v>
      </c>
      <c r="Q147" s="241"/>
      <c r="R147" s="38"/>
      <c r="S147" s="38"/>
      <c r="T147" s="38"/>
      <c r="U147" s="38"/>
      <c r="V147" s="38"/>
      <c r="W147" s="38"/>
      <c r="X147" s="167"/>
    </row>
    <row r="148" spans="1:31" ht="15.75" customHeight="1" x14ac:dyDescent="0.25">
      <c r="A148" s="109"/>
      <c r="B148" s="3"/>
      <c r="C148" s="13" t="s">
        <v>250</v>
      </c>
      <c r="D148" s="14"/>
      <c r="E148" s="14"/>
      <c r="F148" s="14"/>
      <c r="G148" s="61">
        <f t="shared" si="39"/>
        <v>0</v>
      </c>
      <c r="H148" s="15"/>
      <c r="I148" s="14"/>
      <c r="J148" s="14"/>
      <c r="K148" s="14"/>
      <c r="L148" s="14">
        <f t="shared" si="40"/>
        <v>0</v>
      </c>
      <c r="M148" s="62">
        <f t="shared" si="41"/>
        <v>0</v>
      </c>
      <c r="N148" s="14"/>
      <c r="O148" s="38"/>
      <c r="P148" s="15">
        <v>1000</v>
      </c>
      <c r="Q148" s="241"/>
      <c r="R148" s="38"/>
      <c r="S148" s="38"/>
      <c r="T148" s="38"/>
      <c r="U148" s="38"/>
      <c r="V148" s="38"/>
      <c r="W148" s="38"/>
      <c r="X148" s="167"/>
      <c r="Y148" s="279" t="s">
        <v>608</v>
      </c>
    </row>
    <row r="149" spans="1:31" ht="15.75" customHeight="1" x14ac:dyDescent="0.25">
      <c r="C149" s="146" t="s">
        <v>188</v>
      </c>
      <c r="D149" s="144">
        <f>SUM(D134:D144)</f>
        <v>126854</v>
      </c>
      <c r="E149" s="144" t="e">
        <f>SUM(E134:E144)</f>
        <v>#REF!</v>
      </c>
      <c r="F149" s="144">
        <f>SUM(F134:F144)</f>
        <v>850</v>
      </c>
      <c r="G149" s="143" t="e">
        <f t="shared" si="34"/>
        <v>#REF!</v>
      </c>
      <c r="H149" s="144">
        <f>SUM(H134:H144)</f>
        <v>7270</v>
      </c>
      <c r="I149" s="144">
        <f>SUM(I134:I148)</f>
        <v>125099</v>
      </c>
      <c r="J149" s="144">
        <f t="shared" ref="J149:K149" si="42">SUM(J134:J148)</f>
        <v>66690</v>
      </c>
      <c r="K149" s="144">
        <f t="shared" si="42"/>
        <v>850</v>
      </c>
      <c r="L149" s="144">
        <f t="shared" si="37"/>
        <v>192639</v>
      </c>
      <c r="M149" s="145" t="e">
        <f t="shared" si="36"/>
        <v>#REF!</v>
      </c>
      <c r="N149" s="144">
        <f>SUM(N134:N148)</f>
        <v>10488</v>
      </c>
      <c r="O149" s="185">
        <f>SUM(O134:O148)</f>
        <v>2418</v>
      </c>
      <c r="P149" s="211">
        <f>SUM(P134:P148)</f>
        <v>13000</v>
      </c>
      <c r="Q149" s="259">
        <f>SUM(Q134:Q148)</f>
        <v>15000</v>
      </c>
      <c r="R149" s="185">
        <f t="shared" ref="R149:X149" si="43">SUM(R134:R144)</f>
        <v>0</v>
      </c>
      <c r="S149" s="185">
        <f t="shared" si="43"/>
        <v>0</v>
      </c>
      <c r="T149" s="185">
        <f t="shared" si="43"/>
        <v>0</v>
      </c>
      <c r="U149" s="185">
        <f t="shared" si="43"/>
        <v>0</v>
      </c>
      <c r="V149" s="185">
        <f t="shared" si="43"/>
        <v>0</v>
      </c>
      <c r="W149" s="185">
        <f t="shared" si="43"/>
        <v>0</v>
      </c>
      <c r="X149" s="186">
        <f t="shared" si="43"/>
        <v>0</v>
      </c>
    </row>
    <row r="150" spans="1:31" ht="15.75" customHeight="1" x14ac:dyDescent="0.25">
      <c r="C150" s="13"/>
      <c r="D150" s="14"/>
      <c r="E150" s="14"/>
      <c r="F150" s="14"/>
      <c r="G150" s="61"/>
      <c r="H150" s="15"/>
      <c r="I150" s="14"/>
      <c r="J150" s="14"/>
      <c r="K150" s="14"/>
      <c r="L150" s="14"/>
      <c r="M150" s="62"/>
      <c r="N150" s="14"/>
      <c r="O150" s="38"/>
      <c r="P150" s="15"/>
      <c r="Q150" s="241"/>
      <c r="R150" s="38"/>
      <c r="S150" s="38"/>
      <c r="T150" s="38"/>
      <c r="U150" s="38"/>
      <c r="V150" s="38"/>
      <c r="W150" s="38"/>
      <c r="X150" s="167"/>
    </row>
    <row r="151" spans="1:31" ht="15.75" customHeight="1" x14ac:dyDescent="0.25">
      <c r="A151" s="6" t="s">
        <v>111</v>
      </c>
      <c r="B151" s="32" t="s">
        <v>126</v>
      </c>
      <c r="C151" s="32" t="s">
        <v>126</v>
      </c>
      <c r="D151" s="74">
        <v>81597</v>
      </c>
      <c r="E151" s="74">
        <v>43555</v>
      </c>
      <c r="F151" s="74">
        <v>870</v>
      </c>
      <c r="G151" s="59">
        <f t="shared" ref="G151:G152" si="44">SUM(D151:F151)</f>
        <v>126022</v>
      </c>
      <c r="H151" s="90">
        <f>23510-21056</f>
        <v>2454</v>
      </c>
      <c r="I151" s="74">
        <v>21056</v>
      </c>
      <c r="J151" s="74">
        <v>3668</v>
      </c>
      <c r="K151" s="74"/>
      <c r="L151" s="74">
        <f t="shared" ref="L151:L170" si="45">SUM(I151:K151)</f>
        <v>24724</v>
      </c>
      <c r="M151" s="60">
        <f t="shared" ref="M151:M170" si="46">(L151-G151)</f>
        <v>-101298</v>
      </c>
      <c r="N151" s="90"/>
      <c r="O151" s="102"/>
      <c r="P151" s="90"/>
      <c r="Q151" s="247"/>
      <c r="R151" s="102"/>
      <c r="S151" s="102"/>
      <c r="T151" s="102"/>
      <c r="U151" s="102"/>
      <c r="V151" s="102"/>
      <c r="W151" s="102"/>
      <c r="X151" s="179"/>
    </row>
    <row r="152" spans="1:31" ht="15.75" customHeight="1" x14ac:dyDescent="0.25">
      <c r="A152" s="6" t="s">
        <v>111</v>
      </c>
      <c r="B152" s="32" t="s">
        <v>126</v>
      </c>
      <c r="C152" s="13" t="s">
        <v>572</v>
      </c>
      <c r="D152" s="14">
        <v>7149</v>
      </c>
      <c r="E152" s="14"/>
      <c r="F152" s="14"/>
      <c r="G152" s="61">
        <f t="shared" si="44"/>
        <v>7149</v>
      </c>
      <c r="H152" s="15"/>
      <c r="I152" s="14">
        <v>7421</v>
      </c>
      <c r="J152" s="14">
        <v>548</v>
      </c>
      <c r="K152" s="30"/>
      <c r="L152" s="14">
        <f t="shared" si="45"/>
        <v>7969</v>
      </c>
      <c r="M152" s="62">
        <f t="shared" si="46"/>
        <v>820</v>
      </c>
      <c r="N152" s="14">
        <v>10488</v>
      </c>
      <c r="O152" s="38"/>
      <c r="P152" s="15"/>
      <c r="Q152" s="241"/>
      <c r="R152" s="38"/>
      <c r="S152" s="38"/>
      <c r="T152" s="38"/>
      <c r="U152" s="38"/>
      <c r="V152" s="38"/>
      <c r="W152" s="38"/>
      <c r="X152" s="167"/>
    </row>
    <row r="153" spans="1:31" ht="15.75" customHeight="1" x14ac:dyDescent="0.25">
      <c r="A153" s="109"/>
      <c r="B153" s="12"/>
      <c r="C153" s="13" t="s">
        <v>232</v>
      </c>
      <c r="D153" s="14"/>
      <c r="E153" s="14"/>
      <c r="F153" s="14"/>
      <c r="G153" s="61">
        <f t="shared" ref="G153:G157" si="47">SUM(D153:F153)</f>
        <v>0</v>
      </c>
      <c r="H153" s="15">
        <f>16226-15758</f>
        <v>468</v>
      </c>
      <c r="I153" s="14">
        <v>15758</v>
      </c>
      <c r="J153" s="14">
        <v>11904</v>
      </c>
      <c r="K153" s="14"/>
      <c r="L153" s="14">
        <f t="shared" ref="L153:L157" si="48">SUM(I153:K153)</f>
        <v>27662</v>
      </c>
      <c r="M153" s="62">
        <f t="shared" ref="M153:M157" si="49">(L153-G153)</f>
        <v>27662</v>
      </c>
      <c r="N153" s="14"/>
      <c r="O153" s="38"/>
      <c r="P153" s="15"/>
      <c r="Q153" s="241"/>
      <c r="R153" s="38"/>
      <c r="S153" s="38"/>
      <c r="T153" s="38"/>
      <c r="U153" s="38"/>
      <c r="V153" s="38"/>
      <c r="W153" s="38"/>
      <c r="X153" s="167"/>
    </row>
    <row r="154" spans="1:31" ht="15.75" customHeight="1" x14ac:dyDescent="0.25">
      <c r="A154" s="109"/>
      <c r="B154" s="12"/>
      <c r="C154" s="13" t="s">
        <v>252</v>
      </c>
      <c r="D154" s="14"/>
      <c r="E154" s="14"/>
      <c r="F154" s="14"/>
      <c r="G154" s="61">
        <f t="shared" si="47"/>
        <v>0</v>
      </c>
      <c r="H154" s="15"/>
      <c r="I154" s="14"/>
      <c r="J154" s="14">
        <v>3692</v>
      </c>
      <c r="K154" s="14"/>
      <c r="L154" s="14">
        <f t="shared" si="48"/>
        <v>3692</v>
      </c>
      <c r="M154" s="62">
        <f t="shared" si="49"/>
        <v>3692</v>
      </c>
      <c r="N154" s="14"/>
      <c r="O154" s="38"/>
      <c r="P154" s="15"/>
      <c r="Q154" s="241"/>
      <c r="R154" s="38"/>
      <c r="S154" s="38"/>
      <c r="T154" s="38"/>
      <c r="U154" s="38"/>
      <c r="V154" s="38"/>
      <c r="W154" s="38"/>
      <c r="X154" s="167"/>
    </row>
    <row r="155" spans="1:31" ht="15.75" customHeight="1" x14ac:dyDescent="0.25">
      <c r="A155" s="109"/>
      <c r="B155" s="12"/>
      <c r="C155" s="13" t="s">
        <v>229</v>
      </c>
      <c r="D155" s="14"/>
      <c r="E155" s="14"/>
      <c r="F155" s="14"/>
      <c r="G155" s="61">
        <f t="shared" si="47"/>
        <v>0</v>
      </c>
      <c r="H155" s="15">
        <f>10809-10351</f>
        <v>458</v>
      </c>
      <c r="I155" s="14">
        <v>10351</v>
      </c>
      <c r="J155" s="14">
        <v>30939</v>
      </c>
      <c r="K155" s="14"/>
      <c r="L155" s="14">
        <f t="shared" si="48"/>
        <v>41290</v>
      </c>
      <c r="M155" s="62">
        <f t="shared" si="49"/>
        <v>41290</v>
      </c>
      <c r="N155" s="14"/>
      <c r="O155" s="38"/>
      <c r="P155" s="15"/>
      <c r="Q155" s="241"/>
      <c r="R155" s="38"/>
      <c r="S155" s="38"/>
      <c r="T155" s="38"/>
      <c r="U155" s="38"/>
      <c r="V155" s="38"/>
      <c r="W155" s="38"/>
      <c r="X155" s="167"/>
    </row>
    <row r="156" spans="1:31" ht="15.75" customHeight="1" x14ac:dyDescent="0.25">
      <c r="A156" s="109"/>
      <c r="B156" s="12"/>
      <c r="C156" s="13" t="s">
        <v>253</v>
      </c>
      <c r="D156" s="14"/>
      <c r="E156" s="14"/>
      <c r="F156" s="14"/>
      <c r="G156" s="61">
        <f t="shared" si="47"/>
        <v>0</v>
      </c>
      <c r="H156" s="15">
        <f>22670-20028</f>
        <v>2642</v>
      </c>
      <c r="I156" s="14">
        <v>20028</v>
      </c>
      <c r="J156" s="14">
        <v>5966</v>
      </c>
      <c r="K156" s="14">
        <v>850</v>
      </c>
      <c r="L156" s="14">
        <f t="shared" si="48"/>
        <v>26844</v>
      </c>
      <c r="M156" s="62">
        <f t="shared" si="49"/>
        <v>26844</v>
      </c>
      <c r="N156" s="14"/>
      <c r="O156" s="38"/>
      <c r="P156" s="15"/>
      <c r="Q156" s="241"/>
      <c r="R156" s="38"/>
      <c r="S156" s="38"/>
      <c r="T156" s="38"/>
      <c r="U156" s="38"/>
      <c r="V156" s="38"/>
      <c r="W156" s="38"/>
      <c r="X156" s="167"/>
    </row>
    <row r="157" spans="1:31" ht="15.75" customHeight="1" x14ac:dyDescent="0.25">
      <c r="A157" s="109"/>
      <c r="B157" s="12"/>
      <c r="C157" s="13" t="s">
        <v>254</v>
      </c>
      <c r="D157" s="14"/>
      <c r="E157" s="14"/>
      <c r="F157" s="14"/>
      <c r="G157" s="61">
        <f t="shared" si="47"/>
        <v>0</v>
      </c>
      <c r="H157" s="15">
        <f>23231-21022</f>
        <v>2209</v>
      </c>
      <c r="I157" s="14">
        <v>21022</v>
      </c>
      <c r="J157" s="14">
        <v>16084</v>
      </c>
      <c r="K157" s="14"/>
      <c r="L157" s="14">
        <f t="shared" si="48"/>
        <v>37106</v>
      </c>
      <c r="M157" s="62">
        <f t="shared" si="49"/>
        <v>37106</v>
      </c>
      <c r="N157" s="14">
        <v>409</v>
      </c>
      <c r="O157" s="38"/>
      <c r="P157" s="15"/>
      <c r="Q157" s="241"/>
      <c r="R157" s="38"/>
      <c r="S157" s="38"/>
      <c r="T157" s="38"/>
      <c r="U157" s="38"/>
      <c r="V157" s="38"/>
      <c r="W157" s="38"/>
      <c r="X157" s="167"/>
    </row>
    <row r="158" spans="1:31" ht="15.75" customHeight="1" x14ac:dyDescent="0.25">
      <c r="A158" s="109"/>
      <c r="B158" s="3"/>
      <c r="C158" s="228" t="s">
        <v>231</v>
      </c>
      <c r="D158" s="14"/>
      <c r="E158" s="14"/>
      <c r="F158" s="14"/>
      <c r="G158" s="61">
        <f t="shared" ref="G158:G169" si="50">SUM(D158:F158)</f>
        <v>0</v>
      </c>
      <c r="H158" s="15"/>
      <c r="I158" s="14"/>
      <c r="J158" s="14"/>
      <c r="K158" s="14"/>
      <c r="L158" s="14">
        <f t="shared" ref="L158:L169" si="51">SUM(I158:K158)</f>
        <v>0</v>
      </c>
      <c r="M158" s="39">
        <f t="shared" ref="M158:M169" si="52">(L158-G158)</f>
        <v>0</v>
      </c>
      <c r="N158" s="14"/>
      <c r="O158" s="38"/>
      <c r="P158" s="15"/>
      <c r="Q158" s="241"/>
      <c r="R158" s="38"/>
      <c r="S158" s="38"/>
      <c r="T158" s="38"/>
      <c r="U158" s="38"/>
      <c r="V158" s="38"/>
      <c r="W158" s="38"/>
      <c r="X158" s="167"/>
      <c r="Y158" s="280"/>
      <c r="Z158" s="18"/>
      <c r="AA158" s="16"/>
      <c r="AB158" s="16"/>
      <c r="AC158" s="16"/>
      <c r="AD158" s="16"/>
      <c r="AE158" s="16"/>
    </row>
    <row r="159" spans="1:31" ht="15.75" customHeight="1" x14ac:dyDescent="0.25">
      <c r="A159" s="109"/>
      <c r="B159" s="3"/>
      <c r="C159" s="37" t="s">
        <v>609</v>
      </c>
      <c r="D159" s="14"/>
      <c r="E159" s="14"/>
      <c r="F159" s="14"/>
      <c r="G159" s="61">
        <f t="shared" si="50"/>
        <v>0</v>
      </c>
      <c r="H159" s="15"/>
      <c r="I159" s="14"/>
      <c r="J159" s="14"/>
      <c r="K159" s="14"/>
      <c r="L159" s="14">
        <f t="shared" si="51"/>
        <v>0</v>
      </c>
      <c r="M159" s="39">
        <f t="shared" si="52"/>
        <v>0</v>
      </c>
      <c r="N159" s="14"/>
      <c r="O159" s="38"/>
      <c r="P159" s="15">
        <v>200</v>
      </c>
      <c r="Q159" s="241"/>
      <c r="R159" s="38"/>
      <c r="S159" s="38"/>
      <c r="T159" s="38"/>
      <c r="U159" s="38"/>
      <c r="V159" s="38"/>
      <c r="W159" s="38"/>
      <c r="X159" s="167"/>
      <c r="Y159" s="280"/>
      <c r="Z159" s="18"/>
      <c r="AA159" s="16"/>
      <c r="AB159" s="16"/>
      <c r="AC159" s="16"/>
      <c r="AD159" s="16"/>
      <c r="AE159" s="16"/>
    </row>
    <row r="160" spans="1:31" ht="15.75" customHeight="1" x14ac:dyDescent="0.25">
      <c r="A160" s="109"/>
      <c r="B160" s="3"/>
      <c r="C160" s="37" t="s">
        <v>256</v>
      </c>
      <c r="D160" s="14"/>
      <c r="E160" s="14"/>
      <c r="F160" s="14"/>
      <c r="G160" s="61">
        <f t="shared" si="50"/>
        <v>0</v>
      </c>
      <c r="H160" s="15"/>
      <c r="I160" s="14"/>
      <c r="J160" s="14"/>
      <c r="K160" s="14"/>
      <c r="L160" s="14">
        <f t="shared" si="51"/>
        <v>0</v>
      </c>
      <c r="M160" s="39">
        <f t="shared" si="52"/>
        <v>0</v>
      </c>
      <c r="N160" s="14"/>
      <c r="O160" s="38"/>
      <c r="P160" s="15"/>
      <c r="Q160" s="241">
        <v>1000</v>
      </c>
      <c r="R160" s="38"/>
      <c r="S160" s="38"/>
      <c r="T160" s="38"/>
      <c r="U160" s="38"/>
      <c r="V160" s="38"/>
      <c r="W160" s="38"/>
      <c r="X160" s="167"/>
      <c r="Y160" s="280"/>
      <c r="Z160" s="18"/>
      <c r="AA160" s="16"/>
      <c r="AB160" s="16"/>
      <c r="AC160" s="16"/>
      <c r="AD160" s="16"/>
      <c r="AE160" s="16"/>
    </row>
    <row r="161" spans="1:31" ht="15.75" customHeight="1" x14ac:dyDescent="0.25">
      <c r="A161" s="109"/>
      <c r="B161" s="3"/>
      <c r="C161" s="37" t="s">
        <v>610</v>
      </c>
      <c r="D161" s="14"/>
      <c r="E161" s="14"/>
      <c r="F161" s="14"/>
      <c r="G161" s="61">
        <f t="shared" si="50"/>
        <v>0</v>
      </c>
      <c r="H161" s="15"/>
      <c r="I161" s="14"/>
      <c r="J161" s="14"/>
      <c r="K161" s="14"/>
      <c r="L161" s="14">
        <f t="shared" si="51"/>
        <v>0</v>
      </c>
      <c r="M161" s="39">
        <f t="shared" si="52"/>
        <v>0</v>
      </c>
      <c r="N161" s="14"/>
      <c r="O161" s="38"/>
      <c r="P161" s="15">
        <v>300</v>
      </c>
      <c r="Q161" s="241"/>
      <c r="R161" s="38"/>
      <c r="S161" s="38"/>
      <c r="T161" s="38"/>
      <c r="U161" s="38"/>
      <c r="V161" s="38"/>
      <c r="W161" s="38"/>
      <c r="X161" s="167"/>
      <c r="Y161" s="280"/>
      <c r="Z161" s="18"/>
      <c r="AA161" s="16"/>
      <c r="AB161" s="16"/>
      <c r="AC161" s="16"/>
      <c r="AD161" s="16"/>
      <c r="AE161" s="16"/>
    </row>
    <row r="162" spans="1:31" ht="15.75" customHeight="1" x14ac:dyDescent="0.25">
      <c r="A162" s="109"/>
      <c r="B162" s="3"/>
      <c r="C162" s="37" t="s">
        <v>611</v>
      </c>
      <c r="D162" s="14"/>
      <c r="E162" s="14"/>
      <c r="F162" s="14"/>
      <c r="G162" s="61">
        <f t="shared" si="50"/>
        <v>0</v>
      </c>
      <c r="H162" s="15"/>
      <c r="I162" s="14"/>
      <c r="J162" s="14"/>
      <c r="K162" s="14"/>
      <c r="L162" s="14">
        <f t="shared" si="51"/>
        <v>0</v>
      </c>
      <c r="M162" s="39">
        <f t="shared" si="52"/>
        <v>0</v>
      </c>
      <c r="N162" s="14"/>
      <c r="O162" s="38"/>
      <c r="P162" s="15">
        <v>1000</v>
      </c>
      <c r="Q162" s="241"/>
      <c r="R162" s="38"/>
      <c r="S162" s="38"/>
      <c r="T162" s="38"/>
      <c r="U162" s="38"/>
      <c r="V162" s="38"/>
      <c r="W162" s="38"/>
      <c r="X162" s="167"/>
      <c r="Y162" s="280"/>
      <c r="Z162" s="18"/>
      <c r="AA162" s="16"/>
      <c r="AB162" s="16"/>
      <c r="AC162" s="16"/>
      <c r="AD162" s="16"/>
      <c r="AE162" s="16"/>
    </row>
    <row r="163" spans="1:31" ht="15.75" customHeight="1" x14ac:dyDescent="0.25">
      <c r="A163" s="109"/>
      <c r="B163" s="3"/>
      <c r="C163" s="37" t="s">
        <v>612</v>
      </c>
      <c r="D163" s="14"/>
      <c r="E163" s="14"/>
      <c r="F163" s="14"/>
      <c r="G163" s="61">
        <f t="shared" si="50"/>
        <v>0</v>
      </c>
      <c r="H163" s="15"/>
      <c r="I163" s="14"/>
      <c r="J163" s="14"/>
      <c r="K163" s="14"/>
      <c r="L163" s="14">
        <f t="shared" si="51"/>
        <v>0</v>
      </c>
      <c r="M163" s="39">
        <f t="shared" si="52"/>
        <v>0</v>
      </c>
      <c r="N163" s="14"/>
      <c r="O163" s="38"/>
      <c r="P163" s="15">
        <v>650</v>
      </c>
      <c r="Q163" s="241"/>
      <c r="R163" s="38"/>
      <c r="S163" s="38"/>
      <c r="T163" s="38"/>
      <c r="U163" s="38"/>
      <c r="V163" s="38"/>
      <c r="W163" s="38"/>
      <c r="X163" s="167"/>
      <c r="Y163" s="280"/>
      <c r="Z163" s="18"/>
      <c r="AA163" s="16"/>
      <c r="AB163" s="16"/>
      <c r="AC163" s="16"/>
      <c r="AD163" s="16"/>
      <c r="AE163" s="16"/>
    </row>
    <row r="164" spans="1:31" ht="15.75" customHeight="1" x14ac:dyDescent="0.25">
      <c r="A164" s="109"/>
      <c r="B164" s="3"/>
      <c r="C164" s="37" t="s">
        <v>613</v>
      </c>
      <c r="D164" s="14"/>
      <c r="E164" s="14"/>
      <c r="F164" s="14"/>
      <c r="G164" s="61">
        <f t="shared" si="50"/>
        <v>0</v>
      </c>
      <c r="H164" s="15"/>
      <c r="I164" s="14"/>
      <c r="J164" s="14"/>
      <c r="K164" s="14"/>
      <c r="L164" s="14">
        <f t="shared" si="51"/>
        <v>0</v>
      </c>
      <c r="M164" s="39">
        <f t="shared" si="52"/>
        <v>0</v>
      </c>
      <c r="N164" s="14"/>
      <c r="O164" s="38"/>
      <c r="P164" s="15">
        <v>2000</v>
      </c>
      <c r="Q164" s="241"/>
      <c r="R164" s="38"/>
      <c r="S164" s="38"/>
      <c r="T164" s="38"/>
      <c r="U164" s="38"/>
      <c r="V164" s="38"/>
      <c r="W164" s="38"/>
      <c r="X164" s="167"/>
      <c r="Y164" s="280"/>
      <c r="Z164" s="18"/>
      <c r="AA164" s="16"/>
      <c r="AB164" s="16"/>
      <c r="AC164" s="16"/>
      <c r="AD164" s="16"/>
      <c r="AE164" s="16"/>
    </row>
    <row r="165" spans="1:31" ht="15.75" customHeight="1" x14ac:dyDescent="0.25">
      <c r="A165" s="109"/>
      <c r="B165" s="3"/>
      <c r="C165" s="37" t="s">
        <v>614</v>
      </c>
      <c r="D165" s="14"/>
      <c r="E165" s="14"/>
      <c r="F165" s="14"/>
      <c r="G165" s="61">
        <f t="shared" si="50"/>
        <v>0</v>
      </c>
      <c r="H165" s="15"/>
      <c r="I165" s="14"/>
      <c r="J165" s="14"/>
      <c r="K165" s="14"/>
      <c r="L165" s="14">
        <f t="shared" si="51"/>
        <v>0</v>
      </c>
      <c r="M165" s="39">
        <f t="shared" si="52"/>
        <v>0</v>
      </c>
      <c r="N165" s="14"/>
      <c r="O165" s="38"/>
      <c r="P165" s="15">
        <v>100</v>
      </c>
      <c r="Q165" s="241"/>
      <c r="R165" s="38"/>
      <c r="S165" s="38"/>
      <c r="T165" s="38"/>
      <c r="U165" s="38"/>
      <c r="V165" s="38"/>
      <c r="W165" s="38"/>
      <c r="X165" s="167"/>
      <c r="Y165" s="280"/>
      <c r="Z165" s="18"/>
      <c r="AA165" s="16"/>
      <c r="AB165" s="16"/>
      <c r="AC165" s="16"/>
      <c r="AD165" s="16"/>
      <c r="AE165" s="16"/>
    </row>
    <row r="166" spans="1:31" ht="15.75" customHeight="1" x14ac:dyDescent="0.25">
      <c r="A166" s="109"/>
      <c r="B166" s="3"/>
      <c r="C166" s="37" t="s">
        <v>615</v>
      </c>
      <c r="D166" s="14"/>
      <c r="E166" s="14"/>
      <c r="F166" s="14"/>
      <c r="G166" s="61">
        <f t="shared" si="50"/>
        <v>0</v>
      </c>
      <c r="H166" s="15"/>
      <c r="I166" s="14"/>
      <c r="J166" s="14"/>
      <c r="K166" s="14"/>
      <c r="L166" s="14">
        <f t="shared" si="51"/>
        <v>0</v>
      </c>
      <c r="M166" s="39">
        <f t="shared" si="52"/>
        <v>0</v>
      </c>
      <c r="N166" s="14"/>
      <c r="O166" s="38"/>
      <c r="P166" s="15">
        <v>60</v>
      </c>
      <c r="Q166" s="241"/>
      <c r="R166" s="38"/>
      <c r="S166" s="38"/>
      <c r="T166" s="38"/>
      <c r="U166" s="38"/>
      <c r="V166" s="38"/>
      <c r="W166" s="38"/>
      <c r="X166" s="167"/>
      <c r="Y166" s="280"/>
      <c r="Z166" s="18"/>
      <c r="AA166" s="16"/>
      <c r="AB166" s="16"/>
      <c r="AC166" s="16"/>
      <c r="AD166" s="16"/>
      <c r="AE166" s="16"/>
    </row>
    <row r="167" spans="1:31" ht="15.75" customHeight="1" x14ac:dyDescent="0.25">
      <c r="A167" s="109"/>
      <c r="B167" s="3"/>
      <c r="C167" s="37" t="s">
        <v>616</v>
      </c>
      <c r="D167" s="14"/>
      <c r="E167" s="14"/>
      <c r="F167" s="14"/>
      <c r="G167" s="61">
        <f t="shared" si="50"/>
        <v>0</v>
      </c>
      <c r="H167" s="15"/>
      <c r="I167" s="14"/>
      <c r="J167" s="14"/>
      <c r="K167" s="14"/>
      <c r="L167" s="14">
        <f t="shared" si="51"/>
        <v>0</v>
      </c>
      <c r="M167" s="39">
        <f t="shared" si="52"/>
        <v>0</v>
      </c>
      <c r="N167" s="14"/>
      <c r="O167" s="38"/>
      <c r="P167" s="15">
        <v>60</v>
      </c>
      <c r="Q167" s="241"/>
      <c r="R167" s="38"/>
      <c r="S167" s="38"/>
      <c r="T167" s="38"/>
      <c r="U167" s="38"/>
      <c r="V167" s="38"/>
      <c r="W167" s="38"/>
      <c r="X167" s="167"/>
      <c r="Y167" s="280"/>
      <c r="Z167" s="18"/>
      <c r="AA167" s="16"/>
      <c r="AB167" s="16"/>
      <c r="AC167" s="16"/>
      <c r="AD167" s="16"/>
      <c r="AE167" s="16"/>
    </row>
    <row r="168" spans="1:31" ht="15.75" customHeight="1" x14ac:dyDescent="0.25">
      <c r="A168" s="109"/>
      <c r="B168" s="3"/>
      <c r="C168" s="37" t="s">
        <v>617</v>
      </c>
      <c r="D168" s="14"/>
      <c r="E168" s="14"/>
      <c r="F168" s="14"/>
      <c r="G168" s="61">
        <f t="shared" si="50"/>
        <v>0</v>
      </c>
      <c r="H168" s="15"/>
      <c r="I168" s="14"/>
      <c r="J168" s="14"/>
      <c r="K168" s="14"/>
      <c r="L168" s="14">
        <f t="shared" si="51"/>
        <v>0</v>
      </c>
      <c r="M168" s="39">
        <f t="shared" si="52"/>
        <v>0</v>
      </c>
      <c r="N168" s="14"/>
      <c r="O168" s="38"/>
      <c r="P168" s="15">
        <v>70</v>
      </c>
      <c r="Q168" s="241"/>
      <c r="R168" s="38"/>
      <c r="S168" s="38"/>
      <c r="T168" s="38"/>
      <c r="U168" s="38"/>
      <c r="V168" s="38"/>
      <c r="W168" s="38"/>
      <c r="X168" s="167"/>
      <c r="Y168" s="280"/>
      <c r="Z168" s="18"/>
      <c r="AA168" s="16"/>
      <c r="AB168" s="16"/>
      <c r="AC168" s="16"/>
      <c r="AD168" s="16"/>
      <c r="AE168" s="16"/>
    </row>
    <row r="169" spans="1:31" ht="15.75" customHeight="1" x14ac:dyDescent="0.25">
      <c r="A169" s="109"/>
      <c r="B169" s="3"/>
      <c r="C169" s="37" t="s">
        <v>618</v>
      </c>
      <c r="D169" s="14"/>
      <c r="E169" s="14"/>
      <c r="F169" s="14"/>
      <c r="G169" s="61">
        <f t="shared" si="50"/>
        <v>0</v>
      </c>
      <c r="H169" s="15"/>
      <c r="I169" s="14"/>
      <c r="J169" s="14"/>
      <c r="K169" s="14"/>
      <c r="L169" s="14">
        <f t="shared" si="51"/>
        <v>0</v>
      </c>
      <c r="M169" s="39">
        <f t="shared" si="52"/>
        <v>0</v>
      </c>
      <c r="N169" s="14"/>
      <c r="O169" s="38"/>
      <c r="P169" s="15">
        <v>200</v>
      </c>
      <c r="Q169" s="241"/>
      <c r="R169" s="38"/>
      <c r="S169" s="38"/>
      <c r="T169" s="38"/>
      <c r="U169" s="38"/>
      <c r="V169" s="38"/>
      <c r="W169" s="38"/>
      <c r="X169" s="167"/>
      <c r="Y169" s="280"/>
      <c r="Z169" s="18"/>
      <c r="AA169" s="16"/>
      <c r="AB169" s="16"/>
      <c r="AC169" s="16"/>
      <c r="AD169" s="16"/>
      <c r="AE169" s="16"/>
    </row>
    <row r="170" spans="1:31" ht="15.75" customHeight="1" x14ac:dyDescent="0.25">
      <c r="A170" s="16"/>
      <c r="B170" s="16"/>
      <c r="C170" s="40" t="s">
        <v>188</v>
      </c>
      <c r="D170" s="96">
        <f>SUM(D151:D157)</f>
        <v>88746</v>
      </c>
      <c r="E170" s="96">
        <f>SUM(E151:E157)</f>
        <v>43555</v>
      </c>
      <c r="F170" s="96">
        <f>SUM(F151:F157)</f>
        <v>870</v>
      </c>
      <c r="G170" s="27">
        <f t="shared" ref="G170" si="53">SUM(D170:F170)</f>
        <v>133171</v>
      </c>
      <c r="H170" s="96">
        <f>SUM(H151:H157)</f>
        <v>8231</v>
      </c>
      <c r="I170" s="96">
        <f>SUM(I151:I169)</f>
        <v>95636</v>
      </c>
      <c r="J170" s="96">
        <f>SUM(J151:J169)</f>
        <v>72801</v>
      </c>
      <c r="K170" s="96">
        <f>SUM(K151:K169)</f>
        <v>850</v>
      </c>
      <c r="L170" s="89">
        <f t="shared" si="45"/>
        <v>169287</v>
      </c>
      <c r="M170" s="28">
        <f t="shared" si="46"/>
        <v>36116</v>
      </c>
      <c r="N170" s="96">
        <f>SUM(N151:N169)</f>
        <v>10897</v>
      </c>
      <c r="O170" s="187">
        <f>SUM(O151:O157)</f>
        <v>0</v>
      </c>
      <c r="P170" s="212">
        <f>SUM(P151:P169)</f>
        <v>4640</v>
      </c>
      <c r="Q170" s="260">
        <f>SUM(Q151:Q169)</f>
        <v>1000</v>
      </c>
      <c r="R170" s="212">
        <f t="shared" ref="R170:X170" si="54">SUM(R151:R169)</f>
        <v>0</v>
      </c>
      <c r="S170" s="212">
        <f t="shared" si="54"/>
        <v>0</v>
      </c>
      <c r="T170" s="212">
        <f t="shared" si="54"/>
        <v>0</v>
      </c>
      <c r="U170" s="212">
        <f t="shared" si="54"/>
        <v>0</v>
      </c>
      <c r="V170" s="212">
        <f t="shared" si="54"/>
        <v>0</v>
      </c>
      <c r="W170" s="212">
        <f t="shared" si="54"/>
        <v>0</v>
      </c>
      <c r="X170" s="212">
        <f t="shared" si="54"/>
        <v>0</v>
      </c>
      <c r="Y170" s="280"/>
      <c r="Z170" s="16"/>
      <c r="AA170" s="16"/>
      <c r="AB170" s="16"/>
      <c r="AC170" s="16"/>
      <c r="AD170" s="16"/>
      <c r="AE170" s="16"/>
    </row>
    <row r="171" spans="1:31" ht="15.75" customHeight="1" x14ac:dyDescent="0.25">
      <c r="A171" s="16"/>
      <c r="B171" s="16"/>
      <c r="C171" s="22"/>
      <c r="D171" s="18"/>
      <c r="E171" s="18"/>
      <c r="F171" s="18"/>
      <c r="G171" s="94"/>
      <c r="H171" s="19"/>
      <c r="I171" s="18"/>
      <c r="J171" s="18"/>
      <c r="K171" s="18"/>
      <c r="L171" s="18"/>
      <c r="M171" s="60"/>
      <c r="N171" s="18"/>
      <c r="O171" s="168"/>
      <c r="P171" s="19"/>
      <c r="Q171" s="242"/>
      <c r="R171" s="168"/>
      <c r="S171" s="168"/>
      <c r="T171" s="168"/>
      <c r="U171" s="168"/>
      <c r="V171" s="168"/>
      <c r="W171" s="168"/>
      <c r="X171" s="169"/>
      <c r="Y171" s="280"/>
      <c r="Z171" s="16"/>
      <c r="AA171" s="16"/>
      <c r="AB171" s="16"/>
      <c r="AC171" s="16"/>
      <c r="AD171" s="16"/>
      <c r="AE171" s="16"/>
    </row>
    <row r="172" spans="1:31" ht="15.75" customHeight="1" x14ac:dyDescent="0.25">
      <c r="A172" s="6" t="s">
        <v>111</v>
      </c>
      <c r="B172" s="29" t="s">
        <v>115</v>
      </c>
      <c r="C172" s="29" t="s">
        <v>115</v>
      </c>
      <c r="D172" s="14">
        <v>126596</v>
      </c>
      <c r="E172" s="14">
        <v>56533</v>
      </c>
      <c r="F172" s="14">
        <v>870</v>
      </c>
      <c r="G172" s="61">
        <f t="shared" ref="G172:G179" si="55">SUM(D172:F172)</f>
        <v>183999</v>
      </c>
      <c r="H172" s="15">
        <f>23803-21056</f>
        <v>2747</v>
      </c>
      <c r="I172" s="14">
        <v>21056</v>
      </c>
      <c r="J172" s="14">
        <v>3413</v>
      </c>
      <c r="K172" s="14"/>
      <c r="L172" s="14">
        <f t="shared" ref="L172:L181" si="56">SUM(I172:K172)</f>
        <v>24469</v>
      </c>
      <c r="M172" s="62">
        <f t="shared" ref="M172:M179" si="57">(L172-G172)</f>
        <v>-159530</v>
      </c>
      <c r="N172" s="15"/>
      <c r="O172" s="38"/>
      <c r="P172" s="15"/>
      <c r="Q172" s="241"/>
      <c r="R172" s="38"/>
      <c r="S172" s="38"/>
      <c r="T172" s="38"/>
      <c r="U172" s="38"/>
      <c r="V172" s="38"/>
      <c r="W172" s="38"/>
      <c r="X172" s="167"/>
    </row>
    <row r="173" spans="1:31" ht="15.75" customHeight="1" x14ac:dyDescent="0.25">
      <c r="A173" s="109"/>
      <c r="B173" s="13"/>
      <c r="C173" s="13" t="s">
        <v>232</v>
      </c>
      <c r="D173" s="14"/>
      <c r="E173" s="14"/>
      <c r="F173" s="14"/>
      <c r="G173" s="61">
        <f t="shared" ref="G173:G178" si="58">SUM(D173:F173)</f>
        <v>0</v>
      </c>
      <c r="H173" s="15">
        <f>57686-55866</f>
        <v>1820</v>
      </c>
      <c r="I173" s="14">
        <v>55866</v>
      </c>
      <c r="J173" s="14">
        <v>36096</v>
      </c>
      <c r="K173" s="14"/>
      <c r="L173" s="14">
        <f t="shared" si="56"/>
        <v>91962</v>
      </c>
      <c r="M173" s="62">
        <f t="shared" ref="M173:M178" si="59">(L173-G173)</f>
        <v>91962</v>
      </c>
      <c r="N173" s="14"/>
      <c r="O173" s="38"/>
      <c r="P173" s="15"/>
      <c r="Q173" s="241"/>
      <c r="R173" s="38"/>
      <c r="S173" s="38"/>
      <c r="T173" s="38"/>
      <c r="U173" s="38"/>
      <c r="V173" s="38"/>
      <c r="W173" s="38"/>
      <c r="X173" s="167"/>
    </row>
    <row r="174" spans="1:31" ht="15.75" customHeight="1" x14ac:dyDescent="0.25">
      <c r="A174" s="109"/>
      <c r="B174" s="13"/>
      <c r="C174" s="13" t="s">
        <v>229</v>
      </c>
      <c r="D174" s="14"/>
      <c r="E174" s="14"/>
      <c r="F174" s="14"/>
      <c r="G174" s="61">
        <f t="shared" si="58"/>
        <v>0</v>
      </c>
      <c r="H174" s="15">
        <f>22099-21154</f>
        <v>945</v>
      </c>
      <c r="I174" s="14">
        <v>21154</v>
      </c>
      <c r="J174" s="14">
        <v>23724</v>
      </c>
      <c r="K174" s="14"/>
      <c r="L174" s="14">
        <f t="shared" si="56"/>
        <v>44878</v>
      </c>
      <c r="M174" s="62">
        <f t="shared" si="59"/>
        <v>44878</v>
      </c>
      <c r="N174" s="14"/>
      <c r="O174" s="38"/>
      <c r="P174" s="15"/>
      <c r="Q174" s="241"/>
      <c r="R174" s="38"/>
      <c r="S174" s="38"/>
      <c r="T174" s="38"/>
      <c r="U174" s="38"/>
      <c r="V174" s="38"/>
      <c r="W174" s="38"/>
      <c r="X174" s="167"/>
    </row>
    <row r="175" spans="1:31" ht="15.75" customHeight="1" x14ac:dyDescent="0.25">
      <c r="A175" s="109"/>
      <c r="B175" s="13"/>
      <c r="C175" s="13" t="s">
        <v>64</v>
      </c>
      <c r="D175" s="14"/>
      <c r="E175" s="14"/>
      <c r="F175" s="14"/>
      <c r="G175" s="61">
        <f t="shared" si="58"/>
        <v>0</v>
      </c>
      <c r="H175" s="15"/>
      <c r="I175" s="14"/>
      <c r="J175" s="14">
        <v>4755</v>
      </c>
      <c r="K175" s="14"/>
      <c r="L175" s="14">
        <f t="shared" si="56"/>
        <v>4755</v>
      </c>
      <c r="M175" s="62">
        <f t="shared" si="59"/>
        <v>4755</v>
      </c>
      <c r="N175" s="14"/>
      <c r="O175" s="38"/>
      <c r="P175" s="15"/>
      <c r="Q175" s="241"/>
      <c r="R175" s="38"/>
      <c r="S175" s="38"/>
      <c r="T175" s="38"/>
      <c r="U175" s="38"/>
      <c r="V175" s="38"/>
      <c r="W175" s="38"/>
      <c r="X175" s="167"/>
    </row>
    <row r="176" spans="1:31" ht="15.75" customHeight="1" x14ac:dyDescent="0.25">
      <c r="A176" s="109"/>
      <c r="B176" s="13"/>
      <c r="C176" s="13" t="s">
        <v>257</v>
      </c>
      <c r="D176" s="14"/>
      <c r="E176" s="14"/>
      <c r="F176" s="14"/>
      <c r="G176" s="61">
        <f t="shared" si="58"/>
        <v>0</v>
      </c>
      <c r="H176" s="15">
        <f>13755-11936</f>
        <v>1819</v>
      </c>
      <c r="I176" s="14">
        <v>11936</v>
      </c>
      <c r="J176" s="14">
        <v>2563</v>
      </c>
      <c r="K176" s="14">
        <v>850</v>
      </c>
      <c r="L176" s="14">
        <f t="shared" si="56"/>
        <v>15349</v>
      </c>
      <c r="M176" s="62">
        <f t="shared" si="59"/>
        <v>15349</v>
      </c>
      <c r="N176" s="14"/>
      <c r="O176" s="38"/>
      <c r="P176" s="15"/>
      <c r="Q176" s="241"/>
      <c r="R176" s="38"/>
      <c r="S176" s="38"/>
      <c r="T176" s="38"/>
      <c r="U176" s="38"/>
      <c r="V176" s="38"/>
      <c r="W176" s="38"/>
      <c r="X176" s="167"/>
    </row>
    <row r="177" spans="1:31" ht="15.75" customHeight="1" x14ac:dyDescent="0.25">
      <c r="A177" s="109"/>
      <c r="B177" s="13"/>
      <c r="C177" s="13" t="s">
        <v>258</v>
      </c>
      <c r="D177" s="14"/>
      <c r="E177" s="14"/>
      <c r="F177" s="14"/>
      <c r="G177" s="61">
        <f t="shared" si="58"/>
        <v>0</v>
      </c>
      <c r="H177" s="15">
        <f>27214-26602</f>
        <v>612</v>
      </c>
      <c r="I177" s="14">
        <v>26602</v>
      </c>
      <c r="J177" s="14">
        <v>18974</v>
      </c>
      <c r="K177" s="14"/>
      <c r="L177" s="14">
        <f t="shared" si="56"/>
        <v>45576</v>
      </c>
      <c r="M177" s="62">
        <f t="shared" si="59"/>
        <v>45576</v>
      </c>
      <c r="N177" s="14"/>
      <c r="O177" s="38"/>
      <c r="P177" s="15"/>
      <c r="Q177" s="241"/>
      <c r="R177" s="38"/>
      <c r="S177" s="38"/>
      <c r="T177" s="38"/>
      <c r="U177" s="38"/>
      <c r="V177" s="38"/>
      <c r="W177" s="38"/>
      <c r="X177" s="167"/>
    </row>
    <row r="178" spans="1:31" ht="15.75" customHeight="1" x14ac:dyDescent="0.25">
      <c r="A178" s="109"/>
      <c r="B178" s="13"/>
      <c r="C178" s="17" t="s">
        <v>619</v>
      </c>
      <c r="D178" s="14"/>
      <c r="E178" s="14"/>
      <c r="F178" s="14"/>
      <c r="G178" s="61">
        <f t="shared" si="58"/>
        <v>0</v>
      </c>
      <c r="H178" s="15"/>
      <c r="I178" s="14"/>
      <c r="J178" s="14"/>
      <c r="K178" s="14"/>
      <c r="L178" s="14">
        <f>SUM(I178:K178)</f>
        <v>0</v>
      </c>
      <c r="M178" s="62">
        <f t="shared" si="59"/>
        <v>0</v>
      </c>
      <c r="N178" s="14"/>
      <c r="O178" s="38"/>
      <c r="P178" s="15"/>
      <c r="Q178" s="241">
        <v>517</v>
      </c>
      <c r="R178" s="38"/>
      <c r="S178" s="38"/>
      <c r="T178" s="38"/>
      <c r="U178" s="38"/>
      <c r="V178" s="38"/>
      <c r="W178" s="38"/>
      <c r="X178" s="167"/>
      <c r="Y178" s="277" t="s">
        <v>620</v>
      </c>
    </row>
    <row r="179" spans="1:31" ht="15.75" customHeight="1" x14ac:dyDescent="0.25">
      <c r="A179" s="6" t="s">
        <v>111</v>
      </c>
      <c r="B179" s="29" t="s">
        <v>115</v>
      </c>
      <c r="C179" s="13" t="s">
        <v>621</v>
      </c>
      <c r="D179" s="14">
        <v>46129</v>
      </c>
      <c r="E179" s="14">
        <v>1392</v>
      </c>
      <c r="F179" s="14"/>
      <c r="G179" s="61">
        <f t="shared" si="55"/>
        <v>47521</v>
      </c>
      <c r="H179" s="15"/>
      <c r="I179" s="14">
        <v>48192</v>
      </c>
      <c r="J179" s="14">
        <v>1466</v>
      </c>
      <c r="K179" s="30"/>
      <c r="L179" s="14">
        <f t="shared" si="56"/>
        <v>49658</v>
      </c>
      <c r="M179" s="62">
        <f t="shared" si="57"/>
        <v>2137</v>
      </c>
      <c r="N179" s="15"/>
      <c r="O179" s="38"/>
      <c r="P179" s="15"/>
      <c r="Q179" s="241"/>
      <c r="R179" s="38"/>
      <c r="S179" s="38"/>
      <c r="T179" s="38"/>
      <c r="U179" s="38"/>
      <c r="V179" s="38"/>
      <c r="W179" s="38"/>
      <c r="X179" s="167"/>
    </row>
    <row r="180" spans="1:31" ht="15.75" customHeight="1" x14ac:dyDescent="0.25">
      <c r="A180" s="109"/>
      <c r="B180" s="13"/>
      <c r="C180" s="31" t="s">
        <v>231</v>
      </c>
      <c r="D180" s="14"/>
      <c r="E180" s="14"/>
      <c r="F180" s="14"/>
      <c r="G180" s="61">
        <f t="shared" ref="G180:G187" si="60">SUM(D180:F180)</f>
        <v>0</v>
      </c>
      <c r="H180" s="15"/>
      <c r="I180" s="14"/>
      <c r="J180" s="14"/>
      <c r="K180" s="14"/>
      <c r="L180" s="14">
        <f t="shared" si="56"/>
        <v>0</v>
      </c>
      <c r="M180" s="62">
        <f t="shared" ref="M180:M188" si="61">(L180-G180)</f>
        <v>0</v>
      </c>
      <c r="N180" s="14"/>
      <c r="O180" s="38"/>
      <c r="P180" s="15"/>
      <c r="Q180" s="241"/>
      <c r="R180" s="38"/>
      <c r="S180" s="38"/>
      <c r="T180" s="38"/>
      <c r="U180" s="38"/>
      <c r="V180" s="38"/>
      <c r="W180" s="38"/>
      <c r="X180" s="167"/>
    </row>
    <row r="181" spans="1:31" ht="15.75" customHeight="1" x14ac:dyDescent="0.25">
      <c r="A181" s="109"/>
      <c r="B181" s="13"/>
      <c r="C181" s="17" t="s">
        <v>261</v>
      </c>
      <c r="D181" s="14"/>
      <c r="E181" s="14"/>
      <c r="F181" s="14"/>
      <c r="G181" s="61">
        <f t="shared" si="60"/>
        <v>0</v>
      </c>
      <c r="H181" s="15"/>
      <c r="I181" s="14"/>
      <c r="J181" s="14"/>
      <c r="K181" s="14"/>
      <c r="L181" s="14">
        <f t="shared" si="56"/>
        <v>0</v>
      </c>
      <c r="M181" s="62">
        <f t="shared" si="61"/>
        <v>0</v>
      </c>
      <c r="N181" s="14"/>
      <c r="O181" s="38">
        <v>811</v>
      </c>
      <c r="P181" s="15"/>
      <c r="Q181" s="241"/>
      <c r="R181" s="38"/>
      <c r="S181" s="38"/>
      <c r="T181" s="38"/>
      <c r="U181" s="38"/>
      <c r="V181" s="38"/>
      <c r="W181" s="38"/>
      <c r="X181" s="167"/>
    </row>
    <row r="182" spans="1:31" ht="15.75" customHeight="1" x14ac:dyDescent="0.25">
      <c r="A182" s="109"/>
      <c r="B182" s="3"/>
      <c r="C182" s="13" t="s">
        <v>622</v>
      </c>
      <c r="D182" s="14"/>
      <c r="E182" s="14"/>
      <c r="F182" s="14"/>
      <c r="G182" s="61">
        <f t="shared" si="60"/>
        <v>0</v>
      </c>
      <c r="H182" s="15"/>
      <c r="I182" s="14"/>
      <c r="J182" s="14"/>
      <c r="K182" s="14"/>
      <c r="L182" s="14">
        <f t="shared" ref="L182:L188" si="62">SUM(I182:K182)</f>
        <v>0</v>
      </c>
      <c r="M182" s="39">
        <f t="shared" si="61"/>
        <v>0</v>
      </c>
      <c r="N182" s="14"/>
      <c r="O182" s="38"/>
      <c r="P182" s="15">
        <v>300</v>
      </c>
      <c r="Q182" s="241"/>
      <c r="R182" s="38"/>
      <c r="S182" s="38"/>
      <c r="T182" s="38"/>
      <c r="U182" s="38"/>
      <c r="V182" s="38"/>
      <c r="W182" s="38"/>
      <c r="X182" s="167"/>
      <c r="Y182" s="279"/>
    </row>
    <row r="183" spans="1:31" ht="15.75" customHeight="1" x14ac:dyDescent="0.25">
      <c r="A183" s="109"/>
      <c r="B183" s="3"/>
      <c r="C183" s="13" t="s">
        <v>623</v>
      </c>
      <c r="D183" s="14"/>
      <c r="E183" s="14"/>
      <c r="F183" s="14"/>
      <c r="G183" s="61">
        <f t="shared" si="60"/>
        <v>0</v>
      </c>
      <c r="H183" s="15"/>
      <c r="I183" s="14"/>
      <c r="J183" s="14"/>
      <c r="K183" s="14"/>
      <c r="L183" s="14">
        <f t="shared" si="62"/>
        <v>0</v>
      </c>
      <c r="M183" s="39">
        <f t="shared" si="61"/>
        <v>0</v>
      </c>
      <c r="N183" s="14"/>
      <c r="O183" s="38"/>
      <c r="P183" s="15">
        <v>7175</v>
      </c>
      <c r="Q183" s="241"/>
      <c r="R183" s="38"/>
      <c r="S183" s="38"/>
      <c r="T183" s="38"/>
      <c r="U183" s="38"/>
      <c r="V183" s="38"/>
      <c r="W183" s="38"/>
      <c r="X183" s="167"/>
      <c r="Y183" s="279"/>
    </row>
    <row r="184" spans="1:31" ht="15.75" customHeight="1" x14ac:dyDescent="0.25">
      <c r="A184" s="109"/>
      <c r="B184" s="3"/>
      <c r="C184" s="13" t="s">
        <v>624</v>
      </c>
      <c r="D184" s="14"/>
      <c r="E184" s="14"/>
      <c r="F184" s="14"/>
      <c r="G184" s="61">
        <f t="shared" si="60"/>
        <v>0</v>
      </c>
      <c r="H184" s="15"/>
      <c r="I184" s="14"/>
      <c r="J184" s="14"/>
      <c r="K184" s="14"/>
      <c r="L184" s="14">
        <f t="shared" si="62"/>
        <v>0</v>
      </c>
      <c r="M184" s="39">
        <f t="shared" si="61"/>
        <v>0</v>
      </c>
      <c r="N184" s="14"/>
      <c r="O184" s="38"/>
      <c r="P184" s="15">
        <v>500</v>
      </c>
      <c r="Q184" s="241"/>
      <c r="R184" s="38"/>
      <c r="S184" s="38"/>
      <c r="T184" s="38"/>
      <c r="U184" s="38"/>
      <c r="V184" s="38"/>
      <c r="W184" s="38"/>
      <c r="X184" s="167"/>
      <c r="Y184" s="279"/>
    </row>
    <row r="185" spans="1:31" ht="15.75" customHeight="1" x14ac:dyDescent="0.25">
      <c r="A185" s="109"/>
      <c r="B185" s="3"/>
      <c r="C185" s="13" t="s">
        <v>625</v>
      </c>
      <c r="D185" s="14"/>
      <c r="E185" s="14"/>
      <c r="F185" s="14"/>
      <c r="G185" s="61">
        <f t="shared" si="60"/>
        <v>0</v>
      </c>
      <c r="H185" s="15"/>
      <c r="I185" s="14"/>
      <c r="J185" s="14"/>
      <c r="K185" s="14"/>
      <c r="L185" s="14">
        <f t="shared" si="62"/>
        <v>0</v>
      </c>
      <c r="M185" s="39">
        <f t="shared" si="61"/>
        <v>0</v>
      </c>
      <c r="N185" s="14"/>
      <c r="O185" s="38"/>
      <c r="P185" s="15">
        <v>140</v>
      </c>
      <c r="Q185" s="241"/>
      <c r="R185" s="38"/>
      <c r="S185" s="38"/>
      <c r="T185" s="38"/>
      <c r="U185" s="38"/>
      <c r="V185" s="38"/>
      <c r="W185" s="38"/>
      <c r="X185" s="167"/>
      <c r="Y185" s="279"/>
    </row>
    <row r="186" spans="1:31" ht="15.75" customHeight="1" x14ac:dyDescent="0.25">
      <c r="A186" s="109"/>
      <c r="B186" s="3"/>
      <c r="C186" s="13" t="s">
        <v>613</v>
      </c>
      <c r="D186" s="14"/>
      <c r="E186" s="14"/>
      <c r="F186" s="14"/>
      <c r="G186" s="61">
        <f t="shared" si="60"/>
        <v>0</v>
      </c>
      <c r="H186" s="15"/>
      <c r="I186" s="14"/>
      <c r="J186" s="14"/>
      <c r="K186" s="14"/>
      <c r="L186" s="14">
        <f t="shared" si="62"/>
        <v>0</v>
      </c>
      <c r="M186" s="39">
        <f t="shared" si="61"/>
        <v>0</v>
      </c>
      <c r="N186" s="14"/>
      <c r="O186" s="38"/>
      <c r="P186" s="15">
        <v>2000</v>
      </c>
      <c r="Q186" s="241"/>
      <c r="R186" s="38"/>
      <c r="S186" s="38"/>
      <c r="T186" s="38"/>
      <c r="U186" s="38"/>
      <c r="V186" s="38"/>
      <c r="W186" s="38"/>
      <c r="X186" s="167"/>
      <c r="Y186" s="279"/>
    </row>
    <row r="187" spans="1:31" ht="15.75" customHeight="1" x14ac:dyDescent="0.25">
      <c r="A187" s="109"/>
      <c r="B187" s="3"/>
      <c r="C187" s="13"/>
      <c r="D187" s="14"/>
      <c r="E187" s="14"/>
      <c r="F187" s="14"/>
      <c r="G187" s="61">
        <f t="shared" si="60"/>
        <v>0</v>
      </c>
      <c r="H187" s="15"/>
      <c r="I187" s="14"/>
      <c r="J187" s="14"/>
      <c r="K187" s="14"/>
      <c r="L187" s="14">
        <f t="shared" si="62"/>
        <v>0</v>
      </c>
      <c r="M187" s="39">
        <f t="shared" si="61"/>
        <v>0</v>
      </c>
      <c r="N187" s="14"/>
      <c r="O187" s="38"/>
      <c r="P187" s="15"/>
      <c r="Q187" s="241"/>
      <c r="R187" s="15"/>
      <c r="S187" s="15"/>
      <c r="T187" s="15"/>
      <c r="U187" s="15"/>
      <c r="V187" s="15"/>
      <c r="W187" s="15"/>
      <c r="X187" s="15"/>
      <c r="Y187" s="286"/>
    </row>
    <row r="188" spans="1:31" ht="15.75" customHeight="1" x14ac:dyDescent="0.25">
      <c r="A188" s="16"/>
      <c r="B188" s="16"/>
      <c r="C188" s="40" t="s">
        <v>188</v>
      </c>
      <c r="D188" s="96">
        <f>SUM(D172:D181)</f>
        <v>172725</v>
      </c>
      <c r="E188" s="96">
        <f>SUM(E172:E181)</f>
        <v>57925</v>
      </c>
      <c r="F188" s="96">
        <f>SUM(F172:F181)</f>
        <v>870</v>
      </c>
      <c r="G188" s="27">
        <f t="shared" ref="G188" si="63">SUM(D188:F188)</f>
        <v>231520</v>
      </c>
      <c r="H188" s="210">
        <f>SUM(H172:H181)</f>
        <v>7943</v>
      </c>
      <c r="I188" s="96">
        <f>SUM(I172:I187)</f>
        <v>184806</v>
      </c>
      <c r="J188" s="96">
        <f t="shared" ref="J188:K188" si="64">SUM(J172:J187)</f>
        <v>90991</v>
      </c>
      <c r="K188" s="96">
        <f t="shared" si="64"/>
        <v>850</v>
      </c>
      <c r="L188" s="89">
        <f t="shared" si="62"/>
        <v>276647</v>
      </c>
      <c r="M188" s="28">
        <f t="shared" si="61"/>
        <v>45127</v>
      </c>
      <c r="N188" s="96">
        <f>SUM(N172:N181)</f>
        <v>0</v>
      </c>
      <c r="O188" s="187">
        <f>SUM(O172:O187)</f>
        <v>811</v>
      </c>
      <c r="P188" s="212">
        <f>SUM(P172:P187)</f>
        <v>10115</v>
      </c>
      <c r="Q188" s="260">
        <f>SUM(Q172:Q187)</f>
        <v>517</v>
      </c>
      <c r="R188" s="212">
        <f t="shared" ref="R188:X188" si="65">SUM(R172:R187)</f>
        <v>0</v>
      </c>
      <c r="S188" s="212">
        <f t="shared" si="65"/>
        <v>0</v>
      </c>
      <c r="T188" s="212">
        <f t="shared" si="65"/>
        <v>0</v>
      </c>
      <c r="U188" s="212">
        <f t="shared" si="65"/>
        <v>0</v>
      </c>
      <c r="V188" s="212">
        <f t="shared" si="65"/>
        <v>0</v>
      </c>
      <c r="W188" s="212">
        <f t="shared" si="65"/>
        <v>0</v>
      </c>
      <c r="X188" s="212">
        <f t="shared" si="65"/>
        <v>0</v>
      </c>
      <c r="Y188" s="280"/>
      <c r="Z188" s="16"/>
      <c r="AA188" s="16"/>
      <c r="AB188" s="16"/>
      <c r="AC188" s="16"/>
      <c r="AD188" s="16"/>
      <c r="AE188" s="16"/>
    </row>
    <row r="189" spans="1:31" ht="15.75" customHeight="1" x14ac:dyDescent="0.25">
      <c r="C189" s="13"/>
      <c r="D189" s="14"/>
      <c r="E189" s="14"/>
      <c r="F189" s="14"/>
      <c r="G189" s="61"/>
      <c r="H189" s="15"/>
      <c r="I189" s="14"/>
      <c r="J189" s="14"/>
      <c r="K189" s="14"/>
      <c r="L189" s="74"/>
      <c r="M189" s="60"/>
      <c r="N189" s="14"/>
      <c r="O189" s="38"/>
      <c r="P189" s="15"/>
      <c r="Q189" s="241"/>
      <c r="R189" s="38"/>
      <c r="S189" s="38"/>
      <c r="T189" s="38"/>
      <c r="U189" s="38"/>
      <c r="V189" s="38"/>
      <c r="W189" s="38"/>
      <c r="X189" s="167"/>
    </row>
    <row r="190" spans="1:31" ht="15.75" customHeight="1" x14ac:dyDescent="0.25">
      <c r="A190" s="6" t="s">
        <v>111</v>
      </c>
      <c r="B190" s="32" t="s">
        <v>130</v>
      </c>
      <c r="C190" s="32" t="s">
        <v>130</v>
      </c>
      <c r="D190" s="74">
        <v>66008</v>
      </c>
      <c r="E190" s="74">
        <v>23829</v>
      </c>
      <c r="F190" s="74">
        <v>870</v>
      </c>
      <c r="G190" s="59">
        <f t="shared" ref="G190:G199" si="66">SUM(D190:F190)</f>
        <v>90707</v>
      </c>
      <c r="H190" s="90">
        <f>16756-15029</f>
        <v>1727</v>
      </c>
      <c r="I190" s="74">
        <v>15029</v>
      </c>
      <c r="J190" s="74">
        <v>1886</v>
      </c>
      <c r="K190" s="74"/>
      <c r="L190" s="74">
        <f t="shared" ref="L190:L199" si="67">SUM(I190:K190)</f>
        <v>16915</v>
      </c>
      <c r="M190" s="60">
        <f t="shared" ref="M190:M199" si="68">(L190-G190)</f>
        <v>-73792</v>
      </c>
      <c r="N190" s="90"/>
      <c r="O190" s="102"/>
      <c r="P190" s="90"/>
      <c r="Q190" s="247"/>
      <c r="R190" s="102"/>
      <c r="S190" s="102"/>
      <c r="T190" s="102"/>
      <c r="U190" s="102"/>
      <c r="V190" s="102"/>
      <c r="W190" s="102"/>
      <c r="X190" s="179"/>
    </row>
    <row r="191" spans="1:31" ht="15.75" customHeight="1" x14ac:dyDescent="0.25">
      <c r="A191" s="109"/>
      <c r="B191" s="12"/>
      <c r="C191" s="13" t="s">
        <v>232</v>
      </c>
      <c r="D191" s="14"/>
      <c r="E191" s="14"/>
      <c r="F191" s="14"/>
      <c r="G191" s="61">
        <f>SUM(D191:F191)</f>
        <v>0</v>
      </c>
      <c r="H191" s="15">
        <f>47023-44536</f>
        <v>2487</v>
      </c>
      <c r="I191" s="14">
        <v>44536</v>
      </c>
      <c r="J191" s="14">
        <v>15261</v>
      </c>
      <c r="K191" s="14"/>
      <c r="L191" s="14">
        <f>SUM(I191:K191)</f>
        <v>59797</v>
      </c>
      <c r="M191" s="62">
        <f>(L191-G191)</f>
        <v>59797</v>
      </c>
      <c r="N191" s="14"/>
      <c r="O191" s="38"/>
      <c r="P191" s="15"/>
      <c r="Q191" s="241"/>
      <c r="R191" s="38"/>
      <c r="S191" s="38"/>
      <c r="T191" s="38"/>
      <c r="U191" s="38"/>
      <c r="V191" s="38"/>
      <c r="W191" s="38"/>
      <c r="X191" s="167"/>
    </row>
    <row r="192" spans="1:31" ht="15.75" customHeight="1" x14ac:dyDescent="0.25">
      <c r="A192" s="109"/>
      <c r="B192" s="12"/>
      <c r="C192" s="13" t="s">
        <v>64</v>
      </c>
      <c r="D192" s="14"/>
      <c r="E192" s="14"/>
      <c r="F192" s="14"/>
      <c r="G192" s="61">
        <f>SUM(D192:F192)</f>
        <v>0</v>
      </c>
      <c r="H192" s="15"/>
      <c r="I192" s="14"/>
      <c r="J192" s="14">
        <v>1287</v>
      </c>
      <c r="K192" s="14"/>
      <c r="L192" s="14">
        <f>SUM(I192:K192)</f>
        <v>1287</v>
      </c>
      <c r="M192" s="62">
        <f>(L192-G192)</f>
        <v>1287</v>
      </c>
      <c r="N192" s="14"/>
      <c r="O192" s="38"/>
      <c r="P192" s="15"/>
      <c r="Q192" s="241"/>
      <c r="R192" s="38"/>
      <c r="S192" s="38"/>
      <c r="T192" s="38"/>
      <c r="U192" s="38"/>
      <c r="V192" s="38"/>
      <c r="W192" s="38"/>
      <c r="X192" s="167"/>
    </row>
    <row r="193" spans="1:31" ht="15.75" customHeight="1" x14ac:dyDescent="0.25">
      <c r="A193" s="109"/>
      <c r="B193" s="12"/>
      <c r="C193" s="13" t="s">
        <v>229</v>
      </c>
      <c r="D193" s="14"/>
      <c r="E193" s="14"/>
      <c r="F193" s="14"/>
      <c r="G193" s="61">
        <f>SUM(D193:F193)</f>
        <v>0</v>
      </c>
      <c r="H193" s="15">
        <f>6180-6254</f>
        <v>-74</v>
      </c>
      <c r="I193" s="14">
        <v>6254</v>
      </c>
      <c r="J193" s="14">
        <v>7265</v>
      </c>
      <c r="K193" s="14"/>
      <c r="L193" s="14">
        <f>SUM(I193:K193)</f>
        <v>13519</v>
      </c>
      <c r="M193" s="62">
        <f>(L193-G193)</f>
        <v>13519</v>
      </c>
      <c r="N193" s="14"/>
      <c r="O193" s="38"/>
      <c r="P193" s="15"/>
      <c r="Q193" s="241"/>
      <c r="R193" s="38"/>
      <c r="S193" s="38"/>
      <c r="T193" s="38"/>
      <c r="U193" s="38"/>
      <c r="V193" s="38"/>
      <c r="W193" s="38"/>
      <c r="X193" s="167"/>
    </row>
    <row r="194" spans="1:31" ht="15.75" customHeight="1" x14ac:dyDescent="0.25">
      <c r="A194" s="109"/>
      <c r="B194" s="12"/>
      <c r="C194" s="13" t="s">
        <v>262</v>
      </c>
      <c r="D194" s="14"/>
      <c r="E194" s="14"/>
      <c r="F194" s="14"/>
      <c r="G194" s="61">
        <f>SUM(D194:F194)</f>
        <v>0</v>
      </c>
      <c r="H194" s="15">
        <f>7560-7197</f>
        <v>363</v>
      </c>
      <c r="I194" s="14">
        <v>7197</v>
      </c>
      <c r="J194" s="14">
        <v>2386</v>
      </c>
      <c r="K194" s="14">
        <v>850</v>
      </c>
      <c r="L194" s="14">
        <f>SUM(I194:K194)</f>
        <v>10433</v>
      </c>
      <c r="M194" s="62">
        <f>(L194-G194)</f>
        <v>10433</v>
      </c>
      <c r="N194" s="14"/>
      <c r="O194" s="38"/>
      <c r="P194" s="15"/>
      <c r="Q194" s="241"/>
      <c r="R194" s="38"/>
      <c r="S194" s="38"/>
      <c r="T194" s="38"/>
      <c r="U194" s="38"/>
      <c r="V194" s="38"/>
      <c r="W194" s="38"/>
      <c r="X194" s="167"/>
    </row>
    <row r="195" spans="1:31" ht="15.75" customHeight="1" x14ac:dyDescent="0.25">
      <c r="A195" s="6" t="s">
        <v>111</v>
      </c>
      <c r="B195" s="32" t="s">
        <v>130</v>
      </c>
      <c r="C195" s="13" t="s">
        <v>572</v>
      </c>
      <c r="D195" s="14">
        <v>347</v>
      </c>
      <c r="E195" s="14"/>
      <c r="F195" s="14"/>
      <c r="G195" s="61">
        <f t="shared" si="66"/>
        <v>347</v>
      </c>
      <c r="H195" s="15"/>
      <c r="I195" s="14">
        <v>366</v>
      </c>
      <c r="J195" s="14"/>
      <c r="K195" s="30"/>
      <c r="L195" s="14">
        <f t="shared" si="67"/>
        <v>366</v>
      </c>
      <c r="M195" s="62">
        <f t="shared" si="68"/>
        <v>19</v>
      </c>
      <c r="N195" s="14">
        <v>10488</v>
      </c>
      <c r="O195" s="38"/>
      <c r="P195" s="15"/>
      <c r="Q195" s="241"/>
      <c r="R195" s="38"/>
      <c r="S195" s="38"/>
      <c r="T195" s="38"/>
      <c r="U195" s="38"/>
      <c r="V195" s="38"/>
      <c r="W195" s="38"/>
      <c r="X195" s="167"/>
    </row>
    <row r="196" spans="1:31" ht="15.75" customHeight="1" x14ac:dyDescent="0.25">
      <c r="A196" s="109"/>
      <c r="B196" s="12"/>
      <c r="C196" s="31" t="s">
        <v>231</v>
      </c>
      <c r="D196" s="14"/>
      <c r="E196" s="14"/>
      <c r="F196" s="14"/>
      <c r="G196" s="61">
        <f>SUM(D196:F196)</f>
        <v>0</v>
      </c>
      <c r="H196" s="15"/>
      <c r="I196" s="14"/>
      <c r="J196" s="14"/>
      <c r="K196" s="14"/>
      <c r="L196" s="14">
        <f>SUM(I196:K196)</f>
        <v>0</v>
      </c>
      <c r="M196" s="62">
        <f>(L196-G196)</f>
        <v>0</v>
      </c>
      <c r="N196" s="14"/>
      <c r="O196" s="38"/>
      <c r="P196" s="15"/>
      <c r="Q196" s="241"/>
      <c r="R196" s="38"/>
      <c r="S196" s="38"/>
      <c r="T196" s="38"/>
      <c r="U196" s="38"/>
      <c r="V196" s="38"/>
      <c r="W196" s="38"/>
      <c r="X196" s="167"/>
      <c r="Z196" s="46"/>
    </row>
    <row r="197" spans="1:31" ht="15.75" customHeight="1" x14ac:dyDescent="0.25">
      <c r="A197" s="109"/>
      <c r="B197" s="12"/>
      <c r="C197" s="13" t="s">
        <v>626</v>
      </c>
      <c r="D197" s="14"/>
      <c r="E197" s="14"/>
      <c r="F197" s="14"/>
      <c r="G197" s="61">
        <f>SUM(D197:F197)</f>
        <v>0</v>
      </c>
      <c r="H197" s="15"/>
      <c r="I197" s="14"/>
      <c r="J197" s="14">
        <v>100</v>
      </c>
      <c r="K197" s="14"/>
      <c r="L197" s="14">
        <f>SUM(I197:K197)</f>
        <v>100</v>
      </c>
      <c r="M197" s="62">
        <f>(L197-G197)</f>
        <v>100</v>
      </c>
      <c r="N197" s="14"/>
      <c r="O197" s="38"/>
      <c r="P197" s="15"/>
      <c r="Q197" s="241"/>
      <c r="R197" s="38"/>
      <c r="S197" s="38"/>
      <c r="T197" s="38"/>
      <c r="U197" s="38"/>
      <c r="V197" s="38"/>
      <c r="W197" s="38"/>
      <c r="X197" s="167"/>
    </row>
    <row r="198" spans="1:31" ht="15.75" customHeight="1" x14ac:dyDescent="0.25">
      <c r="A198" s="109"/>
      <c r="B198" s="3"/>
      <c r="C198" s="37" t="s">
        <v>627</v>
      </c>
      <c r="D198" s="14"/>
      <c r="E198" s="14"/>
      <c r="F198" s="14"/>
      <c r="G198" s="61">
        <f>SUM(D198:F198)</f>
        <v>0</v>
      </c>
      <c r="H198" s="15"/>
      <c r="I198" s="14"/>
      <c r="J198" s="14"/>
      <c r="K198" s="14"/>
      <c r="L198" s="14">
        <f>SUM(I198:K198)</f>
        <v>0</v>
      </c>
      <c r="M198" s="39">
        <f>(L198-G198)</f>
        <v>0</v>
      </c>
      <c r="N198" s="14"/>
      <c r="O198" s="38"/>
      <c r="P198" s="15">
        <v>350</v>
      </c>
      <c r="Q198" s="241"/>
      <c r="R198" s="38"/>
      <c r="S198" s="38"/>
      <c r="T198" s="38"/>
      <c r="U198" s="38"/>
      <c r="V198" s="38"/>
      <c r="W198" s="38"/>
      <c r="X198" s="167"/>
      <c r="Y198" s="280"/>
      <c r="Z198" s="16"/>
      <c r="AA198" s="16"/>
      <c r="AB198" s="16"/>
      <c r="AC198" s="16"/>
      <c r="AD198" s="16"/>
      <c r="AE198" s="16"/>
    </row>
    <row r="199" spans="1:31" ht="15.75" customHeight="1" x14ac:dyDescent="0.25">
      <c r="A199" s="16"/>
      <c r="B199" s="16"/>
      <c r="C199" s="40" t="s">
        <v>188</v>
      </c>
      <c r="D199" s="96">
        <f>SUM(D190:D197)</f>
        <v>66355</v>
      </c>
      <c r="E199" s="96">
        <f>SUM(E190:E197)</f>
        <v>23829</v>
      </c>
      <c r="F199" s="96">
        <f>SUM(F190:F197)</f>
        <v>870</v>
      </c>
      <c r="G199" s="27">
        <f t="shared" si="66"/>
        <v>91054</v>
      </c>
      <c r="H199" s="96">
        <f>SUM(H190:H197)</f>
        <v>4503</v>
      </c>
      <c r="I199" s="96">
        <f>SUM(I190:I198)</f>
        <v>73382</v>
      </c>
      <c r="J199" s="96">
        <f>SUM(J190:J198)</f>
        <v>28185</v>
      </c>
      <c r="K199" s="96">
        <f>SUM(K190:K198)</f>
        <v>850</v>
      </c>
      <c r="L199" s="89">
        <f t="shared" si="67"/>
        <v>102417</v>
      </c>
      <c r="M199" s="28">
        <f t="shared" si="68"/>
        <v>11363</v>
      </c>
      <c r="N199" s="96">
        <f t="shared" ref="N199:X199" si="69">SUM(N190:N198)</f>
        <v>10488</v>
      </c>
      <c r="O199" s="187">
        <f t="shared" si="69"/>
        <v>0</v>
      </c>
      <c r="P199" s="212">
        <f t="shared" si="69"/>
        <v>350</v>
      </c>
      <c r="Q199" s="260">
        <f t="shared" si="69"/>
        <v>0</v>
      </c>
      <c r="R199" s="212">
        <f t="shared" si="69"/>
        <v>0</v>
      </c>
      <c r="S199" s="212">
        <f t="shared" si="69"/>
        <v>0</v>
      </c>
      <c r="T199" s="212">
        <f t="shared" si="69"/>
        <v>0</v>
      </c>
      <c r="U199" s="212">
        <f t="shared" si="69"/>
        <v>0</v>
      </c>
      <c r="V199" s="212">
        <f t="shared" si="69"/>
        <v>0</v>
      </c>
      <c r="W199" s="212">
        <f t="shared" si="69"/>
        <v>0</v>
      </c>
      <c r="X199" s="212">
        <f t="shared" si="69"/>
        <v>0</v>
      </c>
      <c r="Y199" s="280"/>
      <c r="Z199" s="16"/>
      <c r="AA199" s="16"/>
      <c r="AB199" s="16"/>
      <c r="AC199" s="16"/>
      <c r="AD199" s="16"/>
      <c r="AE199" s="16"/>
    </row>
    <row r="200" spans="1:31" ht="15.75" customHeight="1" x14ac:dyDescent="0.25">
      <c r="A200" s="16"/>
      <c r="B200" s="16"/>
      <c r="C200" s="22"/>
      <c r="D200" s="18"/>
      <c r="E200" s="18"/>
      <c r="F200" s="18"/>
      <c r="G200" s="94"/>
      <c r="H200" s="19"/>
      <c r="I200" s="18"/>
      <c r="J200" s="18"/>
      <c r="K200" s="18"/>
      <c r="L200" s="18"/>
      <c r="M200" s="60"/>
      <c r="N200" s="18"/>
      <c r="O200" s="168"/>
      <c r="P200" s="19"/>
      <c r="Q200" s="242"/>
      <c r="R200" s="168"/>
      <c r="S200" s="168"/>
      <c r="T200" s="168"/>
      <c r="U200" s="168"/>
      <c r="V200" s="168"/>
      <c r="W200" s="168"/>
      <c r="X200" s="169"/>
      <c r="Y200" s="280"/>
      <c r="Z200" s="16"/>
      <c r="AA200" s="16"/>
      <c r="AB200" s="16"/>
      <c r="AC200" s="16"/>
      <c r="AD200" s="16"/>
      <c r="AE200" s="16"/>
    </row>
    <row r="201" spans="1:31" ht="15.75" customHeight="1" x14ac:dyDescent="0.25">
      <c r="A201" s="6" t="s">
        <v>111</v>
      </c>
      <c r="B201" s="29" t="s">
        <v>121</v>
      </c>
      <c r="C201" s="29" t="s">
        <v>121</v>
      </c>
      <c r="D201" s="14">
        <v>24246</v>
      </c>
      <c r="E201" s="14">
        <v>2398</v>
      </c>
      <c r="F201" s="14"/>
      <c r="G201" s="61">
        <f t="shared" ref="G201:G215" si="70">SUM(D201:F201)</f>
        <v>26644</v>
      </c>
      <c r="H201" s="15">
        <f>23651-21756</f>
        <v>1895</v>
      </c>
      <c r="I201" s="14">
        <v>21756</v>
      </c>
      <c r="J201" s="14">
        <v>1851</v>
      </c>
      <c r="K201" s="30"/>
      <c r="L201" s="14">
        <f t="shared" ref="L201:L215" si="71">SUM(I201:K201)</f>
        <v>23607</v>
      </c>
      <c r="M201" s="62">
        <f t="shared" ref="M201:M215" si="72">(L201-G201)</f>
        <v>-3037</v>
      </c>
      <c r="N201" s="15"/>
      <c r="O201" s="38"/>
      <c r="P201" s="15"/>
      <c r="Q201" s="241"/>
      <c r="R201" s="38"/>
      <c r="S201" s="38"/>
      <c r="T201" s="38"/>
      <c r="U201" s="38"/>
      <c r="V201" s="38"/>
      <c r="W201" s="38"/>
      <c r="X201" s="167"/>
    </row>
    <row r="202" spans="1:31" ht="15.75" customHeight="1" x14ac:dyDescent="0.25">
      <c r="A202" s="6" t="s">
        <v>111</v>
      </c>
      <c r="B202" s="29" t="s">
        <v>121</v>
      </c>
      <c r="C202" s="13" t="s">
        <v>266</v>
      </c>
      <c r="D202" s="14">
        <v>23261</v>
      </c>
      <c r="E202" s="14">
        <v>28674</v>
      </c>
      <c r="F202" s="14"/>
      <c r="G202" s="61">
        <f t="shared" si="70"/>
        <v>51935</v>
      </c>
      <c r="H202" s="15">
        <f>29571-29571</f>
        <v>0</v>
      </c>
      <c r="I202" s="14">
        <v>29571</v>
      </c>
      <c r="J202" s="14">
        <v>69662</v>
      </c>
      <c r="K202" s="14"/>
      <c r="L202" s="14">
        <f t="shared" si="71"/>
        <v>99233</v>
      </c>
      <c r="M202" s="62">
        <f t="shared" si="72"/>
        <v>47298</v>
      </c>
      <c r="N202" s="15"/>
      <c r="O202" s="38"/>
      <c r="P202" s="15"/>
      <c r="Q202" s="241"/>
      <c r="R202" s="38"/>
      <c r="S202" s="38"/>
      <c r="T202" s="38"/>
      <c r="U202" s="38"/>
      <c r="V202" s="38"/>
      <c r="W202" s="38"/>
      <c r="X202" s="167"/>
    </row>
    <row r="203" spans="1:31" ht="15.75" customHeight="1" x14ac:dyDescent="0.25">
      <c r="A203" s="6" t="s">
        <v>111</v>
      </c>
      <c r="B203" s="29" t="s">
        <v>121</v>
      </c>
      <c r="C203" s="13" t="s">
        <v>64</v>
      </c>
      <c r="D203" s="14"/>
      <c r="E203" s="14">
        <v>2033</v>
      </c>
      <c r="F203" s="14"/>
      <c r="G203" s="61">
        <f t="shared" si="70"/>
        <v>2033</v>
      </c>
      <c r="H203" s="15"/>
      <c r="I203" s="14"/>
      <c r="J203" s="14">
        <v>3228</v>
      </c>
      <c r="K203" s="14"/>
      <c r="L203" s="14">
        <f t="shared" si="71"/>
        <v>3228</v>
      </c>
      <c r="M203" s="62">
        <f t="shared" si="72"/>
        <v>1195</v>
      </c>
      <c r="N203" s="15"/>
      <c r="O203" s="38"/>
      <c r="P203" s="15"/>
      <c r="Q203" s="241"/>
      <c r="R203" s="38"/>
      <c r="S203" s="38"/>
      <c r="T203" s="38"/>
      <c r="U203" s="38"/>
      <c r="V203" s="38"/>
      <c r="W203" s="38"/>
      <c r="X203" s="167"/>
    </row>
    <row r="204" spans="1:31" ht="18.75" customHeight="1" x14ac:dyDescent="0.25">
      <c r="A204" s="6" t="s">
        <v>111</v>
      </c>
      <c r="B204" s="29" t="s">
        <v>121</v>
      </c>
      <c r="C204" s="13" t="s">
        <v>98</v>
      </c>
      <c r="D204" s="14">
        <v>16867</v>
      </c>
      <c r="E204" s="14">
        <v>10351</v>
      </c>
      <c r="F204" s="14">
        <v>600</v>
      </c>
      <c r="G204" s="61">
        <f t="shared" si="70"/>
        <v>27818</v>
      </c>
      <c r="H204" s="15">
        <f>22651-20245</f>
        <v>2406</v>
      </c>
      <c r="I204" s="14">
        <v>20245</v>
      </c>
      <c r="J204" s="14">
        <v>13099</v>
      </c>
      <c r="K204" s="14"/>
      <c r="L204" s="14">
        <f t="shared" si="71"/>
        <v>33344</v>
      </c>
      <c r="M204" s="62">
        <f t="shared" si="72"/>
        <v>5526</v>
      </c>
      <c r="N204" s="15"/>
      <c r="O204" s="38"/>
      <c r="P204" s="15"/>
      <c r="Q204" s="241"/>
      <c r="R204" s="38"/>
      <c r="S204" s="38"/>
      <c r="T204" s="38"/>
      <c r="U204" s="38"/>
      <c r="V204" s="38"/>
      <c r="W204" s="38"/>
      <c r="X204" s="167"/>
      <c r="Y204" s="279"/>
    </row>
    <row r="205" spans="1:31" ht="15.75" customHeight="1" x14ac:dyDescent="0.25">
      <c r="A205" s="6" t="s">
        <v>111</v>
      </c>
      <c r="B205" s="29" t="s">
        <v>121</v>
      </c>
      <c r="C205" s="13" t="s">
        <v>229</v>
      </c>
      <c r="D205" s="14">
        <f>11074</f>
        <v>11074</v>
      </c>
      <c r="E205" s="14">
        <v>15416</v>
      </c>
      <c r="F205" s="14"/>
      <c r="G205" s="61">
        <f t="shared" si="70"/>
        <v>26490</v>
      </c>
      <c r="H205" s="15">
        <f>12127-11025</f>
        <v>1102</v>
      </c>
      <c r="I205" s="14">
        <v>11025</v>
      </c>
      <c r="J205" s="14">
        <v>25883</v>
      </c>
      <c r="K205" s="14"/>
      <c r="L205" s="14">
        <f t="shared" si="71"/>
        <v>36908</v>
      </c>
      <c r="M205" s="62">
        <f t="shared" si="72"/>
        <v>10418</v>
      </c>
      <c r="N205" s="15"/>
      <c r="O205" s="38"/>
      <c r="P205" s="15"/>
      <c r="Q205" s="241"/>
      <c r="R205" s="38"/>
      <c r="S205" s="38"/>
      <c r="T205" s="38"/>
      <c r="U205" s="38"/>
      <c r="V205" s="38"/>
      <c r="W205" s="38"/>
      <c r="X205" s="167"/>
    </row>
    <row r="206" spans="1:31" ht="15.75" customHeight="1" x14ac:dyDescent="0.25">
      <c r="A206" s="6" t="s">
        <v>111</v>
      </c>
      <c r="B206" s="29" t="s">
        <v>121</v>
      </c>
      <c r="C206" s="13" t="s">
        <v>628</v>
      </c>
      <c r="D206" s="14"/>
      <c r="E206" s="14"/>
      <c r="F206" s="14">
        <v>4371</v>
      </c>
      <c r="G206" s="61">
        <f t="shared" si="70"/>
        <v>4371</v>
      </c>
      <c r="H206" s="15"/>
      <c r="I206" s="14"/>
      <c r="J206" s="14">
        <v>637</v>
      </c>
      <c r="K206" s="14"/>
      <c r="L206" s="14">
        <f t="shared" si="71"/>
        <v>637</v>
      </c>
      <c r="M206" s="62">
        <f t="shared" si="72"/>
        <v>-3734</v>
      </c>
      <c r="N206" s="15"/>
      <c r="O206" s="38"/>
      <c r="P206" s="15"/>
      <c r="Q206" s="241"/>
      <c r="R206" s="38"/>
      <c r="S206" s="38"/>
      <c r="T206" s="38"/>
      <c r="U206" s="38"/>
      <c r="V206" s="38"/>
      <c r="W206" s="38"/>
      <c r="X206" s="167"/>
    </row>
    <row r="207" spans="1:31" ht="15.75" customHeight="1" x14ac:dyDescent="0.25">
      <c r="A207" s="6" t="s">
        <v>111</v>
      </c>
      <c r="B207" s="29" t="s">
        <v>121</v>
      </c>
      <c r="C207" s="13" t="s">
        <v>268</v>
      </c>
      <c r="D207" s="14">
        <v>9270</v>
      </c>
      <c r="E207" s="14">
        <v>2881</v>
      </c>
      <c r="F207" s="14">
        <v>850</v>
      </c>
      <c r="G207" s="61">
        <f t="shared" si="70"/>
        <v>13001</v>
      </c>
      <c r="H207" s="15">
        <f>13592-12359</f>
        <v>1233</v>
      </c>
      <c r="I207" s="14">
        <v>12359</v>
      </c>
      <c r="J207" s="14">
        <v>3356</v>
      </c>
      <c r="K207" s="14">
        <v>850</v>
      </c>
      <c r="L207" s="14">
        <f t="shared" si="71"/>
        <v>16565</v>
      </c>
      <c r="M207" s="62">
        <f t="shared" si="72"/>
        <v>3564</v>
      </c>
      <c r="N207" s="15"/>
      <c r="O207" s="38"/>
      <c r="P207" s="15"/>
      <c r="Q207" s="241"/>
      <c r="R207" s="38"/>
      <c r="S207" s="38"/>
      <c r="T207" s="38"/>
      <c r="U207" s="38"/>
      <c r="V207" s="38"/>
      <c r="W207" s="38"/>
      <c r="X207" s="167"/>
    </row>
    <row r="208" spans="1:31" ht="15.75" customHeight="1" x14ac:dyDescent="0.25">
      <c r="A208" s="109"/>
      <c r="B208" s="13"/>
      <c r="C208" s="31" t="s">
        <v>231</v>
      </c>
      <c r="D208" s="14"/>
      <c r="E208" s="14"/>
      <c r="F208" s="14"/>
      <c r="G208" s="61">
        <f>SUM(D208:F208)</f>
        <v>0</v>
      </c>
      <c r="H208" s="15"/>
      <c r="I208" s="14"/>
      <c r="J208" s="14"/>
      <c r="K208" s="14"/>
      <c r="L208" s="14">
        <f>SUM(I208:K208)</f>
        <v>0</v>
      </c>
      <c r="M208" s="62">
        <f>(L208-G208)</f>
        <v>0</v>
      </c>
      <c r="N208" s="14"/>
      <c r="O208" s="38"/>
      <c r="P208" s="15"/>
      <c r="Q208" s="241"/>
      <c r="R208" s="38"/>
      <c r="S208" s="38"/>
      <c r="T208" s="38"/>
      <c r="U208" s="38"/>
      <c r="V208" s="38"/>
      <c r="W208" s="38"/>
      <c r="X208" s="167"/>
    </row>
    <row r="209" spans="1:31" ht="15.75" customHeight="1" x14ac:dyDescent="0.25">
      <c r="A209" s="109"/>
      <c r="B209" s="13"/>
      <c r="C209" s="13" t="s">
        <v>629</v>
      </c>
      <c r="D209" s="14"/>
      <c r="E209" s="14"/>
      <c r="F209" s="14"/>
      <c r="G209" s="61">
        <f>SUM(D209:F209)</f>
        <v>0</v>
      </c>
      <c r="H209" s="15"/>
      <c r="I209" s="14"/>
      <c r="J209" s="14"/>
      <c r="K209" s="14"/>
      <c r="L209" s="14">
        <f>SUM(I209:K209)</f>
        <v>0</v>
      </c>
      <c r="M209" s="62">
        <f>(L209-G209)</f>
        <v>0</v>
      </c>
      <c r="N209" s="14"/>
      <c r="O209" s="38">
        <v>7207</v>
      </c>
      <c r="P209" s="15"/>
      <c r="Q209" s="241"/>
      <c r="R209" s="38"/>
      <c r="S209" s="38"/>
      <c r="T209" s="38"/>
      <c r="U209" s="38"/>
      <c r="V209" s="38"/>
      <c r="W209" s="38"/>
      <c r="X209" s="167"/>
    </row>
    <row r="210" spans="1:31" ht="15.75" customHeight="1" x14ac:dyDescent="0.25">
      <c r="A210" s="109"/>
      <c r="B210" s="13"/>
      <c r="C210" s="13" t="s">
        <v>630</v>
      </c>
      <c r="D210" s="14"/>
      <c r="E210" s="14"/>
      <c r="F210" s="14"/>
      <c r="G210" s="61">
        <f>SUM(D210:F210)</f>
        <v>0</v>
      </c>
      <c r="H210" s="15"/>
      <c r="I210" s="14"/>
      <c r="J210" s="14"/>
      <c r="K210" s="14"/>
      <c r="L210" s="14">
        <f>SUM(I210:K210)</f>
        <v>0</v>
      </c>
      <c r="M210" s="62">
        <f>(L210-G210)</f>
        <v>0</v>
      </c>
      <c r="N210" s="14"/>
      <c r="O210" s="38">
        <v>4914</v>
      </c>
      <c r="P210" s="15"/>
      <c r="Q210" s="241"/>
      <c r="R210" s="38"/>
      <c r="S210" s="38"/>
      <c r="T210" s="38"/>
      <c r="U210" s="38"/>
      <c r="V210" s="38"/>
      <c r="W210" s="38"/>
      <c r="X210" s="167"/>
    </row>
    <row r="211" spans="1:31" ht="15.75" customHeight="1" x14ac:dyDescent="0.25">
      <c r="A211" s="109"/>
      <c r="B211" s="13"/>
      <c r="C211" s="13" t="s">
        <v>631</v>
      </c>
      <c r="D211" s="14"/>
      <c r="E211" s="14"/>
      <c r="F211" s="14"/>
      <c r="G211" s="61">
        <f>SUM(D211:F211)</f>
        <v>0</v>
      </c>
      <c r="H211" s="15"/>
      <c r="I211" s="14"/>
      <c r="J211" s="14"/>
      <c r="K211" s="14"/>
      <c r="L211" s="14">
        <f>SUM(I211:K211)</f>
        <v>0</v>
      </c>
      <c r="M211" s="62">
        <f>(L211-G211)</f>
        <v>0</v>
      </c>
      <c r="N211" s="14"/>
      <c r="O211" s="38">
        <v>800</v>
      </c>
      <c r="P211" s="15"/>
      <c r="Q211" s="241"/>
      <c r="R211" s="38"/>
      <c r="S211" s="38"/>
      <c r="T211" s="38"/>
      <c r="U211" s="38"/>
      <c r="V211" s="38"/>
      <c r="W211" s="38"/>
      <c r="X211" s="167"/>
    </row>
    <row r="212" spans="1:31" ht="15.75" customHeight="1" x14ac:dyDescent="0.25">
      <c r="A212" s="6" t="s">
        <v>111</v>
      </c>
      <c r="B212" s="29" t="s">
        <v>121</v>
      </c>
      <c r="C212" s="17" t="s">
        <v>632</v>
      </c>
      <c r="D212" s="14"/>
      <c r="E212" s="14"/>
      <c r="F212" s="14"/>
      <c r="G212" s="61">
        <f t="shared" si="70"/>
        <v>0</v>
      </c>
      <c r="H212" s="15"/>
      <c r="I212" s="14"/>
      <c r="J212" s="14"/>
      <c r="K212" s="14"/>
      <c r="L212" s="14">
        <f t="shared" si="71"/>
        <v>0</v>
      </c>
      <c r="M212" s="62">
        <f t="shared" si="72"/>
        <v>0</v>
      </c>
      <c r="N212" s="15"/>
      <c r="O212" s="38"/>
      <c r="P212" s="15">
        <v>4000</v>
      </c>
      <c r="Q212" s="241"/>
      <c r="R212" s="38"/>
      <c r="S212" s="38"/>
      <c r="T212" s="38"/>
      <c r="U212" s="38"/>
      <c r="V212" s="38"/>
      <c r="W212" s="38"/>
      <c r="X212" s="167"/>
    </row>
    <row r="213" spans="1:31" ht="15.75" customHeight="1" x14ac:dyDescent="0.25">
      <c r="A213" s="109"/>
      <c r="B213" s="13"/>
      <c r="C213" s="17" t="s">
        <v>633</v>
      </c>
      <c r="D213" s="14"/>
      <c r="E213" s="14"/>
      <c r="F213" s="14"/>
      <c r="G213" s="61">
        <f>SUM(D213:F213)</f>
        <v>0</v>
      </c>
      <c r="H213" s="15"/>
      <c r="I213" s="14"/>
      <c r="J213" s="14"/>
      <c r="K213" s="14"/>
      <c r="L213" s="14">
        <f>SUM(I213:K213)</f>
        <v>0</v>
      </c>
      <c r="M213" s="62">
        <f>(L213-G213)</f>
        <v>0</v>
      </c>
      <c r="N213" s="14"/>
      <c r="O213" s="38"/>
      <c r="P213" s="15">
        <v>2000</v>
      </c>
      <c r="Q213" s="241"/>
      <c r="R213" s="38"/>
      <c r="S213" s="38"/>
      <c r="T213" s="38"/>
      <c r="U213" s="38"/>
      <c r="V213" s="38"/>
      <c r="W213" s="38"/>
      <c r="X213" s="167"/>
    </row>
    <row r="214" spans="1:31" ht="15.75" customHeight="1" x14ac:dyDescent="0.25">
      <c r="A214" s="109"/>
      <c r="B214" s="13"/>
      <c r="C214" s="17" t="s">
        <v>634</v>
      </c>
      <c r="D214" s="14"/>
      <c r="E214" s="14"/>
      <c r="F214" s="14"/>
      <c r="G214" s="61">
        <f>SUM(D214:F214)</f>
        <v>0</v>
      </c>
      <c r="H214" s="15"/>
      <c r="I214" s="14"/>
      <c r="J214" s="14"/>
      <c r="K214" s="14"/>
      <c r="L214" s="14">
        <f>SUM(I214:K214)</f>
        <v>0</v>
      </c>
      <c r="M214" s="62">
        <f>(L214-G214)</f>
        <v>0</v>
      </c>
      <c r="N214" s="14"/>
      <c r="O214" s="38"/>
      <c r="P214" s="15"/>
      <c r="Q214" s="241">
        <v>25000</v>
      </c>
      <c r="R214" s="38"/>
      <c r="S214" s="38"/>
      <c r="T214" s="38"/>
      <c r="U214" s="38"/>
      <c r="V214" s="38"/>
      <c r="W214" s="38"/>
      <c r="X214" s="167"/>
      <c r="Y214" s="277" t="s">
        <v>635</v>
      </c>
    </row>
    <row r="215" spans="1:31" ht="15.75" customHeight="1" x14ac:dyDescent="0.25">
      <c r="A215" s="6" t="s">
        <v>111</v>
      </c>
      <c r="B215" s="29" t="s">
        <v>121</v>
      </c>
      <c r="C215" s="17" t="s">
        <v>636</v>
      </c>
      <c r="D215" s="14"/>
      <c r="E215" s="14"/>
      <c r="F215" s="14"/>
      <c r="G215" s="61">
        <f t="shared" si="70"/>
        <v>0</v>
      </c>
      <c r="H215" s="15"/>
      <c r="I215" s="14"/>
      <c r="J215" s="14"/>
      <c r="K215" s="14"/>
      <c r="L215" s="14">
        <f t="shared" si="71"/>
        <v>0</v>
      </c>
      <c r="M215" s="62">
        <f t="shared" si="72"/>
        <v>0</v>
      </c>
      <c r="N215" s="15"/>
      <c r="O215" s="264">
        <v>1000</v>
      </c>
      <c r="P215" s="15"/>
      <c r="Q215" s="241"/>
      <c r="R215" s="38"/>
      <c r="S215" s="38"/>
      <c r="T215" s="38"/>
      <c r="U215" s="38"/>
      <c r="V215" s="38"/>
      <c r="W215" s="38"/>
      <c r="X215" s="167"/>
      <c r="Y215" s="284" t="s">
        <v>597</v>
      </c>
      <c r="Z215" s="265"/>
    </row>
    <row r="216" spans="1:31" ht="15.75" customHeight="1" x14ac:dyDescent="0.25">
      <c r="A216" s="16"/>
      <c r="B216" s="16"/>
      <c r="C216" s="40" t="s">
        <v>188</v>
      </c>
      <c r="D216" s="96">
        <f>SUM(D201:D215)</f>
        <v>84718</v>
      </c>
      <c r="E216" s="96">
        <f>SUM(E201:E215)</f>
        <v>61753</v>
      </c>
      <c r="F216" s="96">
        <f>SUM(F201:F215)</f>
        <v>5821</v>
      </c>
      <c r="G216" s="59">
        <f t="shared" ref="G216" si="73">SUM(D216:F216)</f>
        <v>152292</v>
      </c>
      <c r="H216" s="96">
        <f>SUM(H201:H215)</f>
        <v>6636</v>
      </c>
      <c r="I216" s="96">
        <f>SUM(I201:I215)</f>
        <v>94956</v>
      </c>
      <c r="J216" s="96">
        <f>SUM(J201:J215)</f>
        <v>117716</v>
      </c>
      <c r="K216" s="96">
        <f>SUM(K201:K215)</f>
        <v>850</v>
      </c>
      <c r="L216" s="74">
        <f>SUM(I216:K216)</f>
        <v>213522</v>
      </c>
      <c r="M216" s="28">
        <f>(L216-G216)</f>
        <v>61230</v>
      </c>
      <c r="N216" s="96">
        <f t="shared" ref="N216:X216" si="74">SUM(N201:N215)</f>
        <v>0</v>
      </c>
      <c r="O216" s="187">
        <f t="shared" si="74"/>
        <v>13921</v>
      </c>
      <c r="P216" s="212">
        <f t="shared" si="74"/>
        <v>6000</v>
      </c>
      <c r="Q216" s="260">
        <f t="shared" si="74"/>
        <v>25000</v>
      </c>
      <c r="R216" s="187">
        <f t="shared" si="74"/>
        <v>0</v>
      </c>
      <c r="S216" s="187">
        <f t="shared" si="74"/>
        <v>0</v>
      </c>
      <c r="T216" s="187">
        <f t="shared" si="74"/>
        <v>0</v>
      </c>
      <c r="U216" s="187">
        <f t="shared" si="74"/>
        <v>0</v>
      </c>
      <c r="V216" s="187">
        <f t="shared" si="74"/>
        <v>0</v>
      </c>
      <c r="W216" s="187">
        <f t="shared" si="74"/>
        <v>0</v>
      </c>
      <c r="X216" s="187">
        <f t="shared" si="74"/>
        <v>0</v>
      </c>
      <c r="Y216" s="280"/>
      <c r="Z216" s="16"/>
      <c r="AA216" s="16"/>
      <c r="AB216" s="16"/>
      <c r="AC216" s="16"/>
      <c r="AD216" s="16"/>
      <c r="AE216" s="16"/>
    </row>
    <row r="217" spans="1:31" ht="15.75" customHeight="1" x14ac:dyDescent="0.25">
      <c r="D217" s="14"/>
      <c r="E217" s="14"/>
      <c r="F217" s="14"/>
      <c r="G217" s="59"/>
      <c r="H217" s="15"/>
      <c r="I217" s="14"/>
      <c r="J217" s="14"/>
      <c r="K217" s="14"/>
      <c r="L217" s="74"/>
      <c r="M217" s="60"/>
      <c r="N217" s="14"/>
      <c r="O217" s="38"/>
      <c r="P217" s="15"/>
      <c r="Q217" s="241"/>
      <c r="R217" s="38"/>
      <c r="S217" s="38"/>
      <c r="T217" s="38"/>
      <c r="U217" s="38"/>
      <c r="V217" s="38"/>
      <c r="W217" s="38"/>
      <c r="X217" s="38"/>
    </row>
    <row r="218" spans="1:31" ht="15.75" customHeight="1" x14ac:dyDescent="0.25">
      <c r="A218" s="6" t="s">
        <v>111</v>
      </c>
      <c r="B218" s="32" t="s">
        <v>117</v>
      </c>
      <c r="C218" s="32" t="s">
        <v>117</v>
      </c>
      <c r="D218" s="74">
        <v>23717</v>
      </c>
      <c r="E218" s="74">
        <v>15014</v>
      </c>
      <c r="F218" s="90">
        <v>1200</v>
      </c>
      <c r="G218" s="59">
        <f t="shared" ref="G218:G219" si="75">SUM(D218:F218)</f>
        <v>39931</v>
      </c>
      <c r="H218" s="90">
        <f>20530-19276</f>
        <v>1254</v>
      </c>
      <c r="I218" s="74">
        <v>19726</v>
      </c>
      <c r="J218" s="74">
        <v>4193</v>
      </c>
      <c r="K218" s="74"/>
      <c r="L218" s="74">
        <f t="shared" ref="L218:L234" si="76">SUM(I218:K218)</f>
        <v>23919</v>
      </c>
      <c r="M218" s="60">
        <f t="shared" ref="M218:M234" si="77">L218-G218</f>
        <v>-16012</v>
      </c>
      <c r="N218" s="90"/>
      <c r="O218" s="102"/>
      <c r="P218" s="90"/>
      <c r="Q218" s="247"/>
      <c r="R218" s="102"/>
      <c r="S218" s="102"/>
      <c r="T218" s="102"/>
      <c r="U218" s="102"/>
      <c r="V218" s="102"/>
      <c r="W218" s="102"/>
      <c r="X218" s="179"/>
    </row>
    <row r="219" spans="1:31" ht="15.75" customHeight="1" x14ac:dyDescent="0.25">
      <c r="A219" s="6" t="s">
        <v>111</v>
      </c>
      <c r="B219" s="32" t="s">
        <v>117</v>
      </c>
      <c r="C219" s="13" t="s">
        <v>230</v>
      </c>
      <c r="D219" s="15"/>
      <c r="E219" s="15"/>
      <c r="F219" s="15"/>
      <c r="G219" s="61">
        <f t="shared" si="75"/>
        <v>0</v>
      </c>
      <c r="H219" s="15"/>
      <c r="I219" s="14"/>
      <c r="J219" s="14">
        <v>7107</v>
      </c>
      <c r="K219" s="14"/>
      <c r="L219" s="14">
        <f t="shared" si="76"/>
        <v>7107</v>
      </c>
      <c r="M219" s="62">
        <f t="shared" si="77"/>
        <v>7107</v>
      </c>
      <c r="N219" s="15"/>
      <c r="O219" s="38"/>
      <c r="P219" s="15"/>
      <c r="Q219" s="241"/>
      <c r="R219" s="38"/>
      <c r="S219" s="38"/>
      <c r="T219" s="38"/>
      <c r="U219" s="38"/>
      <c r="V219" s="38"/>
      <c r="W219" s="38"/>
      <c r="X219" s="167"/>
    </row>
    <row r="220" spans="1:31" ht="15.75" customHeight="1" x14ac:dyDescent="0.25">
      <c r="A220" s="6" t="s">
        <v>111</v>
      </c>
      <c r="B220" s="32" t="s">
        <v>117</v>
      </c>
      <c r="C220" s="13" t="s">
        <v>270</v>
      </c>
      <c r="D220" s="14">
        <v>22697</v>
      </c>
      <c r="E220" s="14">
        <v>21993</v>
      </c>
      <c r="F220" s="14"/>
      <c r="G220" s="61">
        <f t="shared" ref="G220:G224" si="78">SUM(D220:F220)</f>
        <v>44690</v>
      </c>
      <c r="H220" s="15">
        <f>25723-23958</f>
        <v>1765</v>
      </c>
      <c r="I220" s="14">
        <v>23958</v>
      </c>
      <c r="J220" s="14">
        <v>20645</v>
      </c>
      <c r="K220" s="14"/>
      <c r="L220" s="14">
        <f t="shared" si="76"/>
        <v>44603</v>
      </c>
      <c r="M220" s="62">
        <f t="shared" si="77"/>
        <v>-87</v>
      </c>
      <c r="N220" s="15"/>
      <c r="O220" s="38"/>
      <c r="P220" s="15"/>
      <c r="Q220" s="241"/>
      <c r="R220" s="38"/>
      <c r="S220" s="38"/>
      <c r="T220" s="38"/>
      <c r="U220" s="38"/>
      <c r="V220" s="38"/>
      <c r="W220" s="38"/>
      <c r="X220" s="167"/>
    </row>
    <row r="221" spans="1:31" ht="15" customHeight="1" x14ac:dyDescent="0.25">
      <c r="A221" s="6" t="s">
        <v>111</v>
      </c>
      <c r="B221" s="32" t="s">
        <v>117</v>
      </c>
      <c r="C221" s="13" t="s">
        <v>98</v>
      </c>
      <c r="D221" s="14">
        <v>52682</v>
      </c>
      <c r="E221" s="14">
        <v>25105</v>
      </c>
      <c r="F221" s="14"/>
      <c r="G221" s="61">
        <f t="shared" si="78"/>
        <v>77787</v>
      </c>
      <c r="H221" s="15">
        <f>67001-65254</f>
        <v>1747</v>
      </c>
      <c r="I221" s="14">
        <v>65254</v>
      </c>
      <c r="J221" s="14">
        <v>46495</v>
      </c>
      <c r="K221" s="14"/>
      <c r="L221" s="14">
        <f t="shared" si="76"/>
        <v>111749</v>
      </c>
      <c r="M221" s="62">
        <f t="shared" si="77"/>
        <v>33962</v>
      </c>
      <c r="N221" s="15"/>
      <c r="O221" s="38"/>
      <c r="P221" s="15"/>
      <c r="Q221" s="241"/>
      <c r="R221" s="38"/>
      <c r="S221" s="38"/>
      <c r="T221" s="38"/>
      <c r="U221" s="38"/>
      <c r="V221" s="38"/>
      <c r="W221" s="38"/>
      <c r="X221" s="167"/>
      <c r="Y221" s="279"/>
    </row>
    <row r="222" spans="1:31" ht="15.75" customHeight="1" x14ac:dyDescent="0.25">
      <c r="A222" s="6" t="s">
        <v>111</v>
      </c>
      <c r="B222" s="32" t="s">
        <v>117</v>
      </c>
      <c r="C222" s="13" t="s">
        <v>271</v>
      </c>
      <c r="D222" s="14">
        <v>5407</v>
      </c>
      <c r="E222" s="14">
        <v>1541</v>
      </c>
      <c r="F222" s="14">
        <v>850</v>
      </c>
      <c r="G222" s="61">
        <f t="shared" si="78"/>
        <v>7798</v>
      </c>
      <c r="H222" s="15">
        <f>6082-5407</f>
        <v>675</v>
      </c>
      <c r="I222" s="14">
        <v>5407</v>
      </c>
      <c r="J222" s="14">
        <v>2411</v>
      </c>
      <c r="K222" s="14">
        <v>850</v>
      </c>
      <c r="L222" s="14">
        <f t="shared" si="76"/>
        <v>8668</v>
      </c>
      <c r="M222" s="62">
        <f t="shared" si="77"/>
        <v>870</v>
      </c>
      <c r="N222" s="15"/>
      <c r="O222" s="38"/>
      <c r="P222" s="15"/>
      <c r="Q222" s="241"/>
      <c r="R222" s="38"/>
      <c r="S222" s="38"/>
      <c r="T222" s="38"/>
      <c r="U222" s="38"/>
      <c r="V222" s="38"/>
      <c r="W222" s="38"/>
      <c r="X222" s="167"/>
    </row>
    <row r="223" spans="1:31" ht="15.75" customHeight="1" x14ac:dyDescent="0.25">
      <c r="A223" s="6" t="s">
        <v>111</v>
      </c>
      <c r="B223" s="32" t="s">
        <v>117</v>
      </c>
      <c r="C223" s="13" t="s">
        <v>272</v>
      </c>
      <c r="D223" s="14">
        <v>29496</v>
      </c>
      <c r="E223" s="14">
        <v>16466</v>
      </c>
      <c r="F223" s="14"/>
      <c r="G223" s="61">
        <f t="shared" si="78"/>
        <v>45962</v>
      </c>
      <c r="H223" s="15">
        <f>43397-42261</f>
        <v>1136</v>
      </c>
      <c r="I223" s="14">
        <v>42261</v>
      </c>
      <c r="J223" s="14">
        <v>22032</v>
      </c>
      <c r="K223" s="14"/>
      <c r="L223" s="14">
        <f t="shared" si="76"/>
        <v>64293</v>
      </c>
      <c r="M223" s="62">
        <f t="shared" si="77"/>
        <v>18331</v>
      </c>
      <c r="N223" s="15"/>
      <c r="O223" s="38"/>
      <c r="P223" s="15"/>
      <c r="Q223" s="241"/>
      <c r="R223" s="38"/>
      <c r="S223" s="38"/>
      <c r="T223" s="38"/>
      <c r="U223" s="38"/>
      <c r="V223" s="38"/>
      <c r="W223" s="38"/>
      <c r="X223" s="167"/>
    </row>
    <row r="224" spans="1:31" ht="15.75" customHeight="1" x14ac:dyDescent="0.25">
      <c r="A224" s="6" t="s">
        <v>111</v>
      </c>
      <c r="B224" s="32" t="s">
        <v>117</v>
      </c>
      <c r="C224" s="13" t="s">
        <v>234</v>
      </c>
      <c r="D224" s="14">
        <v>4140</v>
      </c>
      <c r="E224" s="14">
        <v>1915</v>
      </c>
      <c r="F224" s="15"/>
      <c r="G224" s="61">
        <f t="shared" si="78"/>
        <v>6055</v>
      </c>
      <c r="H224" s="15">
        <v>240</v>
      </c>
      <c r="I224" s="14">
        <v>4140</v>
      </c>
      <c r="J224" s="14">
        <v>1712</v>
      </c>
      <c r="K224" s="14"/>
      <c r="L224" s="14">
        <f t="shared" si="76"/>
        <v>5852</v>
      </c>
      <c r="M224" s="62">
        <f t="shared" si="77"/>
        <v>-203</v>
      </c>
      <c r="N224" s="15"/>
      <c r="O224" s="38"/>
      <c r="P224" s="15"/>
      <c r="Q224" s="241"/>
      <c r="R224" s="38"/>
      <c r="S224" s="38"/>
      <c r="T224" s="38"/>
      <c r="U224" s="38"/>
      <c r="V224" s="38"/>
      <c r="W224" s="38"/>
      <c r="X224" s="167"/>
      <c r="Z224" s="46"/>
    </row>
    <row r="225" spans="1:31" ht="15.75" customHeight="1" x14ac:dyDescent="0.25">
      <c r="A225" s="109"/>
      <c r="B225" s="3"/>
      <c r="C225" s="31" t="s">
        <v>231</v>
      </c>
      <c r="D225" s="98"/>
      <c r="E225" s="98"/>
      <c r="F225" s="98"/>
      <c r="G225" s="41">
        <f t="shared" ref="G225:G233" si="79">SUM(D225:F225)</f>
        <v>0</v>
      </c>
      <c r="H225" s="15"/>
      <c r="I225" s="14"/>
      <c r="J225" s="14"/>
      <c r="K225" s="14"/>
      <c r="L225" s="14">
        <f t="shared" ref="L225:L233" si="80">SUM(I225:K225)</f>
        <v>0</v>
      </c>
      <c r="M225" s="62">
        <f t="shared" ref="M225:M233" si="81">(L225-G225)</f>
        <v>0</v>
      </c>
      <c r="N225" s="14"/>
      <c r="O225" s="38"/>
      <c r="P225" s="15"/>
      <c r="Q225" s="241"/>
      <c r="R225" s="38"/>
      <c r="S225" s="38"/>
      <c r="T225" s="38"/>
      <c r="U225" s="38"/>
      <c r="V225" s="38"/>
      <c r="W225" s="38"/>
      <c r="X225" s="167"/>
    </row>
    <row r="226" spans="1:31" ht="15.75" customHeight="1" x14ac:dyDescent="0.25">
      <c r="A226" s="109"/>
      <c r="B226" s="3"/>
      <c r="C226" s="13" t="s">
        <v>637</v>
      </c>
      <c r="D226" s="98"/>
      <c r="E226" s="98"/>
      <c r="F226" s="98"/>
      <c r="G226" s="41">
        <f t="shared" si="79"/>
        <v>0</v>
      </c>
      <c r="H226" s="15"/>
      <c r="I226" s="14"/>
      <c r="J226" s="14"/>
      <c r="K226" s="14"/>
      <c r="L226" s="14">
        <f t="shared" si="80"/>
        <v>0</v>
      </c>
      <c r="M226" s="62">
        <f t="shared" si="81"/>
        <v>0</v>
      </c>
      <c r="N226" s="14"/>
      <c r="O226" s="38"/>
      <c r="P226" s="15"/>
      <c r="Q226" s="241">
        <v>1850</v>
      </c>
      <c r="R226" s="38"/>
      <c r="S226" s="38"/>
      <c r="T226" s="38"/>
      <c r="U226" s="38"/>
      <c r="V226" s="38"/>
      <c r="W226" s="38"/>
      <c r="X226" s="167"/>
    </row>
    <row r="227" spans="1:31" ht="15.75" customHeight="1" x14ac:dyDescent="0.25">
      <c r="A227" s="109"/>
      <c r="B227" s="3"/>
      <c r="C227" s="13" t="s">
        <v>638</v>
      </c>
      <c r="D227" s="98"/>
      <c r="E227" s="98"/>
      <c r="F227" s="98"/>
      <c r="G227" s="41">
        <f t="shared" si="79"/>
        <v>0</v>
      </c>
      <c r="H227" s="15"/>
      <c r="I227" s="14"/>
      <c r="J227" s="14"/>
      <c r="K227" s="14"/>
      <c r="L227" s="14">
        <f t="shared" si="80"/>
        <v>0</v>
      </c>
      <c r="M227" s="62">
        <f t="shared" si="81"/>
        <v>0</v>
      </c>
      <c r="N227" s="14"/>
      <c r="O227" s="38"/>
      <c r="P227" s="15"/>
      <c r="Q227" s="241">
        <v>10000</v>
      </c>
      <c r="R227" s="38"/>
      <c r="S227" s="38"/>
      <c r="T227" s="38"/>
      <c r="U227" s="38"/>
      <c r="V227" s="38"/>
      <c r="W227" s="38"/>
      <c r="X227" s="167"/>
    </row>
    <row r="228" spans="1:31" ht="15.75" customHeight="1" x14ac:dyDescent="0.25">
      <c r="A228" s="109"/>
      <c r="B228" s="3"/>
      <c r="C228" s="13" t="s">
        <v>273</v>
      </c>
      <c r="D228" s="98"/>
      <c r="E228" s="98"/>
      <c r="F228" s="98"/>
      <c r="G228" s="41">
        <f t="shared" si="79"/>
        <v>0</v>
      </c>
      <c r="H228" s="15"/>
      <c r="I228" s="14"/>
      <c r="J228" s="14"/>
      <c r="K228" s="14"/>
      <c r="L228" s="14">
        <f t="shared" si="80"/>
        <v>0</v>
      </c>
      <c r="M228" s="62">
        <f t="shared" si="81"/>
        <v>0</v>
      </c>
      <c r="N228" s="14"/>
      <c r="O228" s="38"/>
      <c r="P228" s="15">
        <v>3000</v>
      </c>
      <c r="Q228" s="241"/>
      <c r="R228" s="38"/>
      <c r="S228" s="38"/>
      <c r="T228" s="38"/>
      <c r="U228" s="38"/>
      <c r="V228" s="38"/>
      <c r="W228" s="38"/>
      <c r="X228" s="167"/>
    </row>
    <row r="229" spans="1:31" ht="15.75" customHeight="1" x14ac:dyDescent="0.25">
      <c r="A229" s="109"/>
      <c r="B229" s="3"/>
      <c r="C229" s="13" t="s">
        <v>639</v>
      </c>
      <c r="D229" s="98"/>
      <c r="E229" s="98"/>
      <c r="F229" s="98"/>
      <c r="G229" s="41">
        <f t="shared" si="79"/>
        <v>0</v>
      </c>
      <c r="H229" s="15"/>
      <c r="I229" s="14"/>
      <c r="J229" s="14"/>
      <c r="K229" s="14"/>
      <c r="L229" s="14">
        <f t="shared" si="80"/>
        <v>0</v>
      </c>
      <c r="M229" s="62">
        <f t="shared" si="81"/>
        <v>0</v>
      </c>
      <c r="N229" s="14"/>
      <c r="O229" s="38"/>
      <c r="P229" s="15">
        <v>250</v>
      </c>
      <c r="Q229" s="241"/>
      <c r="R229" s="38"/>
      <c r="S229" s="38"/>
      <c r="T229" s="38"/>
      <c r="U229" s="38"/>
      <c r="V229" s="38"/>
      <c r="W229" s="38"/>
      <c r="X229" s="167"/>
    </row>
    <row r="230" spans="1:31" ht="15.75" customHeight="1" x14ac:dyDescent="0.25">
      <c r="A230" s="109"/>
      <c r="B230" s="3"/>
      <c r="C230" s="13" t="s">
        <v>640</v>
      </c>
      <c r="D230" s="98"/>
      <c r="E230" s="98"/>
      <c r="F230" s="98"/>
      <c r="G230" s="41">
        <f t="shared" si="79"/>
        <v>0</v>
      </c>
      <c r="H230" s="15"/>
      <c r="I230" s="14"/>
      <c r="J230" s="14"/>
      <c r="K230" s="14"/>
      <c r="L230" s="14">
        <f t="shared" si="80"/>
        <v>0</v>
      </c>
      <c r="M230" s="62">
        <f t="shared" si="81"/>
        <v>0</v>
      </c>
      <c r="N230" s="14"/>
      <c r="O230" s="38"/>
      <c r="P230" s="15">
        <v>250</v>
      </c>
      <c r="Q230" s="241"/>
      <c r="R230" s="38"/>
      <c r="S230" s="38"/>
      <c r="T230" s="38"/>
      <c r="U230" s="38"/>
      <c r="V230" s="38"/>
      <c r="W230" s="38"/>
      <c r="X230" s="167"/>
    </row>
    <row r="231" spans="1:31" ht="15.75" customHeight="1" x14ac:dyDescent="0.25">
      <c r="A231" s="109"/>
      <c r="B231" s="3"/>
      <c r="C231" s="13" t="s">
        <v>641</v>
      </c>
      <c r="D231" s="98"/>
      <c r="E231" s="98"/>
      <c r="F231" s="98"/>
      <c r="G231" s="41">
        <f t="shared" si="79"/>
        <v>0</v>
      </c>
      <c r="H231" s="15"/>
      <c r="I231" s="14"/>
      <c r="J231" s="14"/>
      <c r="K231" s="14"/>
      <c r="L231" s="14">
        <f t="shared" si="80"/>
        <v>0</v>
      </c>
      <c r="M231" s="62">
        <f t="shared" si="81"/>
        <v>0</v>
      </c>
      <c r="N231" s="14"/>
      <c r="O231" s="38"/>
      <c r="P231" s="15">
        <v>870</v>
      </c>
      <c r="Q231" s="241"/>
      <c r="R231" s="38"/>
      <c r="S231" s="38"/>
      <c r="T231" s="38"/>
      <c r="U231" s="38"/>
      <c r="V231" s="38"/>
      <c r="W231" s="38"/>
      <c r="X231" s="167"/>
    </row>
    <row r="232" spans="1:31" ht="15.75" customHeight="1" x14ac:dyDescent="0.25">
      <c r="A232" s="109"/>
      <c r="B232" s="3"/>
      <c r="C232" s="13" t="s">
        <v>642</v>
      </c>
      <c r="D232" s="98"/>
      <c r="E232" s="98"/>
      <c r="F232" s="98"/>
      <c r="G232" s="41">
        <f t="shared" si="79"/>
        <v>0</v>
      </c>
      <c r="H232" s="15"/>
      <c r="I232" s="14"/>
      <c r="J232" s="14"/>
      <c r="K232" s="14"/>
      <c r="L232" s="14">
        <f t="shared" si="80"/>
        <v>0</v>
      </c>
      <c r="M232" s="62">
        <f t="shared" si="81"/>
        <v>0</v>
      </c>
      <c r="N232" s="14"/>
      <c r="O232" s="38"/>
      <c r="P232" s="15">
        <v>660</v>
      </c>
      <c r="Q232" s="241"/>
      <c r="R232" s="38"/>
      <c r="S232" s="38"/>
      <c r="T232" s="38"/>
      <c r="U232" s="38"/>
      <c r="V232" s="38"/>
      <c r="W232" s="38"/>
      <c r="X232" s="167"/>
    </row>
    <row r="233" spans="1:31" ht="15.75" customHeight="1" x14ac:dyDescent="0.25">
      <c r="A233" s="109"/>
      <c r="B233" s="3"/>
      <c r="C233" s="13" t="s">
        <v>643</v>
      </c>
      <c r="D233" s="98"/>
      <c r="E233" s="98"/>
      <c r="F233" s="98"/>
      <c r="G233" s="41">
        <f t="shared" si="79"/>
        <v>0</v>
      </c>
      <c r="H233" s="15"/>
      <c r="I233" s="14"/>
      <c r="J233" s="14"/>
      <c r="K233" s="14"/>
      <c r="L233" s="14">
        <f t="shared" si="80"/>
        <v>0</v>
      </c>
      <c r="M233" s="62">
        <f t="shared" si="81"/>
        <v>0</v>
      </c>
      <c r="N233" s="14"/>
      <c r="O233" s="38"/>
      <c r="P233" s="15">
        <v>650</v>
      </c>
      <c r="Q233" s="241"/>
      <c r="R233" s="38"/>
      <c r="S233" s="38"/>
      <c r="T233" s="38"/>
      <c r="U233" s="38"/>
      <c r="V233" s="38"/>
      <c r="W233" s="38"/>
      <c r="X233" s="167"/>
    </row>
    <row r="234" spans="1:31" ht="15.75" customHeight="1" x14ac:dyDescent="0.25">
      <c r="A234" s="16"/>
      <c r="B234" s="16"/>
      <c r="C234" s="40" t="s">
        <v>188</v>
      </c>
      <c r="D234" s="96">
        <f>SUM(D218:D224)</f>
        <v>138139</v>
      </c>
      <c r="E234" s="96">
        <f>SUM(E218:E224)</f>
        <v>82034</v>
      </c>
      <c r="F234" s="96">
        <f>SUM(F218:F224)</f>
        <v>2050</v>
      </c>
      <c r="G234" s="42">
        <f t="shared" ref="G234" si="82">SUM(D234:F234)</f>
        <v>222223</v>
      </c>
      <c r="H234" s="229">
        <f>SUM(H218:H224)</f>
        <v>6817</v>
      </c>
      <c r="I234" s="229">
        <f>SUM(I218:I233)</f>
        <v>160746</v>
      </c>
      <c r="J234" s="229">
        <f t="shared" ref="J234:K234" si="83">SUM(J218:J233)</f>
        <v>104595</v>
      </c>
      <c r="K234" s="229">
        <f t="shared" si="83"/>
        <v>850</v>
      </c>
      <c r="L234" s="229">
        <f t="shared" si="76"/>
        <v>266191</v>
      </c>
      <c r="M234" s="230">
        <f t="shared" si="77"/>
        <v>43968</v>
      </c>
      <c r="N234" s="229">
        <f>SUM(N218:N224)</f>
        <v>0</v>
      </c>
      <c r="O234" s="232">
        <f>SUM(O218:O224)</f>
        <v>0</v>
      </c>
      <c r="P234" s="231">
        <f>SUM(P218:P233)</f>
        <v>5680</v>
      </c>
      <c r="Q234" s="261">
        <f>SUM(Q218:Q233)</f>
        <v>11850</v>
      </c>
      <c r="R234" s="231">
        <f t="shared" ref="R234:X234" si="84">SUM(R218:R233)</f>
        <v>0</v>
      </c>
      <c r="S234" s="231">
        <f t="shared" si="84"/>
        <v>0</v>
      </c>
      <c r="T234" s="231">
        <f t="shared" si="84"/>
        <v>0</v>
      </c>
      <c r="U234" s="231">
        <f t="shared" si="84"/>
        <v>0</v>
      </c>
      <c r="V234" s="231">
        <f t="shared" si="84"/>
        <v>0</v>
      </c>
      <c r="W234" s="231">
        <f t="shared" si="84"/>
        <v>0</v>
      </c>
      <c r="X234" s="231">
        <f t="shared" si="84"/>
        <v>0</v>
      </c>
      <c r="Y234" s="280"/>
      <c r="Z234" s="16"/>
      <c r="AA234" s="16"/>
      <c r="AB234" s="16"/>
      <c r="AC234" s="16"/>
      <c r="AD234" s="16"/>
      <c r="AE234" s="16"/>
    </row>
    <row r="235" spans="1:31" ht="15.75" customHeight="1" x14ac:dyDescent="0.25">
      <c r="A235" s="16"/>
      <c r="B235" s="16"/>
      <c r="C235" s="44"/>
      <c r="D235" s="99"/>
      <c r="E235" s="99"/>
      <c r="F235" s="99"/>
      <c r="G235" s="94"/>
      <c r="H235" s="19"/>
      <c r="I235" s="18"/>
      <c r="J235" s="18"/>
      <c r="K235" s="18"/>
      <c r="L235" s="18"/>
      <c r="M235" s="95"/>
      <c r="N235" s="18"/>
      <c r="O235" s="168"/>
      <c r="P235" s="19"/>
      <c r="Q235" s="242"/>
      <c r="R235" s="168"/>
      <c r="S235" s="168"/>
      <c r="T235" s="168"/>
      <c r="U235" s="168"/>
      <c r="V235" s="168"/>
      <c r="W235" s="168"/>
      <c r="X235" s="169"/>
      <c r="Y235" s="280"/>
      <c r="Z235" s="16"/>
      <c r="AA235" s="16"/>
      <c r="AB235" s="16"/>
      <c r="AC235" s="16"/>
      <c r="AD235" s="16"/>
      <c r="AE235" s="16"/>
    </row>
    <row r="236" spans="1:31" ht="15.75" customHeight="1" x14ac:dyDescent="0.25">
      <c r="A236" s="6" t="s">
        <v>111</v>
      </c>
      <c r="B236" s="32" t="s">
        <v>113</v>
      </c>
      <c r="C236" s="32" t="s">
        <v>113</v>
      </c>
      <c r="D236" s="74">
        <v>30057</v>
      </c>
      <c r="E236" s="74">
        <v>5172</v>
      </c>
      <c r="F236" s="90"/>
      <c r="G236" s="59">
        <f t="shared" ref="G236:G244" si="85">SUM(D236:F236)</f>
        <v>35229</v>
      </c>
      <c r="H236" s="90">
        <f>35588-30057</f>
        <v>5531</v>
      </c>
      <c r="I236" s="74">
        <v>30057</v>
      </c>
      <c r="J236" s="74">
        <v>1433</v>
      </c>
      <c r="K236" s="91"/>
      <c r="L236" s="74">
        <f t="shared" ref="L236:L245" si="86">SUM(I236:K236)</f>
        <v>31490</v>
      </c>
      <c r="M236" s="60">
        <f t="shared" ref="M236:M245" si="87">L236-G236</f>
        <v>-3739</v>
      </c>
      <c r="N236" s="90"/>
      <c r="O236" s="102"/>
      <c r="P236" s="90"/>
      <c r="Q236" s="247"/>
      <c r="R236" s="102"/>
      <c r="S236" s="102"/>
      <c r="T236" s="102"/>
      <c r="U236" s="102"/>
      <c r="V236" s="102"/>
      <c r="W236" s="102"/>
      <c r="X236" s="179"/>
    </row>
    <row r="237" spans="1:31" ht="15.75" customHeight="1" x14ac:dyDescent="0.25">
      <c r="A237" s="6" t="s">
        <v>111</v>
      </c>
      <c r="B237" s="32" t="s">
        <v>113</v>
      </c>
      <c r="C237" s="13" t="s">
        <v>230</v>
      </c>
      <c r="D237" s="14"/>
      <c r="E237" s="14"/>
      <c r="F237" s="15"/>
      <c r="G237" s="61">
        <f t="shared" si="85"/>
        <v>0</v>
      </c>
      <c r="H237" s="15"/>
      <c r="I237" s="14"/>
      <c r="J237" s="14">
        <v>1300</v>
      </c>
      <c r="K237" s="14"/>
      <c r="L237" s="14">
        <f t="shared" si="86"/>
        <v>1300</v>
      </c>
      <c r="M237" s="62">
        <f t="shared" si="87"/>
        <v>1300</v>
      </c>
      <c r="N237" s="15"/>
      <c r="O237" s="38"/>
      <c r="P237" s="15"/>
      <c r="Q237" s="241"/>
      <c r="R237" s="38"/>
      <c r="S237" s="38"/>
      <c r="T237" s="38"/>
      <c r="U237" s="38"/>
      <c r="V237" s="38"/>
      <c r="W237" s="38"/>
      <c r="X237" s="167"/>
    </row>
    <row r="238" spans="1:31" ht="15.75" customHeight="1" x14ac:dyDescent="0.25">
      <c r="A238" s="6" t="s">
        <v>111</v>
      </c>
      <c r="B238" s="32" t="s">
        <v>113</v>
      </c>
      <c r="C238" s="13" t="s">
        <v>270</v>
      </c>
      <c r="D238" s="14">
        <v>18307</v>
      </c>
      <c r="E238" s="14">
        <v>41378</v>
      </c>
      <c r="F238" s="15"/>
      <c r="G238" s="61">
        <f t="shared" si="85"/>
        <v>59685</v>
      </c>
      <c r="H238" s="15">
        <f>25877-21978</f>
        <v>3899</v>
      </c>
      <c r="I238" s="14">
        <v>21978</v>
      </c>
      <c r="J238" s="14">
        <v>63965</v>
      </c>
      <c r="K238" s="30"/>
      <c r="L238" s="14">
        <f t="shared" si="86"/>
        <v>85943</v>
      </c>
      <c r="M238" s="62">
        <f t="shared" si="87"/>
        <v>26258</v>
      </c>
      <c r="N238" s="15"/>
      <c r="O238" s="38"/>
      <c r="P238" s="15"/>
      <c r="Q238" s="241"/>
      <c r="R238" s="38"/>
      <c r="S238" s="38"/>
      <c r="T238" s="38"/>
      <c r="U238" s="38"/>
      <c r="V238" s="38"/>
      <c r="W238" s="38"/>
      <c r="X238" s="167"/>
    </row>
    <row r="239" spans="1:31" ht="15.75" customHeight="1" x14ac:dyDescent="0.25">
      <c r="A239" s="6" t="s">
        <v>111</v>
      </c>
      <c r="B239" s="32" t="s">
        <v>113</v>
      </c>
      <c r="C239" s="13" t="s">
        <v>98</v>
      </c>
      <c r="D239" s="14">
        <v>29870</v>
      </c>
      <c r="E239" s="14">
        <v>22608</v>
      </c>
      <c r="F239" s="15"/>
      <c r="G239" s="61">
        <f t="shared" si="85"/>
        <v>52478</v>
      </c>
      <c r="H239" s="15">
        <f>36578-38502</f>
        <v>-1924</v>
      </c>
      <c r="I239" s="14">
        <v>38502</v>
      </c>
      <c r="J239" s="14">
        <v>42500</v>
      </c>
      <c r="K239" s="30"/>
      <c r="L239" s="14">
        <f t="shared" si="86"/>
        <v>81002</v>
      </c>
      <c r="M239" s="62">
        <f t="shared" si="87"/>
        <v>28524</v>
      </c>
      <c r="N239" s="15"/>
      <c r="O239" s="38"/>
      <c r="P239" s="15"/>
      <c r="Q239" s="241"/>
      <c r="R239" s="38"/>
      <c r="S239" s="38"/>
      <c r="T239" s="38"/>
      <c r="U239" s="38"/>
      <c r="V239" s="38"/>
      <c r="W239" s="38"/>
      <c r="X239" s="167"/>
    </row>
    <row r="240" spans="1:31" ht="15.75" customHeight="1" x14ac:dyDescent="0.25">
      <c r="A240" s="6" t="s">
        <v>111</v>
      </c>
      <c r="B240" s="32" t="s">
        <v>113</v>
      </c>
      <c r="C240" s="13" t="s">
        <v>274</v>
      </c>
      <c r="D240" s="14">
        <v>14985</v>
      </c>
      <c r="E240" s="14">
        <v>1975</v>
      </c>
      <c r="F240" s="14">
        <v>850</v>
      </c>
      <c r="G240" s="61">
        <f t="shared" si="85"/>
        <v>17810</v>
      </c>
      <c r="H240" s="15">
        <f>18869-16246</f>
        <v>2623</v>
      </c>
      <c r="I240" s="14">
        <v>16246</v>
      </c>
      <c r="J240" s="14">
        <v>1802</v>
      </c>
      <c r="K240" s="14">
        <v>850</v>
      </c>
      <c r="L240" s="14">
        <f t="shared" si="86"/>
        <v>18898</v>
      </c>
      <c r="M240" s="62">
        <f t="shared" si="87"/>
        <v>1088</v>
      </c>
      <c r="N240" s="15"/>
      <c r="O240" s="38"/>
      <c r="P240" s="15"/>
      <c r="Q240" s="241"/>
      <c r="R240" s="38"/>
      <c r="S240" s="38"/>
      <c r="T240" s="38"/>
      <c r="U240" s="38"/>
      <c r="V240" s="38"/>
      <c r="W240" s="38"/>
      <c r="X240" s="167"/>
    </row>
    <row r="241" spans="1:32" ht="15.75" customHeight="1" x14ac:dyDescent="0.25">
      <c r="A241" s="6" t="s">
        <v>111</v>
      </c>
      <c r="B241" s="32" t="s">
        <v>113</v>
      </c>
      <c r="C241" s="13" t="s">
        <v>275</v>
      </c>
      <c r="D241" s="14">
        <v>14367</v>
      </c>
      <c r="E241" s="14">
        <v>2132</v>
      </c>
      <c r="F241" s="14">
        <v>850</v>
      </c>
      <c r="G241" s="61">
        <f t="shared" si="85"/>
        <v>17349</v>
      </c>
      <c r="H241" s="15">
        <f>18251-15257</f>
        <v>2994</v>
      </c>
      <c r="I241" s="14">
        <v>15257</v>
      </c>
      <c r="J241" s="14">
        <v>4183</v>
      </c>
      <c r="K241" s="14">
        <v>850</v>
      </c>
      <c r="L241" s="14">
        <f t="shared" si="86"/>
        <v>20290</v>
      </c>
      <c r="M241" s="62">
        <f t="shared" si="87"/>
        <v>2941</v>
      </c>
      <c r="N241" s="15"/>
      <c r="O241" s="38"/>
      <c r="P241" s="15"/>
      <c r="Q241" s="241"/>
      <c r="R241" s="38"/>
      <c r="S241" s="38"/>
      <c r="T241" s="38"/>
      <c r="U241" s="38"/>
      <c r="V241" s="38"/>
      <c r="W241" s="38"/>
      <c r="X241" s="167"/>
    </row>
    <row r="242" spans="1:32" ht="15.75" customHeight="1" x14ac:dyDescent="0.25">
      <c r="A242" s="6" t="s">
        <v>111</v>
      </c>
      <c r="B242" s="32" t="s">
        <v>113</v>
      </c>
      <c r="C242" s="13" t="s">
        <v>272</v>
      </c>
      <c r="D242" s="14">
        <v>42888</v>
      </c>
      <c r="E242" s="14">
        <v>13394</v>
      </c>
      <c r="F242" s="15"/>
      <c r="G242" s="61">
        <f t="shared" si="85"/>
        <v>56282</v>
      </c>
      <c r="H242" s="15">
        <f>71619-69849</f>
        <v>1770</v>
      </c>
      <c r="I242" s="14">
        <v>69849</v>
      </c>
      <c r="J242" s="14">
        <v>18592</v>
      </c>
      <c r="K242" s="14"/>
      <c r="L242" s="14">
        <f t="shared" si="86"/>
        <v>88441</v>
      </c>
      <c r="M242" s="62">
        <f t="shared" si="87"/>
        <v>32159</v>
      </c>
      <c r="N242" s="14">
        <v>818</v>
      </c>
      <c r="O242" s="38"/>
      <c r="P242" s="15"/>
      <c r="Q242" s="241"/>
      <c r="R242" s="38"/>
      <c r="S242" s="38"/>
      <c r="T242" s="38"/>
      <c r="U242" s="38"/>
      <c r="V242" s="38"/>
      <c r="W242" s="38"/>
      <c r="X242" s="167"/>
    </row>
    <row r="243" spans="1:32" ht="15.75" customHeight="1" x14ac:dyDescent="0.25">
      <c r="A243" s="6" t="s">
        <v>111</v>
      </c>
      <c r="B243" s="32" t="s">
        <v>113</v>
      </c>
      <c r="C243" s="13" t="s">
        <v>234</v>
      </c>
      <c r="D243" s="14">
        <v>13105</v>
      </c>
      <c r="E243" s="14">
        <v>1558</v>
      </c>
      <c r="F243" s="15"/>
      <c r="G243" s="61">
        <f t="shared" si="85"/>
        <v>14663</v>
      </c>
      <c r="H243" s="15"/>
      <c r="I243" s="14">
        <v>366</v>
      </c>
      <c r="J243" s="14"/>
      <c r="K243" s="14"/>
      <c r="L243" s="14">
        <f t="shared" si="86"/>
        <v>366</v>
      </c>
      <c r="M243" s="62">
        <f t="shared" si="87"/>
        <v>-14297</v>
      </c>
      <c r="N243" s="14">
        <v>10488</v>
      </c>
      <c r="O243" s="38"/>
      <c r="P243" s="15"/>
      <c r="Q243" s="241"/>
      <c r="R243" s="38"/>
      <c r="S243" s="38"/>
      <c r="T243" s="38"/>
      <c r="U243" s="38"/>
      <c r="V243" s="38"/>
      <c r="W243" s="38"/>
      <c r="X243" s="167"/>
    </row>
    <row r="244" spans="1:32" ht="15.75" customHeight="1" x14ac:dyDescent="0.25">
      <c r="A244" s="6" t="s">
        <v>111</v>
      </c>
      <c r="B244" s="32" t="s">
        <v>113</v>
      </c>
      <c r="C244" s="13" t="s">
        <v>603</v>
      </c>
      <c r="D244" s="14">
        <v>4218</v>
      </c>
      <c r="E244" s="14">
        <v>660</v>
      </c>
      <c r="F244" s="15"/>
      <c r="G244" s="61">
        <f t="shared" si="85"/>
        <v>4878</v>
      </c>
      <c r="H244" s="15">
        <v>546</v>
      </c>
      <c r="I244" s="14">
        <v>1370</v>
      </c>
      <c r="J244" s="14"/>
      <c r="K244" s="14"/>
      <c r="L244" s="14">
        <f t="shared" si="86"/>
        <v>1370</v>
      </c>
      <c r="M244" s="62">
        <f t="shared" si="87"/>
        <v>-3508</v>
      </c>
      <c r="N244" s="15"/>
      <c r="O244" s="38"/>
      <c r="P244" s="15"/>
      <c r="Q244" s="241"/>
      <c r="R244" s="38"/>
      <c r="S244" s="38"/>
      <c r="T244" s="38"/>
      <c r="U244" s="38"/>
      <c r="V244" s="38"/>
      <c r="W244" s="38"/>
      <c r="X244" s="167"/>
      <c r="Z244" s="46"/>
    </row>
    <row r="245" spans="1:32" ht="15.75" customHeight="1" x14ac:dyDescent="0.25">
      <c r="A245" s="6" t="s">
        <v>111</v>
      </c>
      <c r="B245" s="32" t="s">
        <v>113</v>
      </c>
      <c r="C245" s="13" t="s">
        <v>64</v>
      </c>
      <c r="D245" s="14"/>
      <c r="E245" s="14">
        <v>4697</v>
      </c>
      <c r="F245" s="15"/>
      <c r="G245" s="61">
        <f t="shared" ref="G245" si="88">SUM(D245:F245)</f>
        <v>4697</v>
      </c>
      <c r="H245" s="15"/>
      <c r="I245" s="30"/>
      <c r="J245" s="14">
        <v>7172</v>
      </c>
      <c r="K245" s="14"/>
      <c r="L245" s="14">
        <f t="shared" si="86"/>
        <v>7172</v>
      </c>
      <c r="M245" s="62">
        <f t="shared" si="87"/>
        <v>2475</v>
      </c>
      <c r="N245" s="15"/>
      <c r="O245" s="38"/>
      <c r="P245" s="15"/>
      <c r="Q245" s="241"/>
      <c r="R245" s="38"/>
      <c r="S245" s="38"/>
      <c r="T245" s="38"/>
      <c r="U245" s="38"/>
      <c r="V245" s="38"/>
      <c r="W245" s="38"/>
      <c r="X245" s="167"/>
    </row>
    <row r="246" spans="1:32" ht="15.75" customHeight="1" x14ac:dyDescent="0.25">
      <c r="A246" s="109"/>
      <c r="B246" s="3"/>
      <c r="C246" s="29" t="s">
        <v>231</v>
      </c>
      <c r="D246" s="14"/>
      <c r="E246" s="14"/>
      <c r="F246" s="14"/>
      <c r="G246" s="61">
        <f t="shared" ref="G246:G253" si="89">SUM(D246:F246)</f>
        <v>0</v>
      </c>
      <c r="H246" s="15"/>
      <c r="I246" s="14"/>
      <c r="J246" s="14"/>
      <c r="K246" s="14"/>
      <c r="L246" s="14">
        <f t="shared" ref="L246:L253" si="90">SUM(I246:K246)</f>
        <v>0</v>
      </c>
      <c r="M246" s="62">
        <f t="shared" ref="M246:M252" si="91">(L246-G246)</f>
        <v>0</v>
      </c>
      <c r="N246" s="14"/>
      <c r="O246" s="38"/>
      <c r="P246" s="15"/>
      <c r="Q246" s="241"/>
      <c r="R246" s="38"/>
      <c r="S246" s="38"/>
      <c r="T246" s="38"/>
      <c r="U246" s="38"/>
      <c r="V246" s="38"/>
      <c r="W246" s="38"/>
      <c r="X246" s="167"/>
      <c r="Y246" s="280"/>
      <c r="Z246" s="16"/>
      <c r="AA246" s="16"/>
      <c r="AB246" s="16"/>
      <c r="AC246" s="16"/>
      <c r="AD246" s="16"/>
      <c r="AE246" s="16"/>
    </row>
    <row r="247" spans="1:32" ht="15.75" customHeight="1" x14ac:dyDescent="0.25">
      <c r="A247" s="109"/>
      <c r="B247" s="3"/>
      <c r="C247" s="13" t="s">
        <v>644</v>
      </c>
      <c r="D247" s="14"/>
      <c r="E247" s="14"/>
      <c r="F247" s="14"/>
      <c r="G247" s="61">
        <f t="shared" si="89"/>
        <v>0</v>
      </c>
      <c r="H247" s="15"/>
      <c r="I247" s="14"/>
      <c r="J247" s="14"/>
      <c r="K247" s="14"/>
      <c r="L247" s="14">
        <f t="shared" si="90"/>
        <v>0</v>
      </c>
      <c r="M247" s="62">
        <f t="shared" si="91"/>
        <v>0</v>
      </c>
      <c r="N247" s="14"/>
      <c r="O247" s="38"/>
      <c r="P247" s="15">
        <v>20000</v>
      </c>
      <c r="Q247" s="241"/>
      <c r="R247" s="38"/>
      <c r="S247" s="38"/>
      <c r="T247" s="38"/>
      <c r="U247" s="38"/>
      <c r="V247" s="38"/>
      <c r="W247" s="38"/>
      <c r="X247" s="167"/>
      <c r="Y247" s="280"/>
      <c r="Z247" s="16"/>
      <c r="AA247" s="16"/>
      <c r="AB247" s="16"/>
      <c r="AC247" s="16"/>
      <c r="AD247" s="16"/>
      <c r="AE247" s="16"/>
    </row>
    <row r="248" spans="1:32" ht="15.75" customHeight="1" x14ac:dyDescent="0.25">
      <c r="A248" s="109"/>
      <c r="B248" s="3"/>
      <c r="C248" s="13" t="s">
        <v>645</v>
      </c>
      <c r="D248" s="14"/>
      <c r="E248" s="14"/>
      <c r="F248" s="14"/>
      <c r="G248" s="61">
        <f t="shared" si="89"/>
        <v>0</v>
      </c>
      <c r="H248" s="15"/>
      <c r="I248" s="14"/>
      <c r="J248" s="14"/>
      <c r="K248" s="14"/>
      <c r="L248" s="14">
        <f t="shared" si="90"/>
        <v>0</v>
      </c>
      <c r="M248" s="62">
        <f t="shared" si="91"/>
        <v>0</v>
      </c>
      <c r="N248" s="14"/>
      <c r="O248" s="38"/>
      <c r="P248" s="15"/>
      <c r="Q248" s="241">
        <v>1600</v>
      </c>
      <c r="R248" s="38"/>
      <c r="S248" s="38"/>
      <c r="T248" s="38"/>
      <c r="U248" s="38"/>
      <c r="V248" s="38"/>
      <c r="W248" s="38"/>
      <c r="X248" s="167"/>
      <c r="Y248" s="280"/>
      <c r="Z248" s="16"/>
      <c r="AA248" s="16"/>
      <c r="AB248" s="16"/>
      <c r="AC248" s="16"/>
      <c r="AD248" s="16"/>
      <c r="AE248" s="16"/>
    </row>
    <row r="249" spans="1:32" ht="15.75" customHeight="1" x14ac:dyDescent="0.25">
      <c r="A249" s="109"/>
      <c r="B249" s="3"/>
      <c r="C249" s="13" t="s">
        <v>646</v>
      </c>
      <c r="D249" s="14"/>
      <c r="E249" s="14"/>
      <c r="F249" s="14"/>
      <c r="G249" s="61">
        <f t="shared" si="89"/>
        <v>0</v>
      </c>
      <c r="H249" s="15"/>
      <c r="I249" s="14"/>
      <c r="J249" s="14"/>
      <c r="K249" s="14"/>
      <c r="L249" s="14">
        <f t="shared" si="90"/>
        <v>0</v>
      </c>
      <c r="M249" s="62">
        <f t="shared" si="91"/>
        <v>0</v>
      </c>
      <c r="N249" s="14"/>
      <c r="O249" s="38"/>
      <c r="P249" s="15">
        <v>1500</v>
      </c>
      <c r="Q249" s="241"/>
      <c r="R249" s="38"/>
      <c r="S249" s="38"/>
      <c r="T249" s="38"/>
      <c r="U249" s="38"/>
      <c r="V249" s="38"/>
      <c r="W249" s="38"/>
      <c r="X249" s="167"/>
      <c r="Y249" s="280"/>
      <c r="Z249" s="16"/>
      <c r="AA249" s="16"/>
      <c r="AB249" s="16"/>
      <c r="AC249" s="16"/>
      <c r="AD249" s="16"/>
      <c r="AE249" s="16"/>
    </row>
    <row r="250" spans="1:32" ht="15.75" customHeight="1" x14ac:dyDescent="0.25">
      <c r="A250" s="109"/>
      <c r="B250" s="3"/>
      <c r="C250" s="13" t="s">
        <v>647</v>
      </c>
      <c r="D250" s="14"/>
      <c r="E250" s="14"/>
      <c r="F250" s="14"/>
      <c r="G250" s="61">
        <f t="shared" si="89"/>
        <v>0</v>
      </c>
      <c r="H250" s="15"/>
      <c r="I250" s="14"/>
      <c r="J250" s="14"/>
      <c r="K250" s="14"/>
      <c r="L250" s="14">
        <f t="shared" si="90"/>
        <v>0</v>
      </c>
      <c r="M250" s="62">
        <f t="shared" si="91"/>
        <v>0</v>
      </c>
      <c r="N250" s="14"/>
      <c r="O250" s="264">
        <v>3000</v>
      </c>
      <c r="P250" s="15"/>
      <c r="Q250" s="241"/>
      <c r="R250" s="38"/>
      <c r="S250" s="38"/>
      <c r="T250" s="38"/>
      <c r="U250" s="38"/>
      <c r="V250" s="38"/>
      <c r="W250" s="38"/>
      <c r="X250" s="167"/>
      <c r="Y250" s="284" t="s">
        <v>648</v>
      </c>
      <c r="Z250" s="236"/>
      <c r="AA250" s="236"/>
      <c r="AB250" s="236"/>
      <c r="AC250" s="236"/>
      <c r="AD250" s="236"/>
      <c r="AE250" s="236"/>
      <c r="AF250" s="303"/>
    </row>
    <row r="251" spans="1:32" ht="15.75" customHeight="1" x14ac:dyDescent="0.25">
      <c r="A251" s="109"/>
      <c r="B251" s="3"/>
      <c r="C251" s="13" t="s">
        <v>649</v>
      </c>
      <c r="D251" s="14"/>
      <c r="E251" s="14"/>
      <c r="F251" s="14"/>
      <c r="G251" s="61">
        <f t="shared" si="89"/>
        <v>0</v>
      </c>
      <c r="H251" s="15"/>
      <c r="I251" s="14"/>
      <c r="J251" s="14"/>
      <c r="K251" s="14"/>
      <c r="L251" s="14">
        <f t="shared" si="90"/>
        <v>0</v>
      </c>
      <c r="M251" s="62">
        <f t="shared" si="91"/>
        <v>0</v>
      </c>
      <c r="N251" s="14"/>
      <c r="O251" s="38"/>
      <c r="P251" s="15">
        <v>28600</v>
      </c>
      <c r="Q251" s="241"/>
      <c r="R251" s="38"/>
      <c r="S251" s="38"/>
      <c r="T251" s="38"/>
      <c r="U251" s="38"/>
      <c r="V251" s="38"/>
      <c r="W251" s="38"/>
      <c r="X251" s="167"/>
      <c r="Y251" s="280" t="s">
        <v>650</v>
      </c>
      <c r="Z251" s="16"/>
      <c r="AA251" s="16"/>
      <c r="AB251" s="16"/>
      <c r="AC251" s="16"/>
      <c r="AD251" s="16"/>
      <c r="AE251" s="16"/>
    </row>
    <row r="252" spans="1:32" ht="15.75" customHeight="1" x14ac:dyDescent="0.25">
      <c r="A252" s="109"/>
      <c r="B252" s="3"/>
      <c r="C252" s="13" t="s">
        <v>651</v>
      </c>
      <c r="D252" s="14"/>
      <c r="E252" s="14"/>
      <c r="F252" s="14"/>
      <c r="G252" s="61">
        <f t="shared" si="89"/>
        <v>0</v>
      </c>
      <c r="H252" s="15"/>
      <c r="I252" s="14"/>
      <c r="J252" s="14"/>
      <c r="K252" s="14"/>
      <c r="L252" s="14">
        <f t="shared" si="90"/>
        <v>0</v>
      </c>
      <c r="M252" s="62">
        <f t="shared" si="91"/>
        <v>0</v>
      </c>
      <c r="N252" s="14"/>
      <c r="O252" s="38"/>
      <c r="P252" s="15">
        <v>19400</v>
      </c>
      <c r="Q252" s="241"/>
      <c r="R252" s="38"/>
      <c r="S252" s="38"/>
      <c r="T252" s="38"/>
      <c r="U252" s="38"/>
      <c r="V252" s="38"/>
      <c r="W252" s="38"/>
      <c r="X252" s="167"/>
      <c r="Y252" s="280" t="s">
        <v>650</v>
      </c>
      <c r="Z252" s="16"/>
      <c r="AA252" s="16"/>
      <c r="AB252" s="16"/>
      <c r="AC252" s="16"/>
      <c r="AD252" s="16"/>
      <c r="AE252" s="16"/>
    </row>
    <row r="253" spans="1:32" ht="15.75" customHeight="1" x14ac:dyDescent="0.25">
      <c r="A253" s="16"/>
      <c r="B253" s="16"/>
      <c r="C253" s="40" t="s">
        <v>188</v>
      </c>
      <c r="D253" s="89">
        <f>SUM(D236:D245)</f>
        <v>167797</v>
      </c>
      <c r="E253" s="89">
        <f>SUM(E236:E245)</f>
        <v>93574</v>
      </c>
      <c r="F253" s="89">
        <f>SUM(F236:F245)</f>
        <v>1700</v>
      </c>
      <c r="G253" s="27">
        <f t="shared" si="89"/>
        <v>263071</v>
      </c>
      <c r="H253" s="89">
        <f>SUM(H236:H252)</f>
        <v>15439</v>
      </c>
      <c r="I253" s="89">
        <f>SUM(I236:I252)</f>
        <v>193625</v>
      </c>
      <c r="J253" s="89">
        <f>SUM(J236:J252)</f>
        <v>140947</v>
      </c>
      <c r="K253" s="89">
        <f>SUM(K236:K252)</f>
        <v>1700</v>
      </c>
      <c r="L253" s="89">
        <f t="shared" si="90"/>
        <v>336272</v>
      </c>
      <c r="M253" s="28">
        <f>L253-G253</f>
        <v>73201</v>
      </c>
      <c r="N253" s="89">
        <f>SUM(N236:N252)</f>
        <v>11306</v>
      </c>
      <c r="O253" s="89">
        <f t="shared" ref="O253:P253" si="92">SUM(O236:O252)</f>
        <v>3000</v>
      </c>
      <c r="P253" s="89">
        <f t="shared" si="92"/>
        <v>69500</v>
      </c>
      <c r="Q253" s="246">
        <f t="shared" ref="Q253:X253" si="93">SUM(Q236:Q252)</f>
        <v>1600</v>
      </c>
      <c r="R253" s="210">
        <f t="shared" si="93"/>
        <v>0</v>
      </c>
      <c r="S253" s="210">
        <f t="shared" si="93"/>
        <v>0</v>
      </c>
      <c r="T253" s="210">
        <f t="shared" si="93"/>
        <v>0</v>
      </c>
      <c r="U253" s="210">
        <f t="shared" si="93"/>
        <v>0</v>
      </c>
      <c r="V253" s="210">
        <f t="shared" si="93"/>
        <v>0</v>
      </c>
      <c r="W253" s="210">
        <f t="shared" si="93"/>
        <v>0</v>
      </c>
      <c r="X253" s="210">
        <f t="shared" si="93"/>
        <v>0</v>
      </c>
      <c r="Y253" s="280"/>
      <c r="Z253" s="16"/>
      <c r="AA253" s="16"/>
      <c r="AB253" s="16"/>
      <c r="AC253" s="16"/>
      <c r="AD253" s="16"/>
      <c r="AE253" s="16"/>
    </row>
    <row r="254" spans="1:32" ht="15.75" customHeight="1" x14ac:dyDescent="0.25">
      <c r="A254" s="16"/>
      <c r="B254" s="16"/>
      <c r="C254" s="44"/>
      <c r="D254" s="99"/>
      <c r="E254" s="99"/>
      <c r="F254" s="99"/>
      <c r="G254" s="94"/>
      <c r="H254" s="19"/>
      <c r="I254" s="99"/>
      <c r="J254" s="99"/>
      <c r="K254" s="99"/>
      <c r="L254" s="18"/>
      <c r="M254" s="95"/>
      <c r="N254" s="99"/>
      <c r="O254" s="190"/>
      <c r="P254" s="100"/>
      <c r="Q254" s="250"/>
      <c r="R254" s="190"/>
      <c r="S254" s="190"/>
      <c r="T254" s="190"/>
      <c r="U254" s="190"/>
      <c r="V254" s="190"/>
      <c r="W254" s="190"/>
      <c r="X254" s="191"/>
      <c r="Y254" s="280"/>
      <c r="Z254" s="16"/>
      <c r="AA254" s="16"/>
      <c r="AB254" s="16"/>
      <c r="AC254" s="16"/>
      <c r="AD254" s="16"/>
      <c r="AE254" s="16"/>
    </row>
    <row r="255" spans="1:32" ht="15.75" customHeight="1" x14ac:dyDescent="0.25">
      <c r="A255" s="6" t="s">
        <v>111</v>
      </c>
      <c r="B255" s="32" t="s">
        <v>132</v>
      </c>
      <c r="C255" s="32" t="s">
        <v>132</v>
      </c>
      <c r="D255" s="74">
        <v>17213</v>
      </c>
      <c r="E255" s="74">
        <v>1500</v>
      </c>
      <c r="F255" s="90"/>
      <c r="G255" s="59">
        <f t="shared" ref="G255" si="94">SUM(D255:F255)</f>
        <v>18713</v>
      </c>
      <c r="H255" s="90">
        <f>16228-14881</f>
        <v>1347</v>
      </c>
      <c r="I255" s="74">
        <v>14881</v>
      </c>
      <c r="J255" s="74">
        <v>1002</v>
      </c>
      <c r="K255" s="91"/>
      <c r="L255" s="74">
        <f t="shared" ref="L255:L266" si="95">SUM(I255:K255)</f>
        <v>15883</v>
      </c>
      <c r="M255" s="60">
        <f t="shared" ref="M255:M266" si="96">L255-G255</f>
        <v>-2830</v>
      </c>
      <c r="N255" s="90"/>
      <c r="O255" s="102"/>
      <c r="P255" s="90"/>
      <c r="Q255" s="247"/>
      <c r="R255" s="102"/>
      <c r="S255" s="102"/>
      <c r="T255" s="102"/>
      <c r="U255" s="102"/>
      <c r="V255" s="102"/>
      <c r="W255" s="102"/>
      <c r="X255" s="179"/>
    </row>
    <row r="256" spans="1:32" ht="15.75" customHeight="1" x14ac:dyDescent="0.25">
      <c r="A256" s="6" t="s">
        <v>111</v>
      </c>
      <c r="B256" s="32" t="s">
        <v>132</v>
      </c>
      <c r="C256" s="13" t="s">
        <v>229</v>
      </c>
      <c r="D256" s="15"/>
      <c r="E256" s="14">
        <v>6971</v>
      </c>
      <c r="F256" s="14"/>
      <c r="G256" s="61">
        <f t="shared" ref="G256:G266" si="97">SUM(D256:F256)</f>
        <v>6971</v>
      </c>
      <c r="H256" s="15"/>
      <c r="I256" s="14"/>
      <c r="J256" s="14">
        <v>5105</v>
      </c>
      <c r="K256" s="30"/>
      <c r="L256" s="14">
        <f t="shared" si="95"/>
        <v>5105</v>
      </c>
      <c r="M256" s="62">
        <f t="shared" si="96"/>
        <v>-1866</v>
      </c>
      <c r="N256" s="15"/>
      <c r="O256" s="38"/>
      <c r="P256" s="15"/>
      <c r="Q256" s="241"/>
      <c r="R256" s="38"/>
      <c r="S256" s="38"/>
      <c r="T256" s="38"/>
      <c r="U256" s="38"/>
      <c r="V256" s="38"/>
      <c r="W256" s="38"/>
      <c r="X256" s="167"/>
    </row>
    <row r="257" spans="1:31" ht="15.75" customHeight="1" x14ac:dyDescent="0.25">
      <c r="A257" s="6" t="s">
        <v>111</v>
      </c>
      <c r="B257" s="32" t="s">
        <v>132</v>
      </c>
      <c r="C257" s="13" t="s">
        <v>98</v>
      </c>
      <c r="D257" s="14">
        <v>9492</v>
      </c>
      <c r="E257" s="14">
        <v>6664</v>
      </c>
      <c r="F257" s="14"/>
      <c r="G257" s="61">
        <f t="shared" si="97"/>
        <v>16156</v>
      </c>
      <c r="H257" s="15">
        <f>12900-9784</f>
        <v>3116</v>
      </c>
      <c r="I257" s="14">
        <v>9784</v>
      </c>
      <c r="J257" s="14">
        <v>15545</v>
      </c>
      <c r="K257" s="30"/>
      <c r="L257" s="14">
        <f t="shared" si="95"/>
        <v>25329</v>
      </c>
      <c r="M257" s="62">
        <f t="shared" si="96"/>
        <v>9173</v>
      </c>
      <c r="N257" s="15"/>
      <c r="O257" s="38"/>
      <c r="P257" s="15"/>
      <c r="Q257" s="241"/>
      <c r="R257" s="38"/>
      <c r="S257" s="38"/>
      <c r="T257" s="38"/>
      <c r="U257" s="38"/>
      <c r="V257" s="38"/>
      <c r="W257" s="38"/>
      <c r="X257" s="167"/>
    </row>
    <row r="258" spans="1:31" ht="15.75" customHeight="1" x14ac:dyDescent="0.25">
      <c r="A258" s="6" t="s">
        <v>111</v>
      </c>
      <c r="B258" s="32" t="s">
        <v>132</v>
      </c>
      <c r="C258" s="13" t="s">
        <v>271</v>
      </c>
      <c r="D258" s="14">
        <v>6180</v>
      </c>
      <c r="E258" s="14">
        <v>2080</v>
      </c>
      <c r="F258" s="14">
        <v>850</v>
      </c>
      <c r="G258" s="61">
        <f t="shared" si="97"/>
        <v>9110</v>
      </c>
      <c r="H258" s="15">
        <f>6268-6180</f>
        <v>88</v>
      </c>
      <c r="I258" s="14">
        <v>6180</v>
      </c>
      <c r="J258" s="14">
        <v>1965</v>
      </c>
      <c r="K258" s="14">
        <v>850</v>
      </c>
      <c r="L258" s="14">
        <f t="shared" si="95"/>
        <v>8995</v>
      </c>
      <c r="M258" s="62">
        <f t="shared" si="96"/>
        <v>-115</v>
      </c>
      <c r="N258" s="15"/>
      <c r="O258" s="38"/>
      <c r="P258" s="15"/>
      <c r="Q258" s="241"/>
      <c r="R258" s="38"/>
      <c r="S258" s="38"/>
      <c r="T258" s="38"/>
      <c r="U258" s="38"/>
      <c r="V258" s="38"/>
      <c r="W258" s="38"/>
      <c r="X258" s="167"/>
    </row>
    <row r="259" spans="1:31" ht="15.75" customHeight="1" x14ac:dyDescent="0.25">
      <c r="A259" s="109"/>
      <c r="B259" s="12"/>
      <c r="C259" s="13" t="s">
        <v>276</v>
      </c>
      <c r="D259" s="14"/>
      <c r="E259" s="14"/>
      <c r="F259" s="14"/>
      <c r="G259" s="61">
        <f>SUM(D259:F259)</f>
        <v>0</v>
      </c>
      <c r="H259" s="15"/>
      <c r="I259" s="14">
        <v>366</v>
      </c>
      <c r="J259" s="14">
        <v>611</v>
      </c>
      <c r="K259" s="14"/>
      <c r="L259" s="14">
        <f>SUM(I259:K259)</f>
        <v>977</v>
      </c>
      <c r="M259" s="62">
        <f>(L259-G259)</f>
        <v>977</v>
      </c>
      <c r="N259" s="14">
        <v>10488</v>
      </c>
      <c r="O259" s="38"/>
      <c r="P259" s="15"/>
      <c r="Q259" s="241"/>
      <c r="R259" s="38"/>
      <c r="S259" s="38"/>
      <c r="T259" s="38"/>
      <c r="U259" s="38"/>
      <c r="V259" s="38"/>
      <c r="W259" s="38"/>
      <c r="X259" s="167"/>
    </row>
    <row r="260" spans="1:31" ht="15.75" customHeight="1" x14ac:dyDescent="0.25">
      <c r="A260" s="6" t="s">
        <v>111</v>
      </c>
      <c r="B260" s="32" t="s">
        <v>132</v>
      </c>
      <c r="C260" s="31" t="s">
        <v>652</v>
      </c>
      <c r="D260" s="15"/>
      <c r="E260" s="14"/>
      <c r="F260" s="14"/>
      <c r="G260" s="61">
        <f t="shared" si="97"/>
        <v>0</v>
      </c>
      <c r="H260" s="15"/>
      <c r="I260" s="30"/>
      <c r="J260" s="30"/>
      <c r="K260" s="30"/>
      <c r="L260" s="14">
        <f t="shared" si="95"/>
        <v>0</v>
      </c>
      <c r="M260" s="62">
        <f t="shared" si="96"/>
        <v>0</v>
      </c>
      <c r="N260" s="15"/>
      <c r="O260" s="38"/>
      <c r="P260" s="15"/>
      <c r="Q260" s="241"/>
      <c r="R260" s="38"/>
      <c r="S260" s="38"/>
      <c r="T260" s="38"/>
      <c r="U260" s="38"/>
      <c r="V260" s="38"/>
      <c r="W260" s="38"/>
      <c r="X260" s="167"/>
      <c r="Z260" s="46"/>
    </row>
    <row r="261" spans="1:31" ht="15.75" customHeight="1" x14ac:dyDescent="0.25">
      <c r="A261" s="6" t="s">
        <v>111</v>
      </c>
      <c r="B261" s="32" t="s">
        <v>132</v>
      </c>
      <c r="C261" s="17" t="s">
        <v>653</v>
      </c>
      <c r="D261" s="15"/>
      <c r="E261" s="14"/>
      <c r="F261" s="14"/>
      <c r="G261" s="61">
        <f t="shared" si="97"/>
        <v>0</v>
      </c>
      <c r="H261" s="15"/>
      <c r="I261" s="14"/>
      <c r="J261" s="14"/>
      <c r="K261" s="14"/>
      <c r="L261" s="14">
        <f t="shared" si="95"/>
        <v>0</v>
      </c>
      <c r="M261" s="62">
        <f t="shared" si="96"/>
        <v>0</v>
      </c>
      <c r="N261" s="15"/>
      <c r="O261" s="38"/>
      <c r="P261" s="15"/>
      <c r="Q261" s="241"/>
      <c r="R261" s="38"/>
      <c r="S261" s="38"/>
      <c r="T261" s="38"/>
      <c r="U261" s="38"/>
      <c r="V261" s="38"/>
      <c r="W261" s="38"/>
      <c r="X261" s="167"/>
    </row>
    <row r="262" spans="1:31" ht="15.75" customHeight="1" x14ac:dyDescent="0.25">
      <c r="A262" s="6" t="s">
        <v>111</v>
      </c>
      <c r="B262" s="32" t="s">
        <v>132</v>
      </c>
      <c r="C262" s="17" t="s">
        <v>654</v>
      </c>
      <c r="D262" s="15"/>
      <c r="E262" s="15"/>
      <c r="F262" s="14"/>
      <c r="G262" s="61">
        <f t="shared" si="97"/>
        <v>0</v>
      </c>
      <c r="H262" s="15"/>
      <c r="I262" s="14"/>
      <c r="J262" s="14"/>
      <c r="K262" s="14"/>
      <c r="L262" s="14">
        <f t="shared" si="95"/>
        <v>0</v>
      </c>
      <c r="M262" s="62">
        <f t="shared" si="96"/>
        <v>0</v>
      </c>
      <c r="N262" s="15"/>
      <c r="O262" s="38"/>
      <c r="P262" s="15"/>
      <c r="Q262" s="241"/>
      <c r="R262" s="38"/>
      <c r="S262" s="38"/>
      <c r="T262" s="38"/>
      <c r="U262" s="38"/>
      <c r="V262" s="38"/>
      <c r="W262" s="38"/>
      <c r="X262" s="167"/>
      <c r="Z262" s="46"/>
    </row>
    <row r="263" spans="1:31" ht="15.75" customHeight="1" x14ac:dyDescent="0.25">
      <c r="A263" s="109"/>
      <c r="B263" s="3"/>
      <c r="C263" s="29" t="s">
        <v>231</v>
      </c>
      <c r="D263" s="14"/>
      <c r="E263" s="14"/>
      <c r="F263" s="14"/>
      <c r="G263" s="61">
        <f>SUM(D263:F263)</f>
        <v>0</v>
      </c>
      <c r="H263" s="15"/>
      <c r="I263" s="14"/>
      <c r="J263" s="14"/>
      <c r="K263" s="14"/>
      <c r="L263" s="14">
        <f>SUM(I263:K263)</f>
        <v>0</v>
      </c>
      <c r="M263" s="62">
        <f>(L263-G263)</f>
        <v>0</v>
      </c>
      <c r="N263" s="14"/>
      <c r="O263" s="38"/>
      <c r="P263" s="15"/>
      <c r="Q263" s="241"/>
      <c r="R263" s="38"/>
      <c r="S263" s="38"/>
      <c r="T263" s="38"/>
      <c r="U263" s="38"/>
      <c r="V263" s="38"/>
      <c r="W263" s="38"/>
      <c r="X263" s="167"/>
      <c r="Z263" s="46"/>
    </row>
    <row r="264" spans="1:31" ht="15.75" customHeight="1" x14ac:dyDescent="0.25">
      <c r="A264" s="109"/>
      <c r="B264" s="3"/>
      <c r="C264" s="13" t="s">
        <v>655</v>
      </c>
      <c r="D264" s="14"/>
      <c r="E264" s="14"/>
      <c r="F264" s="14"/>
      <c r="G264" s="61">
        <f>SUM(D264:F264)</f>
        <v>0</v>
      </c>
      <c r="H264" s="15"/>
      <c r="I264" s="14"/>
      <c r="J264" s="14"/>
      <c r="K264" s="14"/>
      <c r="L264" s="14">
        <f>SUM(I264:K264)</f>
        <v>0</v>
      </c>
      <c r="M264" s="62">
        <f>(L264-G264)</f>
        <v>0</v>
      </c>
      <c r="N264" s="14"/>
      <c r="O264" s="38"/>
      <c r="P264" s="15">
        <v>1300</v>
      </c>
      <c r="Q264" s="241"/>
      <c r="R264" s="38"/>
      <c r="S264" s="38"/>
      <c r="T264" s="38"/>
      <c r="U264" s="38"/>
      <c r="V264" s="38"/>
      <c r="W264" s="38"/>
      <c r="X264" s="167"/>
      <c r="Z264" s="46"/>
    </row>
    <row r="265" spans="1:31" ht="15.75" customHeight="1" x14ac:dyDescent="0.25">
      <c r="A265" s="109"/>
      <c r="B265" s="3"/>
      <c r="C265" s="13" t="s">
        <v>656</v>
      </c>
      <c r="D265" s="14"/>
      <c r="E265" s="14"/>
      <c r="F265" s="14"/>
      <c r="G265" s="61">
        <f>SUM(D265:F265)</f>
        <v>0</v>
      </c>
      <c r="H265" s="15"/>
      <c r="I265" s="14"/>
      <c r="J265" s="14"/>
      <c r="K265" s="14"/>
      <c r="L265" s="14">
        <f>SUM(I265:K265)</f>
        <v>0</v>
      </c>
      <c r="M265" s="62">
        <f>(L265-G265)</f>
        <v>0</v>
      </c>
      <c r="N265" s="14"/>
      <c r="O265" s="38"/>
      <c r="P265" s="15">
        <v>700</v>
      </c>
      <c r="Q265" s="241"/>
      <c r="R265" s="38"/>
      <c r="S265" s="38"/>
      <c r="T265" s="38"/>
      <c r="U265" s="38"/>
      <c r="V265" s="38"/>
      <c r="W265" s="38"/>
      <c r="X265" s="167"/>
      <c r="Y265" s="287" t="s">
        <v>650</v>
      </c>
      <c r="Z265" s="46"/>
    </row>
    <row r="266" spans="1:31" ht="15.75" customHeight="1" x14ac:dyDescent="0.25">
      <c r="A266" s="16"/>
      <c r="B266" s="16"/>
      <c r="C266" s="40" t="s">
        <v>188</v>
      </c>
      <c r="D266" s="89">
        <f t="shared" ref="D266:F266" si="98">SUM(D255:D262)</f>
        <v>32885</v>
      </c>
      <c r="E266" s="89">
        <f t="shared" si="98"/>
        <v>17215</v>
      </c>
      <c r="F266" s="89">
        <f t="shared" si="98"/>
        <v>850</v>
      </c>
      <c r="G266" s="27">
        <f t="shared" si="97"/>
        <v>50950</v>
      </c>
      <c r="H266" s="89">
        <f t="shared" ref="H266" si="99">SUM(H255:H262)</f>
        <v>4551</v>
      </c>
      <c r="I266" s="89">
        <f>SUM(I255:I265)</f>
        <v>31211</v>
      </c>
      <c r="J266" s="89">
        <f>SUM(J255:J265)</f>
        <v>24228</v>
      </c>
      <c r="K266" s="89">
        <f>SUM(K255:K265)</f>
        <v>850</v>
      </c>
      <c r="L266" s="89">
        <f t="shared" si="95"/>
        <v>56289</v>
      </c>
      <c r="M266" s="28">
        <f t="shared" si="96"/>
        <v>5339</v>
      </c>
      <c r="N266" s="89">
        <f>SUM(N255:N265)</f>
        <v>10488</v>
      </c>
      <c r="O266" s="107">
        <f t="shared" ref="O266" si="100">SUM(O255:O262)</f>
        <v>0</v>
      </c>
      <c r="P266" s="210">
        <f t="shared" ref="P266:X266" si="101">SUM(P255:P265)</f>
        <v>2000</v>
      </c>
      <c r="Q266" s="246">
        <f t="shared" si="101"/>
        <v>0</v>
      </c>
      <c r="R266" s="210">
        <f t="shared" si="101"/>
        <v>0</v>
      </c>
      <c r="S266" s="210">
        <f t="shared" si="101"/>
        <v>0</v>
      </c>
      <c r="T266" s="210">
        <f t="shared" si="101"/>
        <v>0</v>
      </c>
      <c r="U266" s="210">
        <f t="shared" si="101"/>
        <v>0</v>
      </c>
      <c r="V266" s="210">
        <f t="shared" si="101"/>
        <v>0</v>
      </c>
      <c r="W266" s="210">
        <f t="shared" si="101"/>
        <v>0</v>
      </c>
      <c r="X266" s="210">
        <f t="shared" si="101"/>
        <v>0</v>
      </c>
      <c r="Y266" s="280"/>
      <c r="Z266" s="16"/>
      <c r="AA266" s="16"/>
      <c r="AB266" s="16"/>
      <c r="AC266" s="16"/>
      <c r="AD266" s="16"/>
      <c r="AE266" s="16"/>
    </row>
    <row r="267" spans="1:31" ht="15.75" customHeight="1" x14ac:dyDescent="0.25">
      <c r="A267" s="16"/>
      <c r="B267" s="16"/>
      <c r="C267" s="44"/>
      <c r="D267" s="99"/>
      <c r="E267" s="99"/>
      <c r="F267" s="99"/>
      <c r="G267" s="94"/>
      <c r="H267" s="19"/>
      <c r="I267" s="99"/>
      <c r="J267" s="99"/>
      <c r="K267" s="99"/>
      <c r="L267" s="18"/>
      <c r="M267" s="95"/>
      <c r="N267" s="99"/>
      <c r="O267" s="190"/>
      <c r="P267" s="100"/>
      <c r="Q267" s="250"/>
      <c r="R267" s="190"/>
      <c r="S267" s="190"/>
      <c r="T267" s="190"/>
      <c r="U267" s="190"/>
      <c r="V267" s="190"/>
      <c r="W267" s="190"/>
      <c r="X267" s="191"/>
      <c r="Y267" s="280"/>
      <c r="Z267" s="16"/>
      <c r="AA267" s="16"/>
      <c r="AB267" s="16"/>
      <c r="AC267" s="16"/>
      <c r="AD267" s="16"/>
      <c r="AE267" s="16"/>
    </row>
    <row r="268" spans="1:31" ht="15.75" customHeight="1" x14ac:dyDescent="0.25">
      <c r="A268" s="6" t="s">
        <v>111</v>
      </c>
      <c r="B268" s="32" t="s">
        <v>123</v>
      </c>
      <c r="C268" s="32" t="s">
        <v>123</v>
      </c>
      <c r="D268" s="74">
        <v>14874</v>
      </c>
      <c r="E268" s="74">
        <v>1851</v>
      </c>
      <c r="F268" s="90"/>
      <c r="G268" s="59">
        <f t="shared" ref="G268:G281" si="102">SUM(D268:F268)</f>
        <v>16725</v>
      </c>
      <c r="H268" s="90">
        <f>16895-14835</f>
        <v>2060</v>
      </c>
      <c r="I268" s="74">
        <v>14835</v>
      </c>
      <c r="J268" s="74">
        <v>1217</v>
      </c>
      <c r="K268" s="91"/>
      <c r="L268" s="74">
        <f t="shared" ref="L268:L281" si="103">SUM(I268:K268)</f>
        <v>16052</v>
      </c>
      <c r="M268" s="60">
        <f t="shared" ref="M268:M281" si="104">L268-G268</f>
        <v>-673</v>
      </c>
      <c r="N268" s="90"/>
      <c r="O268" s="102"/>
      <c r="P268" s="90"/>
      <c r="Q268" s="247"/>
      <c r="R268" s="102"/>
      <c r="S268" s="102"/>
      <c r="T268" s="102"/>
      <c r="U268" s="102"/>
      <c r="V268" s="102"/>
      <c r="W268" s="102"/>
      <c r="X268" s="179"/>
    </row>
    <row r="269" spans="1:31" ht="15.75" customHeight="1" x14ac:dyDescent="0.25">
      <c r="A269" s="6" t="s">
        <v>111</v>
      </c>
      <c r="B269" s="32" t="s">
        <v>123</v>
      </c>
      <c r="C269" s="13" t="s">
        <v>230</v>
      </c>
      <c r="D269" s="15"/>
      <c r="E269" s="15"/>
      <c r="F269" s="15"/>
      <c r="G269" s="61">
        <f t="shared" si="102"/>
        <v>0</v>
      </c>
      <c r="H269" s="15"/>
      <c r="I269" s="14"/>
      <c r="J269" s="14"/>
      <c r="K269" s="30"/>
      <c r="L269" s="14">
        <f t="shared" si="103"/>
        <v>0</v>
      </c>
      <c r="M269" s="62">
        <f t="shared" si="104"/>
        <v>0</v>
      </c>
      <c r="N269" s="15"/>
      <c r="O269" s="38"/>
      <c r="P269" s="15"/>
      <c r="Q269" s="241"/>
      <c r="R269" s="38"/>
      <c r="S269" s="38"/>
      <c r="T269" s="38"/>
      <c r="U269" s="38"/>
      <c r="V269" s="38"/>
      <c r="W269" s="38"/>
      <c r="X269" s="167"/>
    </row>
    <row r="270" spans="1:31" ht="15.75" customHeight="1" x14ac:dyDescent="0.25">
      <c r="A270" s="6" t="s">
        <v>111</v>
      </c>
      <c r="B270" s="32" t="s">
        <v>123</v>
      </c>
      <c r="C270" s="13" t="s">
        <v>229</v>
      </c>
      <c r="D270" s="14">
        <v>9269</v>
      </c>
      <c r="E270" s="14">
        <v>21676</v>
      </c>
      <c r="F270" s="14"/>
      <c r="G270" s="61">
        <f t="shared" si="102"/>
        <v>30945</v>
      </c>
      <c r="H270" s="15">
        <f>11365-10295</f>
        <v>1070</v>
      </c>
      <c r="I270" s="14">
        <v>10295</v>
      </c>
      <c r="J270" s="14">
        <v>31540</v>
      </c>
      <c r="K270" s="30"/>
      <c r="L270" s="14">
        <f t="shared" si="103"/>
        <v>41835</v>
      </c>
      <c r="M270" s="62">
        <f t="shared" si="104"/>
        <v>10890</v>
      </c>
      <c r="N270" s="15"/>
      <c r="O270" s="38"/>
      <c r="P270" s="15"/>
      <c r="Q270" s="241"/>
      <c r="R270" s="38"/>
      <c r="S270" s="38"/>
      <c r="T270" s="38"/>
      <c r="U270" s="38"/>
      <c r="V270" s="38"/>
      <c r="W270" s="38"/>
      <c r="X270" s="167"/>
    </row>
    <row r="271" spans="1:31" ht="15.75" customHeight="1" x14ac:dyDescent="0.25">
      <c r="A271" s="6" t="s">
        <v>111</v>
      </c>
      <c r="B271" s="32" t="s">
        <v>123</v>
      </c>
      <c r="C271" s="13" t="s">
        <v>98</v>
      </c>
      <c r="D271" s="14">
        <v>30712</v>
      </c>
      <c r="E271" s="14">
        <v>13592</v>
      </c>
      <c r="F271" s="14"/>
      <c r="G271" s="61">
        <f t="shared" si="102"/>
        <v>44304</v>
      </c>
      <c r="H271" s="15">
        <f>36481-34891</f>
        <v>1590</v>
      </c>
      <c r="I271" s="14">
        <v>34891</v>
      </c>
      <c r="J271" s="14">
        <v>11466</v>
      </c>
      <c r="K271" s="30"/>
      <c r="L271" s="14">
        <f t="shared" si="103"/>
        <v>46357</v>
      </c>
      <c r="M271" s="62">
        <f t="shared" si="104"/>
        <v>2053</v>
      </c>
      <c r="N271" s="15"/>
      <c r="O271" s="38"/>
      <c r="P271" s="15"/>
      <c r="Q271" s="241"/>
      <c r="R271" s="38"/>
      <c r="S271" s="38"/>
      <c r="T271" s="38"/>
      <c r="U271" s="38"/>
      <c r="V271" s="38"/>
      <c r="W271" s="38"/>
      <c r="X271" s="167"/>
    </row>
    <row r="272" spans="1:31" ht="15.75" customHeight="1" x14ac:dyDescent="0.25">
      <c r="A272" s="6" t="s">
        <v>111</v>
      </c>
      <c r="B272" s="32" t="s">
        <v>123</v>
      </c>
      <c r="C272" s="13" t="s">
        <v>272</v>
      </c>
      <c r="D272" s="14">
        <v>13534</v>
      </c>
      <c r="E272" s="14">
        <v>20678</v>
      </c>
      <c r="F272" s="14"/>
      <c r="G272" s="61">
        <f t="shared" si="102"/>
        <v>34212</v>
      </c>
      <c r="H272" s="15">
        <f>22556-20823</f>
        <v>1733</v>
      </c>
      <c r="I272" s="14">
        <v>20823</v>
      </c>
      <c r="J272" s="14">
        <v>37770</v>
      </c>
      <c r="K272" s="30"/>
      <c r="L272" s="14">
        <f t="shared" si="103"/>
        <v>58593</v>
      </c>
      <c r="M272" s="62">
        <f t="shared" si="104"/>
        <v>24381</v>
      </c>
      <c r="N272" s="14">
        <v>409</v>
      </c>
      <c r="O272" s="38"/>
      <c r="P272" s="15"/>
      <c r="Q272" s="241"/>
      <c r="R272" s="38"/>
      <c r="S272" s="38"/>
      <c r="T272" s="38"/>
      <c r="U272" s="38"/>
      <c r="V272" s="38"/>
      <c r="W272" s="38"/>
      <c r="X272" s="167"/>
    </row>
    <row r="273" spans="1:31" ht="15.75" customHeight="1" x14ac:dyDescent="0.25">
      <c r="A273" s="6" t="s">
        <v>111</v>
      </c>
      <c r="B273" s="32" t="s">
        <v>123</v>
      </c>
      <c r="C273" s="13" t="s">
        <v>271</v>
      </c>
      <c r="D273" s="14">
        <v>10162</v>
      </c>
      <c r="E273" s="14">
        <v>4720</v>
      </c>
      <c r="F273" s="14">
        <v>850</v>
      </c>
      <c r="G273" s="61">
        <f t="shared" si="102"/>
        <v>15732</v>
      </c>
      <c r="H273" s="15">
        <f>11979-10042</f>
        <v>1937</v>
      </c>
      <c r="I273" s="14">
        <v>10042</v>
      </c>
      <c r="J273" s="14">
        <v>2214</v>
      </c>
      <c r="K273" s="14">
        <v>850</v>
      </c>
      <c r="L273" s="14">
        <f t="shared" si="103"/>
        <v>13106</v>
      </c>
      <c r="M273" s="62">
        <f t="shared" si="104"/>
        <v>-2626</v>
      </c>
      <c r="N273" s="15"/>
      <c r="O273" s="38"/>
      <c r="P273" s="15"/>
      <c r="Q273" s="241"/>
      <c r="R273" s="38"/>
      <c r="S273" s="38"/>
      <c r="T273" s="38"/>
      <c r="U273" s="38"/>
      <c r="V273" s="38"/>
      <c r="W273" s="38"/>
      <c r="X273" s="167"/>
    </row>
    <row r="274" spans="1:31" ht="15.75" customHeight="1" x14ac:dyDescent="0.25">
      <c r="A274" s="6" t="s">
        <v>111</v>
      </c>
      <c r="B274" s="32" t="s">
        <v>123</v>
      </c>
      <c r="C274" s="13" t="s">
        <v>234</v>
      </c>
      <c r="D274" s="14">
        <v>12882</v>
      </c>
      <c r="E274" s="14">
        <v>5335</v>
      </c>
      <c r="F274" s="14"/>
      <c r="G274" s="61">
        <f t="shared" si="102"/>
        <v>18217</v>
      </c>
      <c r="H274" s="15">
        <v>237</v>
      </c>
      <c r="I274" s="14">
        <v>4620</v>
      </c>
      <c r="J274" s="14">
        <v>3438</v>
      </c>
      <c r="K274" s="30"/>
      <c r="L274" s="14">
        <f t="shared" si="103"/>
        <v>8058</v>
      </c>
      <c r="M274" s="62">
        <f t="shared" si="104"/>
        <v>-10159</v>
      </c>
      <c r="N274" s="14">
        <v>10488</v>
      </c>
      <c r="O274" s="38"/>
      <c r="P274" s="15"/>
      <c r="Q274" s="241"/>
      <c r="R274" s="38"/>
      <c r="S274" s="38"/>
      <c r="T274" s="38"/>
      <c r="U274" s="38"/>
      <c r="V274" s="38"/>
      <c r="W274" s="38"/>
      <c r="X274" s="167"/>
    </row>
    <row r="275" spans="1:31" ht="15.75" customHeight="1" x14ac:dyDescent="0.25">
      <c r="A275" s="6" t="s">
        <v>111</v>
      </c>
      <c r="B275" s="32" t="s">
        <v>123</v>
      </c>
      <c r="C275" s="13" t="s">
        <v>64</v>
      </c>
      <c r="D275" s="14"/>
      <c r="E275" s="14"/>
      <c r="F275" s="14"/>
      <c r="G275" s="61">
        <f t="shared" si="102"/>
        <v>0</v>
      </c>
      <c r="H275" s="15"/>
      <c r="I275" s="14"/>
      <c r="J275" s="14">
        <v>1817</v>
      </c>
      <c r="K275" s="14"/>
      <c r="L275" s="14">
        <f t="shared" si="103"/>
        <v>1817</v>
      </c>
      <c r="M275" s="62">
        <f t="shared" si="104"/>
        <v>1817</v>
      </c>
      <c r="N275" s="15"/>
      <c r="O275" s="38"/>
      <c r="P275" s="15"/>
      <c r="Q275" s="241"/>
      <c r="R275" s="38"/>
      <c r="S275" s="38"/>
      <c r="T275" s="38"/>
      <c r="U275" s="38"/>
      <c r="V275" s="38"/>
      <c r="W275" s="38"/>
      <c r="X275" s="167"/>
      <c r="Z275" s="46"/>
    </row>
    <row r="276" spans="1:31" ht="15.75" customHeight="1" x14ac:dyDescent="0.25">
      <c r="A276" s="6" t="s">
        <v>111</v>
      </c>
      <c r="B276" s="32" t="s">
        <v>123</v>
      </c>
      <c r="C276" s="31" t="s">
        <v>231</v>
      </c>
      <c r="D276" s="14"/>
      <c r="E276" s="14"/>
      <c r="F276" s="14"/>
      <c r="G276" s="61">
        <f t="shared" si="102"/>
        <v>0</v>
      </c>
      <c r="H276" s="15"/>
      <c r="I276" s="14"/>
      <c r="J276" s="14"/>
      <c r="K276" s="14"/>
      <c r="L276" s="14">
        <f t="shared" si="103"/>
        <v>0</v>
      </c>
      <c r="M276" s="62">
        <f t="shared" si="104"/>
        <v>0</v>
      </c>
      <c r="N276" s="15"/>
      <c r="O276" s="38"/>
      <c r="P276" s="15"/>
      <c r="Q276" s="241"/>
      <c r="R276" s="38"/>
      <c r="S276" s="38"/>
      <c r="T276" s="38"/>
      <c r="U276" s="38"/>
      <c r="V276" s="38"/>
      <c r="W276" s="38"/>
      <c r="X276" s="167"/>
    </row>
    <row r="277" spans="1:31" ht="15.75" customHeight="1" x14ac:dyDescent="0.25">
      <c r="A277" s="109"/>
      <c r="B277" s="12"/>
      <c r="C277" s="13" t="s">
        <v>657</v>
      </c>
      <c r="D277" s="14"/>
      <c r="E277" s="14"/>
      <c r="F277" s="14"/>
      <c r="G277" s="61">
        <f>SUM(D277:F277)</f>
        <v>0</v>
      </c>
      <c r="H277" s="15"/>
      <c r="I277" s="14"/>
      <c r="J277" s="14"/>
      <c r="K277" s="14"/>
      <c r="L277" s="14">
        <f>SUM(I277:K277)</f>
        <v>0</v>
      </c>
      <c r="M277" s="62">
        <f>(L277-G277)</f>
        <v>0</v>
      </c>
      <c r="N277" s="14"/>
      <c r="O277" s="38">
        <v>800</v>
      </c>
      <c r="P277" s="15"/>
      <c r="Q277" s="241"/>
      <c r="R277" s="38"/>
      <c r="S277" s="38"/>
      <c r="T277" s="38"/>
      <c r="U277" s="38"/>
      <c r="V277" s="38"/>
      <c r="W277" s="38"/>
      <c r="X277" s="167"/>
    </row>
    <row r="278" spans="1:31" ht="15.75" customHeight="1" x14ac:dyDescent="0.25">
      <c r="A278" s="6" t="s">
        <v>111</v>
      </c>
      <c r="B278" s="32" t="s">
        <v>123</v>
      </c>
      <c r="C278" s="17" t="s">
        <v>658</v>
      </c>
      <c r="D278" s="14"/>
      <c r="E278" s="14"/>
      <c r="F278" s="14"/>
      <c r="G278" s="61">
        <f t="shared" si="102"/>
        <v>0</v>
      </c>
      <c r="H278" s="15"/>
      <c r="I278" s="14"/>
      <c r="J278" s="14"/>
      <c r="K278" s="14"/>
      <c r="L278" s="14">
        <f t="shared" si="103"/>
        <v>0</v>
      </c>
      <c r="M278" s="62">
        <f t="shared" si="104"/>
        <v>0</v>
      </c>
      <c r="N278" s="15"/>
      <c r="O278" s="38"/>
      <c r="P278" s="15"/>
      <c r="Q278" s="241">
        <v>16000</v>
      </c>
      <c r="R278" s="38"/>
      <c r="S278" s="38"/>
      <c r="T278" s="38"/>
      <c r="U278" s="38"/>
      <c r="V278" s="38"/>
      <c r="W278" s="38"/>
      <c r="X278" s="167"/>
    </row>
    <row r="279" spans="1:31" ht="15.75" customHeight="1" x14ac:dyDescent="0.25">
      <c r="A279" s="6" t="s">
        <v>111</v>
      </c>
      <c r="B279" s="32" t="s">
        <v>123</v>
      </c>
      <c r="C279" s="17"/>
      <c r="D279" s="14"/>
      <c r="E279" s="14"/>
      <c r="F279" s="14"/>
      <c r="G279" s="61">
        <f t="shared" si="102"/>
        <v>0</v>
      </c>
      <c r="H279" s="15"/>
      <c r="I279" s="14"/>
      <c r="J279" s="14"/>
      <c r="K279" s="14"/>
      <c r="L279" s="14">
        <f t="shared" si="103"/>
        <v>0</v>
      </c>
      <c r="M279" s="62">
        <f t="shared" si="104"/>
        <v>0</v>
      </c>
      <c r="N279" s="15"/>
      <c r="O279" s="38"/>
      <c r="P279" s="15"/>
      <c r="Q279" s="241"/>
      <c r="R279" s="38"/>
      <c r="S279" s="38"/>
      <c r="T279" s="38"/>
      <c r="U279" s="38"/>
      <c r="V279" s="38"/>
      <c r="W279" s="38"/>
      <c r="X279" s="167"/>
    </row>
    <row r="280" spans="1:31" ht="15.75" customHeight="1" x14ac:dyDescent="0.25">
      <c r="A280" s="6" t="s">
        <v>111</v>
      </c>
      <c r="B280" s="32" t="s">
        <v>123</v>
      </c>
      <c r="C280" s="17"/>
      <c r="D280" s="14"/>
      <c r="E280" s="14"/>
      <c r="F280" s="14"/>
      <c r="G280" s="61">
        <f t="shared" si="102"/>
        <v>0</v>
      </c>
      <c r="H280" s="15"/>
      <c r="I280" s="14"/>
      <c r="J280" s="14"/>
      <c r="K280" s="14"/>
      <c r="L280" s="14">
        <f t="shared" si="103"/>
        <v>0</v>
      </c>
      <c r="M280" s="62">
        <f t="shared" si="104"/>
        <v>0</v>
      </c>
      <c r="N280" s="15"/>
      <c r="O280" s="38"/>
      <c r="P280" s="15"/>
      <c r="Q280" s="241"/>
      <c r="R280" s="38"/>
      <c r="S280" s="38"/>
      <c r="T280" s="38"/>
      <c r="U280" s="38"/>
      <c r="V280" s="38"/>
      <c r="W280" s="38"/>
      <c r="X280" s="167"/>
      <c r="Z280" s="46"/>
    </row>
    <row r="281" spans="1:31" ht="15.75" customHeight="1" x14ac:dyDescent="0.25">
      <c r="A281" s="16"/>
      <c r="B281" s="16"/>
      <c r="C281" s="44" t="s">
        <v>188</v>
      </c>
      <c r="D281" s="74">
        <f t="shared" ref="D281:F281" si="105">SUM(D268:D280)</f>
        <v>91433</v>
      </c>
      <c r="E281" s="74">
        <f t="shared" si="105"/>
        <v>67852</v>
      </c>
      <c r="F281" s="74">
        <f t="shared" si="105"/>
        <v>850</v>
      </c>
      <c r="G281" s="59">
        <f t="shared" si="102"/>
        <v>160135</v>
      </c>
      <c r="H281" s="74">
        <f t="shared" ref="H281:K281" si="106">SUM(H268:H280)</f>
        <v>8627</v>
      </c>
      <c r="I281" s="74">
        <f t="shared" si="106"/>
        <v>95506</v>
      </c>
      <c r="J281" s="74">
        <f>SUM(J268:J280)</f>
        <v>89462</v>
      </c>
      <c r="K281" s="74">
        <f t="shared" si="106"/>
        <v>850</v>
      </c>
      <c r="L281" s="74">
        <f t="shared" si="103"/>
        <v>185818</v>
      </c>
      <c r="M281" s="60">
        <f t="shared" si="104"/>
        <v>25683</v>
      </c>
      <c r="N281" s="74">
        <f t="shared" ref="N281:X281" si="107">SUM(N268:N280)</f>
        <v>10897</v>
      </c>
      <c r="O281" s="102">
        <f t="shared" si="107"/>
        <v>800</v>
      </c>
      <c r="P281" s="90">
        <f>SUM(P268:P280)</f>
        <v>0</v>
      </c>
      <c r="Q281" s="247">
        <f>SUM(Q268:Q280)</f>
        <v>16000</v>
      </c>
      <c r="R281" s="102">
        <f t="shared" si="107"/>
        <v>0</v>
      </c>
      <c r="S281" s="102">
        <f t="shared" si="107"/>
        <v>0</v>
      </c>
      <c r="T281" s="102">
        <f t="shared" si="107"/>
        <v>0</v>
      </c>
      <c r="U281" s="102">
        <f t="shared" si="107"/>
        <v>0</v>
      </c>
      <c r="V281" s="102">
        <f t="shared" si="107"/>
        <v>0</v>
      </c>
      <c r="W281" s="102">
        <f t="shared" si="107"/>
        <v>0</v>
      </c>
      <c r="X281" s="102">
        <f t="shared" si="107"/>
        <v>0</v>
      </c>
      <c r="Y281" s="280"/>
      <c r="Z281" s="16"/>
      <c r="AA281" s="16"/>
      <c r="AB281" s="16"/>
      <c r="AC281" s="16"/>
      <c r="AD281" s="16"/>
      <c r="AE281" s="16"/>
    </row>
    <row r="282" spans="1:31" ht="15.75" customHeight="1" x14ac:dyDescent="0.25">
      <c r="A282" s="16"/>
      <c r="B282" s="16"/>
      <c r="C282" s="201"/>
      <c r="D282" s="149"/>
      <c r="E282" s="149"/>
      <c r="F282" s="149"/>
      <c r="G282" s="150"/>
      <c r="H282" s="213"/>
      <c r="I282" s="149"/>
      <c r="J282" s="149"/>
      <c r="K282" s="149"/>
      <c r="L282" s="149"/>
      <c r="M282" s="202"/>
      <c r="N282" s="149"/>
      <c r="O282" s="197"/>
      <c r="P282" s="213"/>
      <c r="Q282" s="251"/>
      <c r="R282" s="197"/>
      <c r="S282" s="197"/>
      <c r="T282" s="197"/>
      <c r="U282" s="197"/>
      <c r="V282" s="197"/>
      <c r="W282" s="197"/>
      <c r="X282" s="198"/>
      <c r="Y282" s="280"/>
      <c r="Z282" s="16"/>
      <c r="AA282" s="16"/>
      <c r="AB282" s="16"/>
      <c r="AC282" s="16"/>
      <c r="AD282" s="16"/>
      <c r="AE282" s="16"/>
    </row>
    <row r="283" spans="1:31" ht="15.75" customHeight="1" x14ac:dyDescent="0.25">
      <c r="A283" s="6" t="s">
        <v>111</v>
      </c>
      <c r="B283" s="32" t="s">
        <v>124</v>
      </c>
      <c r="C283" s="128" t="s">
        <v>124</v>
      </c>
      <c r="D283" s="14">
        <v>19894</v>
      </c>
      <c r="E283" s="14">
        <v>3523</v>
      </c>
      <c r="F283" s="14"/>
      <c r="G283" s="61">
        <f t="shared" ref="G283:G286" si="108">SUM(D283:F283)</f>
        <v>23417</v>
      </c>
      <c r="H283" s="15">
        <f>25559-19975</f>
        <v>5584</v>
      </c>
      <c r="I283" s="14">
        <v>19975</v>
      </c>
      <c r="J283" s="14">
        <v>1249</v>
      </c>
      <c r="K283" s="14"/>
      <c r="L283" s="14">
        <f t="shared" ref="L283:L290" si="109">SUM(I283:K283)</f>
        <v>21224</v>
      </c>
      <c r="M283" s="62">
        <f t="shared" ref="M283:M308" si="110">L283-G283</f>
        <v>-2193</v>
      </c>
      <c r="N283" s="15"/>
      <c r="O283" s="38"/>
      <c r="P283" s="15"/>
      <c r="Q283" s="241"/>
      <c r="R283" s="38"/>
      <c r="S283" s="38"/>
      <c r="T283" s="38"/>
      <c r="U283" s="38"/>
      <c r="V283" s="38"/>
      <c r="W283" s="38"/>
      <c r="X283" s="176"/>
    </row>
    <row r="284" spans="1:31" ht="15.75" customHeight="1" x14ac:dyDescent="0.25">
      <c r="A284" s="6" t="s">
        <v>111</v>
      </c>
      <c r="B284" s="32" t="s">
        <v>124</v>
      </c>
      <c r="C284" s="129" t="s">
        <v>230</v>
      </c>
      <c r="D284" s="14"/>
      <c r="E284" s="14"/>
      <c r="F284" s="14"/>
      <c r="G284" s="61">
        <f t="shared" si="108"/>
        <v>0</v>
      </c>
      <c r="H284" s="15"/>
      <c r="I284" s="14"/>
      <c r="J284" s="14"/>
      <c r="K284" s="14">
        <v>3574</v>
      </c>
      <c r="L284" s="14">
        <f t="shared" si="109"/>
        <v>3574</v>
      </c>
      <c r="M284" s="62">
        <f t="shared" si="110"/>
        <v>3574</v>
      </c>
      <c r="N284" s="15"/>
      <c r="O284" s="38"/>
      <c r="P284" s="15"/>
      <c r="Q284" s="241"/>
      <c r="R284" s="38"/>
      <c r="S284" s="38"/>
      <c r="T284" s="38"/>
      <c r="U284" s="38"/>
      <c r="V284" s="38"/>
      <c r="W284" s="38"/>
      <c r="X284" s="176"/>
    </row>
    <row r="285" spans="1:31" ht="15.75" customHeight="1" x14ac:dyDescent="0.25">
      <c r="A285" s="6" t="s">
        <v>111</v>
      </c>
      <c r="B285" s="32" t="s">
        <v>124</v>
      </c>
      <c r="C285" s="129" t="s">
        <v>270</v>
      </c>
      <c r="D285" s="14">
        <v>24561</v>
      </c>
      <c r="E285" s="14">
        <v>40129</v>
      </c>
      <c r="F285" s="14"/>
      <c r="G285" s="61">
        <f t="shared" si="108"/>
        <v>64690</v>
      </c>
      <c r="H285" s="15"/>
      <c r="I285" s="14"/>
      <c r="J285" s="14">
        <v>42099</v>
      </c>
      <c r="K285" s="14"/>
      <c r="L285" s="14">
        <f t="shared" si="109"/>
        <v>42099</v>
      </c>
      <c r="M285" s="62">
        <f t="shared" si="110"/>
        <v>-22591</v>
      </c>
      <c r="N285" s="15"/>
      <c r="O285" s="38"/>
      <c r="P285" s="15"/>
      <c r="Q285" s="241"/>
      <c r="R285" s="38"/>
      <c r="S285" s="38"/>
      <c r="T285" s="38"/>
      <c r="U285" s="38"/>
      <c r="V285" s="38"/>
      <c r="W285" s="38"/>
      <c r="X285" s="176"/>
    </row>
    <row r="286" spans="1:31" ht="16.5" customHeight="1" x14ac:dyDescent="0.25">
      <c r="A286" s="6" t="s">
        <v>111</v>
      </c>
      <c r="B286" s="32" t="s">
        <v>124</v>
      </c>
      <c r="C286" s="129" t="s">
        <v>98</v>
      </c>
      <c r="D286" s="14">
        <v>15152</v>
      </c>
      <c r="E286" s="14">
        <v>13009</v>
      </c>
      <c r="F286" s="14"/>
      <c r="G286" s="61">
        <f t="shared" si="108"/>
        <v>28161</v>
      </c>
      <c r="H286" s="15">
        <f>27041-24459</f>
        <v>2582</v>
      </c>
      <c r="I286" s="14">
        <v>24459</v>
      </c>
      <c r="J286" s="14">
        <v>14801</v>
      </c>
      <c r="K286" s="14"/>
      <c r="L286" s="14">
        <f t="shared" si="109"/>
        <v>39260</v>
      </c>
      <c r="M286" s="62">
        <f t="shared" si="110"/>
        <v>11099</v>
      </c>
      <c r="N286" s="15"/>
      <c r="O286" s="38"/>
      <c r="P286" s="15"/>
      <c r="Q286" s="241"/>
      <c r="R286" s="38"/>
      <c r="S286" s="38"/>
      <c r="T286" s="38"/>
      <c r="U286" s="38"/>
      <c r="V286" s="38"/>
      <c r="W286" s="38"/>
      <c r="X286" s="176"/>
      <c r="Y286" s="279"/>
    </row>
    <row r="287" spans="1:31" ht="15.75" customHeight="1" x14ac:dyDescent="0.25">
      <c r="A287" s="6" t="s">
        <v>111</v>
      </c>
      <c r="B287" s="32" t="s">
        <v>124</v>
      </c>
      <c r="C287" s="129" t="s">
        <v>64</v>
      </c>
      <c r="D287" s="14"/>
      <c r="E287" s="14">
        <v>1471</v>
      </c>
      <c r="F287" s="14"/>
      <c r="G287" s="61">
        <f t="shared" ref="G287" si="111">SUM(D287:F287)</f>
        <v>1471</v>
      </c>
      <c r="H287" s="15"/>
      <c r="I287" s="14"/>
      <c r="J287" s="14">
        <v>2912</v>
      </c>
      <c r="K287" s="14"/>
      <c r="L287" s="14">
        <f t="shared" si="109"/>
        <v>2912</v>
      </c>
      <c r="M287" s="62">
        <f t="shared" si="110"/>
        <v>1441</v>
      </c>
      <c r="N287" s="15"/>
      <c r="O287" s="192"/>
      <c r="P287" s="72"/>
      <c r="Q287" s="252"/>
      <c r="R287" s="192"/>
      <c r="S287" s="38"/>
      <c r="T287" s="38"/>
      <c r="U287" s="38"/>
      <c r="V287" s="38"/>
      <c r="W287" s="38"/>
      <c r="X287" s="176"/>
    </row>
    <row r="288" spans="1:31" ht="15.75" customHeight="1" x14ac:dyDescent="0.25">
      <c r="A288" s="6" t="s">
        <v>111</v>
      </c>
      <c r="B288" s="32" t="s">
        <v>124</v>
      </c>
      <c r="C288" s="129" t="s">
        <v>271</v>
      </c>
      <c r="D288" s="14">
        <v>10042</v>
      </c>
      <c r="E288" s="14">
        <v>3252</v>
      </c>
      <c r="F288" s="14">
        <v>850</v>
      </c>
      <c r="G288" s="61">
        <f t="shared" ref="G288:G290" si="112">SUM(D288:F288)</f>
        <v>14144</v>
      </c>
      <c r="H288" s="15">
        <f>12390-10042</f>
        <v>2348</v>
      </c>
      <c r="I288" s="14">
        <v>10042</v>
      </c>
      <c r="J288" s="14">
        <v>4350</v>
      </c>
      <c r="K288" s="14">
        <v>850</v>
      </c>
      <c r="L288" s="14">
        <f t="shared" si="109"/>
        <v>15242</v>
      </c>
      <c r="M288" s="62">
        <f t="shared" si="110"/>
        <v>1098</v>
      </c>
      <c r="N288" s="15"/>
      <c r="O288" s="38"/>
      <c r="P288" s="15"/>
      <c r="Q288" s="241"/>
      <c r="R288" s="38"/>
      <c r="S288" s="38"/>
      <c r="T288" s="38"/>
      <c r="U288" s="38"/>
      <c r="V288" s="38"/>
      <c r="W288" s="38"/>
      <c r="X288" s="176"/>
    </row>
    <row r="289" spans="1:31" ht="15.75" customHeight="1" x14ac:dyDescent="0.25">
      <c r="A289" s="6" t="s">
        <v>111</v>
      </c>
      <c r="B289" s="32" t="s">
        <v>124</v>
      </c>
      <c r="C289" s="129" t="s">
        <v>272</v>
      </c>
      <c r="D289" s="14"/>
      <c r="E289" s="14">
        <v>2928</v>
      </c>
      <c r="F289" s="14"/>
      <c r="G289" s="61">
        <f t="shared" si="112"/>
        <v>2928</v>
      </c>
      <c r="H289" s="15"/>
      <c r="I289" s="14"/>
      <c r="J289" s="14">
        <v>8947</v>
      </c>
      <c r="K289" s="30"/>
      <c r="L289" s="14">
        <f t="shared" si="109"/>
        <v>8947</v>
      </c>
      <c r="M289" s="62">
        <f t="shared" si="110"/>
        <v>6019</v>
      </c>
      <c r="N289" s="15"/>
      <c r="O289" s="38"/>
      <c r="P289" s="15"/>
      <c r="Q289" s="241"/>
      <c r="R289" s="38"/>
      <c r="S289" s="38"/>
      <c r="T289" s="38"/>
      <c r="U289" s="38"/>
      <c r="V289" s="38"/>
      <c r="W289" s="38"/>
      <c r="X289" s="176"/>
    </row>
    <row r="290" spans="1:31" ht="15.75" customHeight="1" x14ac:dyDescent="0.25">
      <c r="A290" s="6" t="s">
        <v>111</v>
      </c>
      <c r="B290" s="32" t="s">
        <v>124</v>
      </c>
      <c r="C290" s="13" t="s">
        <v>277</v>
      </c>
      <c r="D290" s="14">
        <v>12417</v>
      </c>
      <c r="E290" s="14">
        <v>5452</v>
      </c>
      <c r="F290" s="14"/>
      <c r="G290" s="61">
        <f t="shared" si="112"/>
        <v>17869</v>
      </c>
      <c r="H290" s="15">
        <v>689</v>
      </c>
      <c r="I290" s="14">
        <v>12418</v>
      </c>
      <c r="J290" s="14">
        <v>5438</v>
      </c>
      <c r="K290" s="30"/>
      <c r="L290" s="14">
        <f t="shared" si="109"/>
        <v>17856</v>
      </c>
      <c r="M290" s="62">
        <f t="shared" si="110"/>
        <v>-13</v>
      </c>
      <c r="N290" s="15"/>
      <c r="O290" s="38"/>
      <c r="P290" s="15"/>
      <c r="Q290" s="241"/>
      <c r="R290" s="38"/>
      <c r="S290" s="38"/>
      <c r="T290" s="38"/>
      <c r="U290" s="38"/>
      <c r="V290" s="38"/>
      <c r="W290" s="38"/>
      <c r="X290" s="167"/>
    </row>
    <row r="291" spans="1:31" ht="15.75" customHeight="1" x14ac:dyDescent="0.25">
      <c r="A291" s="109"/>
      <c r="B291" s="3"/>
      <c r="C291" s="29" t="s">
        <v>278</v>
      </c>
      <c r="D291" s="98"/>
      <c r="E291" s="98"/>
      <c r="F291" s="98"/>
      <c r="G291" s="41">
        <f t="shared" ref="G291:G297" si="113">SUM(D291:F291)</f>
        <v>0</v>
      </c>
      <c r="H291" s="15"/>
      <c r="I291" s="14"/>
      <c r="J291" s="14"/>
      <c r="K291" s="14"/>
      <c r="L291" s="14">
        <f t="shared" ref="L291:L298" si="114">SUM(I291:K291)</f>
        <v>0</v>
      </c>
      <c r="M291" s="62">
        <f t="shared" ref="M291:M297" si="115">(L291-G291)</f>
        <v>0</v>
      </c>
      <c r="N291" s="14"/>
      <c r="O291" s="38"/>
      <c r="P291" s="15"/>
      <c r="Q291" s="241"/>
      <c r="R291" s="38"/>
      <c r="S291" s="38"/>
      <c r="T291" s="38"/>
      <c r="U291" s="38"/>
      <c r="V291" s="38"/>
      <c r="W291" s="38"/>
      <c r="X291" s="167"/>
    </row>
    <row r="292" spans="1:31" ht="15.75" customHeight="1" x14ac:dyDescent="0.25">
      <c r="A292" s="109"/>
      <c r="B292" s="3"/>
      <c r="C292" s="13" t="s">
        <v>659</v>
      </c>
      <c r="D292" s="98"/>
      <c r="E292" s="98"/>
      <c r="F292" s="98"/>
      <c r="G292" s="41">
        <f t="shared" si="113"/>
        <v>0</v>
      </c>
      <c r="H292" s="15"/>
      <c r="I292" s="14"/>
      <c r="J292" s="14"/>
      <c r="K292" s="14"/>
      <c r="L292" s="14">
        <f t="shared" si="114"/>
        <v>0</v>
      </c>
      <c r="M292" s="62">
        <f t="shared" si="115"/>
        <v>0</v>
      </c>
      <c r="N292" s="14"/>
      <c r="O292" s="38"/>
      <c r="P292" s="15">
        <v>3000</v>
      </c>
      <c r="Q292" s="241"/>
      <c r="R292" s="38"/>
      <c r="S292" s="38"/>
      <c r="T292" s="38"/>
      <c r="U292" s="38"/>
      <c r="V292" s="38"/>
      <c r="W292" s="38"/>
      <c r="X292" s="167"/>
      <c r="Y292" s="277" t="s">
        <v>660</v>
      </c>
    </row>
    <row r="293" spans="1:31" ht="15.75" customHeight="1" x14ac:dyDescent="0.25">
      <c r="A293" s="109"/>
      <c r="B293" s="3"/>
      <c r="C293" s="13" t="s">
        <v>661</v>
      </c>
      <c r="D293" s="98"/>
      <c r="E293" s="98"/>
      <c r="F293" s="98"/>
      <c r="G293" s="41">
        <f t="shared" si="113"/>
        <v>0</v>
      </c>
      <c r="H293" s="15"/>
      <c r="I293" s="14"/>
      <c r="J293" s="14"/>
      <c r="K293" s="14"/>
      <c r="L293" s="14">
        <f t="shared" si="114"/>
        <v>0</v>
      </c>
      <c r="M293" s="62">
        <f t="shared" si="115"/>
        <v>0</v>
      </c>
      <c r="N293" s="14"/>
      <c r="O293" s="264">
        <v>1000</v>
      </c>
      <c r="P293" s="15"/>
      <c r="Q293" s="241"/>
      <c r="R293" s="38"/>
      <c r="S293" s="38"/>
      <c r="T293" s="38"/>
      <c r="U293" s="38"/>
      <c r="V293" s="38"/>
      <c r="W293" s="38"/>
      <c r="X293" s="167"/>
      <c r="Y293" s="288" t="s">
        <v>597</v>
      </c>
      <c r="Z293" s="265"/>
      <c r="AA293" s="265"/>
      <c r="AB293" s="265"/>
    </row>
    <row r="294" spans="1:31" ht="15.75" customHeight="1" x14ac:dyDescent="0.25">
      <c r="A294" s="109"/>
      <c r="B294" s="3"/>
      <c r="C294" s="13" t="s">
        <v>662</v>
      </c>
      <c r="D294" s="98"/>
      <c r="E294" s="98"/>
      <c r="F294" s="98"/>
      <c r="G294" s="41">
        <f t="shared" si="113"/>
        <v>0</v>
      </c>
      <c r="H294" s="15"/>
      <c r="I294" s="14"/>
      <c r="J294" s="14"/>
      <c r="K294" s="14"/>
      <c r="L294" s="14">
        <f t="shared" si="114"/>
        <v>0</v>
      </c>
      <c r="M294" s="62">
        <f t="shared" si="115"/>
        <v>0</v>
      </c>
      <c r="N294" s="14"/>
      <c r="O294" s="38"/>
      <c r="P294" s="15">
        <v>600</v>
      </c>
      <c r="Q294" s="241"/>
      <c r="R294" s="38"/>
      <c r="S294" s="38"/>
      <c r="T294" s="38"/>
      <c r="U294" s="38"/>
      <c r="V294" s="38"/>
      <c r="W294" s="38"/>
      <c r="X294" s="167"/>
    </row>
    <row r="295" spans="1:31" ht="15.75" customHeight="1" x14ac:dyDescent="0.25">
      <c r="A295" s="109"/>
      <c r="B295" s="3"/>
      <c r="C295" s="13" t="s">
        <v>663</v>
      </c>
      <c r="D295" s="98"/>
      <c r="E295" s="98"/>
      <c r="F295" s="98"/>
      <c r="G295" s="41">
        <f t="shared" si="113"/>
        <v>0</v>
      </c>
      <c r="H295" s="15"/>
      <c r="I295" s="14"/>
      <c r="J295" s="14"/>
      <c r="K295" s="14"/>
      <c r="L295" s="14">
        <f t="shared" si="114"/>
        <v>0</v>
      </c>
      <c r="M295" s="62">
        <f t="shared" si="115"/>
        <v>0</v>
      </c>
      <c r="N295" s="14"/>
      <c r="O295" s="38"/>
      <c r="P295" s="15">
        <v>250</v>
      </c>
      <c r="Q295" s="241"/>
      <c r="R295" s="38"/>
      <c r="S295" s="38"/>
      <c r="T295" s="38"/>
      <c r="U295" s="38"/>
      <c r="V295" s="38"/>
      <c r="W295" s="38"/>
      <c r="X295" s="167"/>
    </row>
    <row r="296" spans="1:31" ht="15.75" customHeight="1" x14ac:dyDescent="0.25">
      <c r="A296" s="109"/>
      <c r="B296" s="3"/>
      <c r="C296" s="13" t="s">
        <v>664</v>
      </c>
      <c r="D296" s="98"/>
      <c r="E296" s="98"/>
      <c r="F296" s="98"/>
      <c r="G296" s="41">
        <f t="shared" si="113"/>
        <v>0</v>
      </c>
      <c r="H296" s="15"/>
      <c r="I296" s="14"/>
      <c r="J296" s="14"/>
      <c r="K296" s="14"/>
      <c r="L296" s="14">
        <f t="shared" si="114"/>
        <v>0</v>
      </c>
      <c r="M296" s="62">
        <f t="shared" si="115"/>
        <v>0</v>
      </c>
      <c r="N296" s="14"/>
      <c r="O296" s="38"/>
      <c r="P296" s="15">
        <v>250</v>
      </c>
      <c r="Q296" s="241"/>
      <c r="R296" s="38"/>
      <c r="S296" s="38"/>
      <c r="T296" s="38"/>
      <c r="U296" s="38"/>
      <c r="V296" s="38"/>
      <c r="W296" s="38"/>
      <c r="X296" s="167"/>
    </row>
    <row r="297" spans="1:31" ht="15.75" customHeight="1" x14ac:dyDescent="0.25">
      <c r="A297" s="109"/>
      <c r="B297" s="3"/>
      <c r="C297" s="13" t="s">
        <v>665</v>
      </c>
      <c r="D297" s="98"/>
      <c r="E297" s="98"/>
      <c r="F297" s="98"/>
      <c r="G297" s="41">
        <f t="shared" si="113"/>
        <v>0</v>
      </c>
      <c r="H297" s="97"/>
      <c r="I297" s="98"/>
      <c r="J297" s="98"/>
      <c r="K297" s="98"/>
      <c r="L297" s="98">
        <f t="shared" si="114"/>
        <v>0</v>
      </c>
      <c r="M297" s="39">
        <f t="shared" si="115"/>
        <v>0</v>
      </c>
      <c r="N297" s="98"/>
      <c r="O297" s="188"/>
      <c r="P297" s="97">
        <v>650</v>
      </c>
      <c r="Q297" s="253"/>
      <c r="R297" s="188"/>
      <c r="S297" s="188"/>
      <c r="T297" s="188"/>
      <c r="U297" s="188"/>
      <c r="V297" s="188"/>
      <c r="W297" s="188"/>
      <c r="X297" s="167"/>
    </row>
    <row r="298" spans="1:31" ht="15.75" customHeight="1" x14ac:dyDescent="0.25">
      <c r="A298" s="16"/>
      <c r="B298" s="16"/>
      <c r="C298" s="40" t="s">
        <v>188</v>
      </c>
      <c r="D298" s="96">
        <f>SUM(D283:D290)</f>
        <v>82066</v>
      </c>
      <c r="E298" s="96">
        <f>SUM(E283:E290)</f>
        <v>69764</v>
      </c>
      <c r="F298" s="96">
        <f>SUM(F283:F290)</f>
        <v>850</v>
      </c>
      <c r="G298" s="42">
        <f t="shared" ref="G298" si="116">SUM(D298:F298)</f>
        <v>152680</v>
      </c>
      <c r="H298" s="92">
        <f>SUM(H283:H290)</f>
        <v>11203</v>
      </c>
      <c r="I298" s="92">
        <f>SUM(I283:I297)</f>
        <v>66894</v>
      </c>
      <c r="J298" s="92">
        <f>SUM(J283:J297)</f>
        <v>79796</v>
      </c>
      <c r="K298" s="92">
        <f>SUM(K283:K297)</f>
        <v>4424</v>
      </c>
      <c r="L298" s="92">
        <f t="shared" si="114"/>
        <v>151114</v>
      </c>
      <c r="M298" s="62">
        <f t="shared" si="110"/>
        <v>-1566</v>
      </c>
      <c r="N298" s="92">
        <f>SUM(N283:N290)</f>
        <v>0</v>
      </c>
      <c r="O298" s="266">
        <f t="shared" ref="O298:X298" si="117">SUM(O283:O297)</f>
        <v>1000</v>
      </c>
      <c r="P298" s="212">
        <f t="shared" si="117"/>
        <v>4750</v>
      </c>
      <c r="Q298" s="260">
        <f t="shared" si="117"/>
        <v>0</v>
      </c>
      <c r="R298" s="212">
        <f t="shared" si="117"/>
        <v>0</v>
      </c>
      <c r="S298" s="212">
        <f t="shared" si="117"/>
        <v>0</v>
      </c>
      <c r="T298" s="212">
        <f t="shared" si="117"/>
        <v>0</v>
      </c>
      <c r="U298" s="212">
        <f t="shared" si="117"/>
        <v>0</v>
      </c>
      <c r="V298" s="212">
        <f t="shared" si="117"/>
        <v>0</v>
      </c>
      <c r="W298" s="212">
        <f t="shared" si="117"/>
        <v>0</v>
      </c>
      <c r="X298" s="212">
        <f t="shared" si="117"/>
        <v>0</v>
      </c>
      <c r="Y298" s="280"/>
      <c r="Z298" s="16"/>
      <c r="AA298" s="16"/>
      <c r="AB298" s="16"/>
      <c r="AC298" s="16"/>
      <c r="AD298" s="16"/>
      <c r="AE298" s="16"/>
    </row>
    <row r="299" spans="1:31" ht="15.75" customHeight="1" x14ac:dyDescent="0.25">
      <c r="A299" s="16"/>
      <c r="B299" s="16"/>
      <c r="C299" s="44"/>
      <c r="D299" s="99"/>
      <c r="E299" s="99"/>
      <c r="F299" s="99"/>
      <c r="G299" s="94"/>
      <c r="H299" s="19"/>
      <c r="I299" s="99"/>
      <c r="J299" s="99"/>
      <c r="K299" s="99"/>
      <c r="L299" s="18"/>
      <c r="M299" s="60">
        <f t="shared" si="110"/>
        <v>0</v>
      </c>
      <c r="N299" s="99"/>
      <c r="O299" s="190"/>
      <c r="P299" s="100"/>
      <c r="Q299" s="250"/>
      <c r="R299" s="190"/>
      <c r="S299" s="190"/>
      <c r="T299" s="190"/>
      <c r="U299" s="190"/>
      <c r="V299" s="190"/>
      <c r="W299" s="190"/>
      <c r="X299" s="191"/>
      <c r="Y299" s="280"/>
      <c r="Z299" s="16"/>
      <c r="AA299" s="16"/>
      <c r="AB299" s="16"/>
      <c r="AC299" s="16"/>
      <c r="AD299" s="16"/>
      <c r="AE299" s="16"/>
    </row>
    <row r="300" spans="1:31" ht="15.75" customHeight="1" x14ac:dyDescent="0.25">
      <c r="A300" s="6" t="s">
        <v>111</v>
      </c>
      <c r="B300" s="32" t="s">
        <v>125</v>
      </c>
      <c r="C300" s="32" t="s">
        <v>125</v>
      </c>
      <c r="D300" s="74">
        <v>21230</v>
      </c>
      <c r="E300" s="74">
        <f>505</f>
        <v>505</v>
      </c>
      <c r="F300" s="74"/>
      <c r="G300" s="59">
        <f t="shared" ref="G300:G306" si="118">SUM(D300:F300)</f>
        <v>21735</v>
      </c>
      <c r="H300" s="90">
        <f>22451-21431</f>
        <v>1020</v>
      </c>
      <c r="I300" s="74">
        <v>21431</v>
      </c>
      <c r="J300" s="74">
        <v>1437</v>
      </c>
      <c r="K300" s="91"/>
      <c r="L300" s="74">
        <f t="shared" ref="L300:L308" si="119">SUM(I300:K300)</f>
        <v>22868</v>
      </c>
      <c r="M300" s="60">
        <f t="shared" si="110"/>
        <v>1133</v>
      </c>
      <c r="N300" s="90"/>
      <c r="O300" s="102"/>
      <c r="P300" s="90"/>
      <c r="Q300" s="247"/>
      <c r="R300" s="102"/>
      <c r="S300" s="102"/>
      <c r="T300" s="102"/>
      <c r="U300" s="102"/>
      <c r="V300" s="102"/>
      <c r="W300" s="102"/>
      <c r="X300" s="179"/>
    </row>
    <row r="301" spans="1:31" ht="15.75" customHeight="1" x14ac:dyDescent="0.25">
      <c r="A301" s="6" t="s">
        <v>111</v>
      </c>
      <c r="B301" s="32" t="s">
        <v>125</v>
      </c>
      <c r="C301" s="13" t="s">
        <v>64</v>
      </c>
      <c r="D301" s="14"/>
      <c r="E301" s="14">
        <v>2576</v>
      </c>
      <c r="F301" s="14"/>
      <c r="G301" s="61">
        <f t="shared" si="118"/>
        <v>2576</v>
      </c>
      <c r="H301" s="15"/>
      <c r="I301" s="14"/>
      <c r="J301" s="14">
        <v>3177</v>
      </c>
      <c r="K301" s="30"/>
      <c r="L301" s="14">
        <f t="shared" si="119"/>
        <v>3177</v>
      </c>
      <c r="M301" s="62">
        <f t="shared" si="110"/>
        <v>601</v>
      </c>
      <c r="N301" s="15"/>
      <c r="O301" s="38"/>
      <c r="P301" s="15"/>
      <c r="Q301" s="241"/>
      <c r="R301" s="38"/>
      <c r="S301" s="38"/>
      <c r="T301" s="38"/>
      <c r="U301" s="38"/>
      <c r="V301" s="38"/>
      <c r="W301" s="38"/>
      <c r="X301" s="167"/>
    </row>
    <row r="302" spans="1:31" ht="15.75" customHeight="1" x14ac:dyDescent="0.25">
      <c r="A302" s="6" t="s">
        <v>111</v>
      </c>
      <c r="B302" s="32" t="s">
        <v>125</v>
      </c>
      <c r="C302" s="13" t="s">
        <v>232</v>
      </c>
      <c r="D302" s="14">
        <v>30325</v>
      </c>
      <c r="E302" s="14">
        <v>17177</v>
      </c>
      <c r="F302" s="14"/>
      <c r="G302" s="61">
        <f t="shared" si="118"/>
        <v>47502</v>
      </c>
      <c r="H302" s="15">
        <f>33421-32149</f>
        <v>1272</v>
      </c>
      <c r="I302" s="14">
        <v>32149</v>
      </c>
      <c r="J302" s="38">
        <v>23155</v>
      </c>
      <c r="K302" s="30"/>
      <c r="L302" s="14">
        <f t="shared" si="119"/>
        <v>55304</v>
      </c>
      <c r="M302" s="62">
        <f t="shared" si="110"/>
        <v>7802</v>
      </c>
      <c r="N302" s="15"/>
      <c r="O302" s="38"/>
      <c r="P302" s="15"/>
      <c r="Q302" s="241"/>
      <c r="R302" s="38"/>
      <c r="S302" s="38"/>
      <c r="T302" s="38"/>
      <c r="U302" s="38"/>
      <c r="V302" s="38"/>
      <c r="W302" s="38"/>
      <c r="X302" s="167"/>
    </row>
    <row r="303" spans="1:31" ht="15.75" customHeight="1" x14ac:dyDescent="0.25">
      <c r="A303" s="6" t="s">
        <v>111</v>
      </c>
      <c r="B303" s="32" t="s">
        <v>125</v>
      </c>
      <c r="C303" s="13" t="s">
        <v>279</v>
      </c>
      <c r="D303" s="14">
        <v>12537</v>
      </c>
      <c r="E303" s="14">
        <v>1390</v>
      </c>
      <c r="F303" s="14"/>
      <c r="G303" s="61">
        <f t="shared" si="118"/>
        <v>13927</v>
      </c>
      <c r="H303" s="15">
        <v>230</v>
      </c>
      <c r="I303" s="14">
        <v>4505</v>
      </c>
      <c r="J303" s="14"/>
      <c r="K303" s="30"/>
      <c r="L303" s="14">
        <f t="shared" si="119"/>
        <v>4505</v>
      </c>
      <c r="M303" s="62">
        <f t="shared" si="110"/>
        <v>-9422</v>
      </c>
      <c r="N303" s="38">
        <v>10488</v>
      </c>
      <c r="O303" s="38"/>
      <c r="P303" s="15"/>
      <c r="Q303" s="241"/>
      <c r="R303" s="38"/>
      <c r="S303" s="38"/>
      <c r="T303" s="38"/>
      <c r="U303" s="38"/>
      <c r="V303" s="38"/>
      <c r="W303" s="38"/>
      <c r="X303" s="167"/>
    </row>
    <row r="304" spans="1:31" ht="15.75" customHeight="1" x14ac:dyDescent="0.25">
      <c r="A304" s="6" t="s">
        <v>111</v>
      </c>
      <c r="B304" s="32" t="s">
        <v>125</v>
      </c>
      <c r="C304" s="13" t="s">
        <v>280</v>
      </c>
      <c r="D304" s="14">
        <v>7415</v>
      </c>
      <c r="E304" s="14">
        <v>2049</v>
      </c>
      <c r="F304" s="14">
        <v>700</v>
      </c>
      <c r="G304" s="61">
        <f t="shared" si="118"/>
        <v>10164</v>
      </c>
      <c r="H304" s="15">
        <f>9443-7415</f>
        <v>2028</v>
      </c>
      <c r="I304" s="14">
        <v>7415</v>
      </c>
      <c r="J304" s="38">
        <v>1575</v>
      </c>
      <c r="K304" s="14">
        <v>850</v>
      </c>
      <c r="L304" s="14">
        <f t="shared" si="119"/>
        <v>9840</v>
      </c>
      <c r="M304" s="62">
        <f t="shared" si="110"/>
        <v>-324</v>
      </c>
      <c r="N304" s="15"/>
      <c r="O304" s="38"/>
      <c r="P304" s="15"/>
      <c r="Q304" s="241"/>
      <c r="R304" s="38"/>
      <c r="S304" s="38"/>
      <c r="T304" s="38"/>
      <c r="U304" s="38"/>
      <c r="V304" s="38"/>
      <c r="W304" s="38"/>
      <c r="X304" s="167"/>
    </row>
    <row r="305" spans="1:31" ht="15.75" customHeight="1" x14ac:dyDescent="0.25">
      <c r="A305" s="6" t="s">
        <v>111</v>
      </c>
      <c r="B305" s="32" t="s">
        <v>125</v>
      </c>
      <c r="C305" s="13" t="s">
        <v>281</v>
      </c>
      <c r="D305" s="14">
        <v>16651</v>
      </c>
      <c r="E305" s="14">
        <v>3436</v>
      </c>
      <c r="F305" s="14"/>
      <c r="G305" s="61">
        <f t="shared" si="118"/>
        <v>20087</v>
      </c>
      <c r="H305" s="15">
        <f>19577-19526</f>
        <v>51</v>
      </c>
      <c r="I305" s="14">
        <v>19526</v>
      </c>
      <c r="J305" s="14">
        <v>3780</v>
      </c>
      <c r="K305" s="14"/>
      <c r="L305" s="14">
        <f t="shared" si="119"/>
        <v>23306</v>
      </c>
      <c r="M305" s="62">
        <f t="shared" si="110"/>
        <v>3219</v>
      </c>
      <c r="N305" s="15"/>
      <c r="O305" s="38"/>
      <c r="P305" s="15"/>
      <c r="Q305" s="241"/>
      <c r="R305" s="38"/>
      <c r="S305" s="38"/>
      <c r="T305" s="38"/>
      <c r="U305" s="38"/>
      <c r="V305" s="38"/>
      <c r="W305" s="38"/>
      <c r="X305" s="167"/>
    </row>
    <row r="306" spans="1:31" ht="15.75" customHeight="1" x14ac:dyDescent="0.25">
      <c r="A306" s="6" t="s">
        <v>111</v>
      </c>
      <c r="B306" s="32" t="s">
        <v>125</v>
      </c>
      <c r="C306" s="13" t="s">
        <v>230</v>
      </c>
      <c r="D306" s="14"/>
      <c r="E306" s="14"/>
      <c r="F306" s="14">
        <v>4393</v>
      </c>
      <c r="G306" s="61">
        <f t="shared" si="118"/>
        <v>4393</v>
      </c>
      <c r="H306" s="15"/>
      <c r="I306" s="14"/>
      <c r="J306" s="14">
        <v>8878</v>
      </c>
      <c r="K306" s="14"/>
      <c r="L306" s="14">
        <f t="shared" si="119"/>
        <v>8878</v>
      </c>
      <c r="M306" s="62">
        <f t="shared" si="110"/>
        <v>4485</v>
      </c>
      <c r="N306" s="15"/>
      <c r="O306" s="38"/>
      <c r="P306" s="15"/>
      <c r="Q306" s="241"/>
      <c r="R306" s="38"/>
      <c r="S306" s="38"/>
      <c r="T306" s="38"/>
      <c r="U306" s="38"/>
      <c r="V306" s="38"/>
      <c r="W306" s="38"/>
      <c r="X306" s="167"/>
    </row>
    <row r="307" spans="1:31" ht="15.75" customHeight="1" x14ac:dyDescent="0.25">
      <c r="A307" s="6" t="s">
        <v>111</v>
      </c>
      <c r="B307" s="32" t="s">
        <v>125</v>
      </c>
      <c r="C307" s="13" t="s">
        <v>270</v>
      </c>
      <c r="D307" s="14">
        <v>7995</v>
      </c>
      <c r="E307" s="14">
        <v>19080</v>
      </c>
      <c r="F307" s="14"/>
      <c r="G307" s="61">
        <f t="shared" ref="G307:G308" si="120">SUM(D307:F307)</f>
        <v>27075</v>
      </c>
      <c r="H307" s="15">
        <f>8215-7995</f>
        <v>220</v>
      </c>
      <c r="I307" s="14">
        <v>7995</v>
      </c>
      <c r="J307" s="14">
        <v>15079</v>
      </c>
      <c r="K307" s="30"/>
      <c r="L307" s="14">
        <f t="shared" si="119"/>
        <v>23074</v>
      </c>
      <c r="M307" s="62">
        <f t="shared" si="110"/>
        <v>-4001</v>
      </c>
      <c r="N307" s="15"/>
      <c r="O307" s="38"/>
      <c r="P307" s="15"/>
      <c r="Q307" s="241"/>
      <c r="R307" s="38"/>
      <c r="S307" s="38"/>
      <c r="T307" s="38"/>
      <c r="U307" s="38"/>
      <c r="V307" s="38"/>
      <c r="W307" s="38"/>
      <c r="X307" s="167"/>
    </row>
    <row r="308" spans="1:31" ht="15.75" customHeight="1" x14ac:dyDescent="0.25">
      <c r="A308" s="6" t="s">
        <v>111</v>
      </c>
      <c r="B308" s="32" t="s">
        <v>125</v>
      </c>
      <c r="C308" s="31" t="s">
        <v>231</v>
      </c>
      <c r="D308" s="14"/>
      <c r="E308" s="14"/>
      <c r="F308" s="14"/>
      <c r="G308" s="61">
        <f t="shared" si="120"/>
        <v>0</v>
      </c>
      <c r="H308" s="15"/>
      <c r="I308" s="14"/>
      <c r="J308" s="14"/>
      <c r="K308" s="30"/>
      <c r="L308" s="14">
        <f t="shared" si="119"/>
        <v>0</v>
      </c>
      <c r="M308" s="62">
        <f t="shared" si="110"/>
        <v>0</v>
      </c>
      <c r="N308" s="15"/>
      <c r="O308" s="38"/>
      <c r="P308" s="15"/>
      <c r="Q308" s="241"/>
      <c r="R308" s="38"/>
      <c r="S308" s="38"/>
      <c r="T308" s="38"/>
      <c r="U308" s="38"/>
      <c r="V308" s="38"/>
      <c r="W308" s="38"/>
      <c r="X308" s="167"/>
      <c r="Z308" s="46"/>
    </row>
    <row r="309" spans="1:31" ht="15.75" customHeight="1" x14ac:dyDescent="0.25">
      <c r="A309" s="6" t="s">
        <v>111</v>
      </c>
      <c r="B309" s="32" t="s">
        <v>125</v>
      </c>
      <c r="C309" s="17" t="s">
        <v>666</v>
      </c>
      <c r="D309" s="15"/>
      <c r="E309" s="14"/>
      <c r="F309" s="15"/>
      <c r="G309" s="61">
        <f>SUM(D309:F309)</f>
        <v>0</v>
      </c>
      <c r="H309" s="15"/>
      <c r="I309" s="30"/>
      <c r="J309" s="14"/>
      <c r="K309" s="30"/>
      <c r="L309" s="14"/>
      <c r="M309" s="62">
        <f>L309-G309</f>
        <v>0</v>
      </c>
      <c r="N309" s="15"/>
      <c r="O309" s="264">
        <v>3374</v>
      </c>
      <c r="P309" s="15"/>
      <c r="Q309" s="241"/>
      <c r="R309" s="38"/>
      <c r="S309" s="38"/>
      <c r="T309" s="38"/>
      <c r="U309" s="38"/>
      <c r="V309" s="38"/>
      <c r="W309" s="38"/>
      <c r="X309" s="167"/>
      <c r="Y309" s="288" t="s">
        <v>667</v>
      </c>
      <c r="Z309" s="265"/>
      <c r="AA309" s="265"/>
    </row>
    <row r="310" spans="1:31" ht="15.75" customHeight="1" x14ac:dyDescent="0.25">
      <c r="A310" s="6" t="s">
        <v>111</v>
      </c>
      <c r="B310" s="32" t="s">
        <v>125</v>
      </c>
      <c r="C310" s="17"/>
      <c r="D310" s="18"/>
      <c r="E310" s="18"/>
      <c r="F310" s="18"/>
      <c r="G310" s="61">
        <f t="shared" ref="G310:G311" si="121">SUM(D310:F310)</f>
        <v>0</v>
      </c>
      <c r="H310" s="15"/>
      <c r="I310" s="20"/>
      <c r="J310" s="18"/>
      <c r="K310" s="18"/>
      <c r="L310" s="14">
        <f t="shared" ref="L310:L311" si="122">SUM(I310:K310)</f>
        <v>0</v>
      </c>
      <c r="M310" s="62">
        <f t="shared" ref="M310:M311" si="123">L310-G310</f>
        <v>0</v>
      </c>
      <c r="N310" s="18"/>
      <c r="O310" s="159"/>
      <c r="P310" s="2"/>
      <c r="Q310" s="1"/>
      <c r="R310" s="159"/>
      <c r="S310" s="38"/>
      <c r="T310" s="168"/>
      <c r="U310" s="38"/>
      <c r="V310" s="38"/>
      <c r="W310" s="38"/>
      <c r="X310" s="167"/>
    </row>
    <row r="311" spans="1:31" ht="15.75" customHeight="1" x14ac:dyDescent="0.25">
      <c r="A311" s="6" t="s">
        <v>111</v>
      </c>
      <c r="B311" s="32" t="s">
        <v>125</v>
      </c>
      <c r="C311" s="13"/>
      <c r="D311" s="18"/>
      <c r="E311" s="18"/>
      <c r="F311" s="18">
        <v>650</v>
      </c>
      <c r="G311" s="61">
        <f t="shared" si="121"/>
        <v>650</v>
      </c>
      <c r="H311" s="15"/>
      <c r="I311" s="20"/>
      <c r="J311" s="14"/>
      <c r="K311" s="14"/>
      <c r="L311" s="14">
        <f t="shared" si="122"/>
        <v>0</v>
      </c>
      <c r="M311" s="62">
        <f t="shared" si="123"/>
        <v>-650</v>
      </c>
      <c r="N311" s="18"/>
      <c r="S311" s="168"/>
      <c r="T311" s="168"/>
      <c r="U311" s="168"/>
      <c r="V311" s="168"/>
      <c r="W311" s="168"/>
      <c r="X311" s="169"/>
      <c r="Y311" s="280"/>
      <c r="Z311" s="18"/>
      <c r="AA311" s="16"/>
      <c r="AB311" s="16"/>
      <c r="AC311" s="16"/>
      <c r="AD311" s="16"/>
      <c r="AE311" s="16"/>
    </row>
    <row r="312" spans="1:31" ht="15.75" customHeight="1" x14ac:dyDescent="0.25">
      <c r="A312" s="16"/>
      <c r="B312" s="16"/>
      <c r="C312" s="40" t="s">
        <v>188</v>
      </c>
      <c r="D312" s="96">
        <f t="shared" ref="D312:F312" si="124">SUM(D300:D311)</f>
        <v>96153</v>
      </c>
      <c r="E312" s="96">
        <f t="shared" si="124"/>
        <v>46213</v>
      </c>
      <c r="F312" s="96">
        <f t="shared" si="124"/>
        <v>5743</v>
      </c>
      <c r="G312" s="42">
        <f>SUM(D312:F312)</f>
        <v>148109</v>
      </c>
      <c r="H312" s="96">
        <f t="shared" ref="H312:K312" si="125">SUM(H300:H311)</f>
        <v>4821</v>
      </c>
      <c r="I312" s="96">
        <f t="shared" si="125"/>
        <v>93021</v>
      </c>
      <c r="J312" s="96">
        <f t="shared" si="125"/>
        <v>57081</v>
      </c>
      <c r="K312" s="96">
        <f t="shared" si="125"/>
        <v>850</v>
      </c>
      <c r="L312" s="96">
        <f>SUM(I312:K312)</f>
        <v>150952</v>
      </c>
      <c r="M312" s="47">
        <f>L312-G312</f>
        <v>2843</v>
      </c>
      <c r="N312" s="96">
        <f t="shared" ref="N312:X312" si="126">SUM(N300:N311)</f>
        <v>10488</v>
      </c>
      <c r="O312" s="187">
        <f t="shared" si="126"/>
        <v>3374</v>
      </c>
      <c r="P312" s="212">
        <f>SUM(P300:P311)</f>
        <v>0</v>
      </c>
      <c r="Q312" s="260">
        <f>SUM(Q300:Q311)</f>
        <v>0</v>
      </c>
      <c r="R312" s="187">
        <f t="shared" si="126"/>
        <v>0</v>
      </c>
      <c r="S312" s="187">
        <f t="shared" si="126"/>
        <v>0</v>
      </c>
      <c r="T312" s="187">
        <f t="shared" si="126"/>
        <v>0</v>
      </c>
      <c r="U312" s="187">
        <f t="shared" si="126"/>
        <v>0</v>
      </c>
      <c r="V312" s="187">
        <f t="shared" si="126"/>
        <v>0</v>
      </c>
      <c r="W312" s="187">
        <f t="shared" si="126"/>
        <v>0</v>
      </c>
      <c r="X312" s="187">
        <f t="shared" si="126"/>
        <v>0</v>
      </c>
      <c r="Y312" s="280"/>
      <c r="Z312" s="16"/>
      <c r="AA312" s="16"/>
      <c r="AB312" s="16"/>
      <c r="AC312" s="16"/>
      <c r="AD312" s="16"/>
      <c r="AE312" s="16"/>
    </row>
    <row r="313" spans="1:31" ht="15.75" customHeight="1" x14ac:dyDescent="0.25">
      <c r="A313" s="16"/>
      <c r="B313" s="16"/>
      <c r="C313" s="44"/>
      <c r="D313" s="99"/>
      <c r="E313" s="99"/>
      <c r="F313" s="99"/>
      <c r="G313" s="94"/>
      <c r="H313" s="19"/>
      <c r="I313" s="99"/>
      <c r="J313" s="99"/>
      <c r="K313" s="99"/>
      <c r="L313" s="18"/>
      <c r="M313" s="95"/>
      <c r="N313" s="99"/>
      <c r="O313" s="190"/>
      <c r="P313" s="100"/>
      <c r="Q313" s="250"/>
      <c r="R313" s="190"/>
      <c r="S313" s="190"/>
      <c r="T313" s="190"/>
      <c r="U313" s="190"/>
      <c r="V313" s="190"/>
      <c r="W313" s="190"/>
      <c r="X313" s="191"/>
      <c r="Y313" s="280"/>
      <c r="Z313" s="16"/>
      <c r="AA313" s="16"/>
      <c r="AB313" s="16"/>
      <c r="AC313" s="16"/>
      <c r="AD313" s="16"/>
      <c r="AE313" s="16"/>
    </row>
    <row r="314" spans="1:31" ht="15.75" customHeight="1" x14ac:dyDescent="0.25">
      <c r="A314" s="6" t="s">
        <v>111</v>
      </c>
      <c r="B314" s="32" t="s">
        <v>112</v>
      </c>
      <c r="C314" s="32" t="s">
        <v>112</v>
      </c>
      <c r="D314" s="74">
        <f>21230</f>
        <v>21230</v>
      </c>
      <c r="E314" s="74">
        <f>5317-E323</f>
        <v>5167</v>
      </c>
      <c r="F314" s="74"/>
      <c r="G314" s="59">
        <f t="shared" ref="G314:G323" si="127">SUM(D314:F314)</f>
        <v>26397</v>
      </c>
      <c r="H314" s="90">
        <f>24970-21230</f>
        <v>3740</v>
      </c>
      <c r="I314" s="74">
        <v>21230</v>
      </c>
      <c r="J314" s="74">
        <v>3755</v>
      </c>
      <c r="K314" s="91"/>
      <c r="L314" s="74">
        <f t="shared" ref="L314:L322" si="128">SUM(I314:K314)</f>
        <v>24985</v>
      </c>
      <c r="M314" s="60">
        <f t="shared" ref="M314:M322" si="129">L314-G314</f>
        <v>-1412</v>
      </c>
      <c r="N314" s="90"/>
      <c r="O314" s="102"/>
      <c r="P314" s="90"/>
      <c r="Q314" s="247"/>
      <c r="R314" s="102"/>
      <c r="S314" s="102"/>
      <c r="T314" s="102"/>
      <c r="U314" s="102"/>
      <c r="V314" s="102"/>
      <c r="W314" s="102"/>
      <c r="X314" s="179"/>
    </row>
    <row r="315" spans="1:31" ht="15.75" customHeight="1" x14ac:dyDescent="0.25">
      <c r="A315" s="6" t="s">
        <v>111</v>
      </c>
      <c r="B315" s="32" t="s">
        <v>112</v>
      </c>
      <c r="C315" s="13" t="s">
        <v>64</v>
      </c>
      <c r="D315" s="14"/>
      <c r="E315" s="14">
        <v>3891</v>
      </c>
      <c r="F315" s="14"/>
      <c r="G315" s="61">
        <f t="shared" si="127"/>
        <v>3891</v>
      </c>
      <c r="H315" s="15"/>
      <c r="I315" s="14"/>
      <c r="J315" s="14">
        <v>3844</v>
      </c>
      <c r="K315" s="30"/>
      <c r="L315" s="14">
        <f t="shared" si="128"/>
        <v>3844</v>
      </c>
      <c r="M315" s="62">
        <f t="shared" si="129"/>
        <v>-47</v>
      </c>
      <c r="N315" s="15"/>
      <c r="O315" s="38"/>
      <c r="P315" s="15"/>
      <c r="Q315" s="241"/>
      <c r="R315" s="38"/>
      <c r="S315" s="38"/>
      <c r="T315" s="38"/>
      <c r="U315" s="38"/>
      <c r="V315" s="38"/>
      <c r="W315" s="38"/>
      <c r="X315" s="167"/>
    </row>
    <row r="316" spans="1:31" ht="15.75" customHeight="1" x14ac:dyDescent="0.25">
      <c r="A316" s="6" t="s">
        <v>111</v>
      </c>
      <c r="B316" s="32" t="s">
        <v>112</v>
      </c>
      <c r="C316" s="13" t="s">
        <v>232</v>
      </c>
      <c r="D316" s="14">
        <v>80744</v>
      </c>
      <c r="E316" s="14">
        <v>25034</v>
      </c>
      <c r="F316" s="14"/>
      <c r="G316" s="61">
        <f t="shared" si="127"/>
        <v>105778</v>
      </c>
      <c r="H316" s="15">
        <f>72504-71343</f>
        <v>1161</v>
      </c>
      <c r="I316" s="14">
        <v>71343</v>
      </c>
      <c r="J316" s="14">
        <v>24679</v>
      </c>
      <c r="K316" s="30"/>
      <c r="L316" s="14">
        <f t="shared" si="128"/>
        <v>96022</v>
      </c>
      <c r="M316" s="62">
        <f t="shared" si="129"/>
        <v>-9756</v>
      </c>
      <c r="N316" s="15"/>
      <c r="O316" s="38"/>
      <c r="P316" s="15"/>
      <c r="Q316" s="241"/>
      <c r="R316" s="38"/>
      <c r="S316" s="38"/>
      <c r="T316" s="38"/>
      <c r="U316" s="38"/>
      <c r="V316" s="38"/>
      <c r="W316" s="38"/>
      <c r="X316" s="167"/>
    </row>
    <row r="317" spans="1:31" ht="15.75" customHeight="1" x14ac:dyDescent="0.25">
      <c r="A317" s="6" t="s">
        <v>111</v>
      </c>
      <c r="B317" s="32" t="s">
        <v>112</v>
      </c>
      <c r="C317" s="13" t="s">
        <v>283</v>
      </c>
      <c r="D317" s="14">
        <v>10276</v>
      </c>
      <c r="E317" s="14">
        <v>937</v>
      </c>
      <c r="F317" s="14"/>
      <c r="G317" s="61">
        <f t="shared" si="127"/>
        <v>11213</v>
      </c>
      <c r="H317" s="15">
        <v>114</v>
      </c>
      <c r="I317" s="14">
        <v>2598</v>
      </c>
      <c r="J317" s="14"/>
      <c r="K317" s="30"/>
      <c r="L317" s="14">
        <f t="shared" si="128"/>
        <v>2598</v>
      </c>
      <c r="M317" s="62">
        <f t="shared" si="129"/>
        <v>-8615</v>
      </c>
      <c r="N317" s="14">
        <v>10488</v>
      </c>
      <c r="O317" s="38"/>
      <c r="P317" s="15"/>
      <c r="Q317" s="241"/>
      <c r="R317" s="38"/>
      <c r="S317" s="38"/>
      <c r="T317" s="38"/>
      <c r="U317" s="38"/>
      <c r="V317" s="38"/>
      <c r="W317" s="38"/>
      <c r="X317" s="167"/>
    </row>
    <row r="318" spans="1:31" ht="15.75" customHeight="1" x14ac:dyDescent="0.25">
      <c r="A318" s="6" t="s">
        <v>111</v>
      </c>
      <c r="B318" s="32" t="s">
        <v>112</v>
      </c>
      <c r="C318" s="13" t="s">
        <v>284</v>
      </c>
      <c r="D318" s="14">
        <v>9823</v>
      </c>
      <c r="E318" s="14">
        <v>1062</v>
      </c>
      <c r="F318" s="14">
        <v>550</v>
      </c>
      <c r="G318" s="61">
        <f t="shared" si="127"/>
        <v>11435</v>
      </c>
      <c r="H318" s="15">
        <f>9930-9823</f>
        <v>107</v>
      </c>
      <c r="I318" s="14">
        <v>9823</v>
      </c>
      <c r="J318" s="14">
        <v>1397</v>
      </c>
      <c r="K318" s="14"/>
      <c r="L318" s="14">
        <f t="shared" si="128"/>
        <v>11220</v>
      </c>
      <c r="M318" s="62">
        <f t="shared" si="129"/>
        <v>-215</v>
      </c>
      <c r="N318" s="15"/>
      <c r="O318" s="38"/>
      <c r="P318" s="15"/>
      <c r="Q318" s="241"/>
      <c r="R318" s="38"/>
      <c r="S318" s="38"/>
      <c r="T318" s="38"/>
      <c r="U318" s="38"/>
      <c r="V318" s="38"/>
      <c r="W318" s="38"/>
      <c r="X318" s="167"/>
      <c r="Z318" s="46"/>
    </row>
    <row r="319" spans="1:31" ht="15.75" customHeight="1" x14ac:dyDescent="0.25">
      <c r="A319" s="6" t="s">
        <v>111</v>
      </c>
      <c r="B319" s="32" t="s">
        <v>112</v>
      </c>
      <c r="C319" s="13" t="s">
        <v>285</v>
      </c>
      <c r="D319" s="14">
        <v>16956</v>
      </c>
      <c r="E319" s="14">
        <f>3019</f>
        <v>3019</v>
      </c>
      <c r="F319" s="14"/>
      <c r="G319" s="61">
        <f t="shared" si="127"/>
        <v>19975</v>
      </c>
      <c r="H319" s="15">
        <f>27089-26689</f>
        <v>400</v>
      </c>
      <c r="I319" s="14">
        <v>26689</v>
      </c>
      <c r="J319" s="14">
        <v>2271</v>
      </c>
      <c r="K319" s="14"/>
      <c r="L319" s="14">
        <f t="shared" si="128"/>
        <v>28960</v>
      </c>
      <c r="M319" s="62">
        <f t="shared" si="129"/>
        <v>8985</v>
      </c>
      <c r="N319" s="14">
        <v>2454</v>
      </c>
      <c r="O319" s="38"/>
      <c r="P319" s="15"/>
      <c r="Q319" s="241"/>
      <c r="R319" s="38"/>
      <c r="S319" s="38"/>
      <c r="T319" s="38"/>
      <c r="U319" s="38"/>
      <c r="V319" s="38"/>
      <c r="W319" s="38"/>
      <c r="X319" s="167"/>
    </row>
    <row r="320" spans="1:31" ht="15.75" customHeight="1" x14ac:dyDescent="0.25">
      <c r="A320" s="6" t="s">
        <v>111</v>
      </c>
      <c r="B320" s="32" t="s">
        <v>112</v>
      </c>
      <c r="C320" s="13" t="s">
        <v>230</v>
      </c>
      <c r="D320" s="14"/>
      <c r="E320" s="14"/>
      <c r="F320" s="14">
        <v>18209</v>
      </c>
      <c r="G320" s="61">
        <f t="shared" si="127"/>
        <v>18209</v>
      </c>
      <c r="H320" s="15"/>
      <c r="I320" s="14"/>
      <c r="J320" s="14">
        <v>27800</v>
      </c>
      <c r="K320" s="14"/>
      <c r="L320" s="14">
        <f t="shared" si="128"/>
        <v>27800</v>
      </c>
      <c r="M320" s="62">
        <f t="shared" si="129"/>
        <v>9591</v>
      </c>
      <c r="N320" s="15"/>
      <c r="O320" s="38"/>
      <c r="P320" s="15"/>
      <c r="Q320" s="241"/>
      <c r="R320" s="38"/>
      <c r="S320" s="38"/>
      <c r="T320" s="38"/>
      <c r="U320" s="38"/>
      <c r="V320" s="38"/>
      <c r="W320" s="38"/>
      <c r="X320" s="167"/>
    </row>
    <row r="321" spans="1:31" ht="15.75" customHeight="1" x14ac:dyDescent="0.25">
      <c r="A321" s="109"/>
      <c r="B321" s="12"/>
      <c r="C321" s="13" t="s">
        <v>270</v>
      </c>
      <c r="D321" s="14">
        <v>11633</v>
      </c>
      <c r="E321" s="14">
        <v>77050</v>
      </c>
      <c r="F321" s="14"/>
      <c r="G321" s="61">
        <f>SUM(D321:F321)</f>
        <v>88683</v>
      </c>
      <c r="H321" s="15">
        <f>27627-27021</f>
        <v>606</v>
      </c>
      <c r="I321" s="14">
        <v>27021</v>
      </c>
      <c r="J321" s="14">
        <v>109755</v>
      </c>
      <c r="K321" s="14"/>
      <c r="L321" s="14">
        <f>SUM(I321:K321)</f>
        <v>136776</v>
      </c>
      <c r="M321" s="62">
        <f>(L321-G321)</f>
        <v>48093</v>
      </c>
      <c r="N321" s="14"/>
      <c r="O321" s="38"/>
      <c r="P321" s="15"/>
      <c r="Q321" s="241"/>
      <c r="R321" s="38"/>
      <c r="S321" s="38"/>
      <c r="T321" s="38"/>
      <c r="U321" s="38"/>
      <c r="V321" s="38"/>
      <c r="W321" s="38"/>
      <c r="X321" s="167"/>
    </row>
    <row r="322" spans="1:31" ht="15.75" customHeight="1" x14ac:dyDescent="0.25">
      <c r="A322" s="6" t="s">
        <v>111</v>
      </c>
      <c r="B322" s="32" t="s">
        <v>112</v>
      </c>
      <c r="C322" s="31" t="s">
        <v>231</v>
      </c>
      <c r="D322" s="14"/>
      <c r="E322" s="14"/>
      <c r="F322" s="14"/>
      <c r="G322" s="61">
        <f t="shared" ref="G322" si="130">SUM(D322:F322)</f>
        <v>0</v>
      </c>
      <c r="H322" s="15"/>
      <c r="I322" s="30"/>
      <c r="J322" s="14"/>
      <c r="K322" s="30"/>
      <c r="L322" s="14">
        <f t="shared" si="128"/>
        <v>0</v>
      </c>
      <c r="M322" s="62">
        <f t="shared" si="129"/>
        <v>0</v>
      </c>
      <c r="N322" s="15"/>
      <c r="O322" s="38"/>
      <c r="P322" s="15"/>
      <c r="Q322" s="241"/>
      <c r="R322" s="38"/>
      <c r="S322" s="38"/>
      <c r="T322" s="38"/>
      <c r="U322" s="38"/>
      <c r="V322" s="38"/>
      <c r="W322" s="38"/>
      <c r="X322" s="167"/>
      <c r="Z322" s="46"/>
    </row>
    <row r="323" spans="1:31" ht="15.75" customHeight="1" x14ac:dyDescent="0.25">
      <c r="A323" s="6" t="s">
        <v>111</v>
      </c>
      <c r="B323" s="32" t="s">
        <v>112</v>
      </c>
      <c r="C323" s="17" t="s">
        <v>668</v>
      </c>
      <c r="D323" s="14"/>
      <c r="E323" s="14">
        <v>150</v>
      </c>
      <c r="F323" s="14"/>
      <c r="G323" s="61">
        <f t="shared" si="127"/>
        <v>150</v>
      </c>
      <c r="H323" s="15"/>
      <c r="I323" s="30"/>
      <c r="J323" s="14"/>
      <c r="K323" s="30"/>
      <c r="L323" s="14">
        <f>SUM(I323:K323)</f>
        <v>0</v>
      </c>
      <c r="M323" s="62">
        <f>L323-G323</f>
        <v>-150</v>
      </c>
      <c r="N323" s="15"/>
      <c r="O323" s="264">
        <v>1982</v>
      </c>
      <c r="P323" s="15"/>
      <c r="Q323" s="241"/>
      <c r="R323" s="38"/>
      <c r="S323" s="38"/>
      <c r="T323" s="38"/>
      <c r="U323" s="38"/>
      <c r="V323" s="38"/>
      <c r="W323" s="38"/>
      <c r="X323" s="167"/>
      <c r="Y323" s="288" t="s">
        <v>669</v>
      </c>
      <c r="Z323" s="265"/>
      <c r="AA323" s="265"/>
    </row>
    <row r="324" spans="1:31" ht="15.75" customHeight="1" x14ac:dyDescent="0.25">
      <c r="A324" s="16"/>
      <c r="B324" s="16"/>
      <c r="C324" s="40" t="s">
        <v>188</v>
      </c>
      <c r="D324" s="96">
        <f>SUM(D314:D323)</f>
        <v>150662</v>
      </c>
      <c r="E324" s="96">
        <f>SUM(E314:E323)</f>
        <v>116310</v>
      </c>
      <c r="F324" s="96">
        <f>SUM(F314:F323)</f>
        <v>18759</v>
      </c>
      <c r="G324" s="42">
        <f>SUM(D324:F324)</f>
        <v>285731</v>
      </c>
      <c r="H324" s="96">
        <f>SUM(H314:H323)</f>
        <v>6128</v>
      </c>
      <c r="I324" s="96">
        <f>SUM(I314:I323)</f>
        <v>158704</v>
      </c>
      <c r="J324" s="96">
        <f>SUM(J314:J323)</f>
        <v>173501</v>
      </c>
      <c r="K324" s="96">
        <f>SUM(K314:K323)</f>
        <v>0</v>
      </c>
      <c r="L324" s="96">
        <f>SUM(I324:K324)</f>
        <v>332205</v>
      </c>
      <c r="M324" s="47">
        <f>L324-G324</f>
        <v>46474</v>
      </c>
      <c r="N324" s="96">
        <f t="shared" ref="N324:X324" si="131">SUM(N314:N323)</f>
        <v>12942</v>
      </c>
      <c r="O324" s="187">
        <f t="shared" si="131"/>
        <v>1982</v>
      </c>
      <c r="P324" s="212">
        <f t="shared" si="131"/>
        <v>0</v>
      </c>
      <c r="Q324" s="260">
        <f t="shared" si="131"/>
        <v>0</v>
      </c>
      <c r="R324" s="187">
        <f t="shared" si="131"/>
        <v>0</v>
      </c>
      <c r="S324" s="187">
        <f t="shared" si="131"/>
        <v>0</v>
      </c>
      <c r="T324" s="187">
        <f t="shared" si="131"/>
        <v>0</v>
      </c>
      <c r="U324" s="187">
        <f t="shared" si="131"/>
        <v>0</v>
      </c>
      <c r="V324" s="187">
        <f t="shared" si="131"/>
        <v>0</v>
      </c>
      <c r="W324" s="187">
        <f t="shared" si="131"/>
        <v>0</v>
      </c>
      <c r="X324" s="187">
        <f t="shared" si="131"/>
        <v>0</v>
      </c>
      <c r="Y324" s="280"/>
      <c r="Z324" s="16"/>
      <c r="AA324" s="16"/>
      <c r="AB324" s="16"/>
      <c r="AC324" s="16"/>
      <c r="AD324" s="16"/>
      <c r="AE324" s="16"/>
    </row>
    <row r="325" spans="1:31" ht="15.75" customHeight="1" x14ac:dyDescent="0.25">
      <c r="A325" s="16"/>
      <c r="B325" s="16"/>
      <c r="C325" s="44"/>
      <c r="D325" s="99"/>
      <c r="E325" s="99"/>
      <c r="F325" s="99"/>
      <c r="G325" s="94"/>
      <c r="H325" s="19"/>
      <c r="I325" s="99"/>
      <c r="J325" s="99"/>
      <c r="K325" s="99"/>
      <c r="L325" s="18"/>
      <c r="M325" s="95"/>
      <c r="N325" s="99"/>
      <c r="O325" s="190"/>
      <c r="P325" s="100"/>
      <c r="Q325" s="250"/>
      <c r="R325" s="190"/>
      <c r="S325" s="190"/>
      <c r="T325" s="190"/>
      <c r="U325" s="190"/>
      <c r="V325" s="190"/>
      <c r="W325" s="190"/>
      <c r="X325" s="191"/>
      <c r="Y325" s="280"/>
      <c r="Z325" s="16"/>
      <c r="AA325" s="16"/>
      <c r="AB325" s="16"/>
      <c r="AC325" s="16"/>
      <c r="AD325" s="16"/>
      <c r="AE325" s="16"/>
    </row>
    <row r="326" spans="1:31" ht="15.75" customHeight="1" x14ac:dyDescent="0.25">
      <c r="A326" s="6" t="s">
        <v>111</v>
      </c>
      <c r="B326" s="32" t="s">
        <v>114</v>
      </c>
      <c r="C326" s="32" t="s">
        <v>114</v>
      </c>
      <c r="D326" s="74">
        <v>18097</v>
      </c>
      <c r="E326" s="74">
        <f>1699</f>
        <v>1699</v>
      </c>
      <c r="F326" s="74"/>
      <c r="G326" s="59">
        <f t="shared" ref="G326:G333" si="132">SUM(D326:F326)</f>
        <v>19796</v>
      </c>
      <c r="H326" s="90">
        <f>20352-18098</f>
        <v>2254</v>
      </c>
      <c r="I326" s="74">
        <v>18098</v>
      </c>
      <c r="J326" s="74">
        <v>1954</v>
      </c>
      <c r="K326" s="91"/>
      <c r="L326" s="74">
        <f t="shared" ref="L326:L335" si="133">SUM(I326:K326)</f>
        <v>20052</v>
      </c>
      <c r="M326" s="60">
        <f t="shared" ref="M326:M335" si="134">L326-G326</f>
        <v>256</v>
      </c>
      <c r="N326" s="74"/>
      <c r="O326" s="102"/>
      <c r="P326" s="90"/>
      <c r="Q326" s="247"/>
      <c r="R326" s="102"/>
      <c r="S326" s="102"/>
      <c r="T326" s="102"/>
      <c r="U326" s="102"/>
      <c r="V326" s="102"/>
      <c r="W326" s="102"/>
      <c r="X326" s="179"/>
    </row>
    <row r="327" spans="1:31" ht="15.75" customHeight="1" x14ac:dyDescent="0.25">
      <c r="A327" s="6" t="s">
        <v>111</v>
      </c>
      <c r="B327" s="32" t="s">
        <v>114</v>
      </c>
      <c r="C327" s="13" t="s">
        <v>64</v>
      </c>
      <c r="D327" s="14"/>
      <c r="E327" s="14">
        <v>1875</v>
      </c>
      <c r="F327" s="14"/>
      <c r="G327" s="61">
        <f t="shared" si="132"/>
        <v>1875</v>
      </c>
      <c r="H327" s="15"/>
      <c r="I327" s="14"/>
      <c r="J327" s="14">
        <v>3194</v>
      </c>
      <c r="K327" s="30"/>
      <c r="L327" s="14">
        <f t="shared" si="133"/>
        <v>3194</v>
      </c>
      <c r="M327" s="62">
        <f t="shared" si="134"/>
        <v>1319</v>
      </c>
      <c r="N327" s="14"/>
      <c r="O327" s="38"/>
      <c r="P327" s="15"/>
      <c r="Q327" s="241"/>
      <c r="R327" s="38"/>
      <c r="S327" s="38"/>
      <c r="T327" s="38"/>
      <c r="U327" s="38"/>
      <c r="V327" s="38"/>
      <c r="W327" s="38"/>
      <c r="X327" s="167"/>
    </row>
    <row r="328" spans="1:31" ht="15.75" customHeight="1" x14ac:dyDescent="0.25">
      <c r="A328" s="6" t="s">
        <v>111</v>
      </c>
      <c r="B328" s="32" t="s">
        <v>114</v>
      </c>
      <c r="C328" s="13" t="s">
        <v>232</v>
      </c>
      <c r="D328" s="14">
        <v>66824</v>
      </c>
      <c r="E328" s="14">
        <v>12706</v>
      </c>
      <c r="F328" s="14"/>
      <c r="G328" s="61">
        <f t="shared" si="132"/>
        <v>79530</v>
      </c>
      <c r="H328" s="15">
        <f>49814-47830</f>
        <v>1984</v>
      </c>
      <c r="I328" s="14">
        <v>47830</v>
      </c>
      <c r="J328" s="14">
        <v>62163</v>
      </c>
      <c r="K328" s="30"/>
      <c r="L328" s="14">
        <f t="shared" si="133"/>
        <v>109993</v>
      </c>
      <c r="M328" s="62">
        <f t="shared" si="134"/>
        <v>30463</v>
      </c>
      <c r="N328" s="14"/>
      <c r="O328" s="38"/>
      <c r="P328" s="15"/>
      <c r="Q328" s="241"/>
      <c r="R328" s="38"/>
      <c r="S328" s="38"/>
      <c r="T328" s="38"/>
      <c r="U328" s="38"/>
      <c r="V328" s="38"/>
      <c r="W328" s="38"/>
      <c r="X328" s="167"/>
    </row>
    <row r="329" spans="1:31" ht="15.75" customHeight="1" x14ac:dyDescent="0.25">
      <c r="A329" s="6" t="s">
        <v>111</v>
      </c>
      <c r="B329" s="32" t="s">
        <v>114</v>
      </c>
      <c r="C329" s="13" t="s">
        <v>287</v>
      </c>
      <c r="D329" s="14">
        <v>6983</v>
      </c>
      <c r="E329" s="14"/>
      <c r="F329" s="3"/>
      <c r="G329" s="61">
        <f t="shared" si="132"/>
        <v>6983</v>
      </c>
      <c r="H329" s="15">
        <v>345</v>
      </c>
      <c r="I329" s="14">
        <v>6575</v>
      </c>
      <c r="J329" s="14">
        <v>1888</v>
      </c>
      <c r="K329" s="30"/>
      <c r="L329" s="14">
        <f t="shared" si="133"/>
        <v>8463</v>
      </c>
      <c r="M329" s="62">
        <f t="shared" si="134"/>
        <v>1480</v>
      </c>
      <c r="N329" s="14">
        <v>10488</v>
      </c>
      <c r="O329" s="38"/>
      <c r="P329" s="15"/>
      <c r="Q329" s="241"/>
      <c r="R329" s="38"/>
      <c r="S329" s="38"/>
      <c r="T329" s="38"/>
      <c r="U329" s="38"/>
      <c r="V329" s="38"/>
      <c r="W329" s="38"/>
      <c r="X329" s="167"/>
    </row>
    <row r="330" spans="1:31" ht="15.75" customHeight="1" x14ac:dyDescent="0.25">
      <c r="A330" s="6" t="s">
        <v>111</v>
      </c>
      <c r="B330" s="32" t="s">
        <v>114</v>
      </c>
      <c r="C330" s="13" t="s">
        <v>288</v>
      </c>
      <c r="D330" s="14">
        <v>8922</v>
      </c>
      <c r="E330" s="14">
        <v>1716</v>
      </c>
      <c r="F330" s="14">
        <v>746</v>
      </c>
      <c r="G330" s="61">
        <f t="shared" si="132"/>
        <v>11384</v>
      </c>
      <c r="H330" s="15">
        <f>10110-8922</f>
        <v>1188</v>
      </c>
      <c r="I330" s="14">
        <v>8922</v>
      </c>
      <c r="J330" s="14">
        <v>2209</v>
      </c>
      <c r="K330" s="14">
        <v>850</v>
      </c>
      <c r="L330" s="14">
        <f t="shared" si="133"/>
        <v>11981</v>
      </c>
      <c r="M330" s="62">
        <f t="shared" si="134"/>
        <v>597</v>
      </c>
      <c r="N330" s="14"/>
      <c r="O330" s="38"/>
      <c r="P330" s="15"/>
      <c r="Q330" s="241"/>
      <c r="R330" s="38"/>
      <c r="S330" s="38"/>
      <c r="T330" s="38"/>
      <c r="U330" s="38"/>
      <c r="V330" s="38"/>
      <c r="W330" s="38"/>
      <c r="X330" s="167"/>
      <c r="Z330" s="46"/>
    </row>
    <row r="331" spans="1:31" ht="15.75" customHeight="1" x14ac:dyDescent="0.25">
      <c r="A331" s="6" t="s">
        <v>111</v>
      </c>
      <c r="B331" s="32" t="s">
        <v>114</v>
      </c>
      <c r="C331" s="13" t="s">
        <v>670</v>
      </c>
      <c r="D331" s="14">
        <v>7995</v>
      </c>
      <c r="E331" s="14">
        <v>2115</v>
      </c>
      <c r="F331" s="14">
        <v>700</v>
      </c>
      <c r="G331" s="61">
        <f t="shared" si="132"/>
        <v>10810</v>
      </c>
      <c r="H331" s="15">
        <f>9107-8601</f>
        <v>506</v>
      </c>
      <c r="I331" s="14">
        <v>8601</v>
      </c>
      <c r="J331" s="14">
        <v>3451</v>
      </c>
      <c r="K331" s="14">
        <v>700</v>
      </c>
      <c r="L331" s="14">
        <f t="shared" si="133"/>
        <v>12752</v>
      </c>
      <c r="M331" s="62">
        <f t="shared" si="134"/>
        <v>1942</v>
      </c>
      <c r="N331" s="14"/>
      <c r="O331" s="38"/>
      <c r="P331" s="15"/>
      <c r="Q331" s="241"/>
      <c r="R331" s="38"/>
      <c r="S331" s="38"/>
      <c r="T331" s="38"/>
      <c r="U331" s="38"/>
      <c r="V331" s="38"/>
      <c r="W331" s="38"/>
      <c r="X331" s="167"/>
    </row>
    <row r="332" spans="1:31" ht="15.75" customHeight="1" x14ac:dyDescent="0.25">
      <c r="A332" s="6" t="s">
        <v>111</v>
      </c>
      <c r="B332" s="32" t="s">
        <v>114</v>
      </c>
      <c r="C332" s="13" t="s">
        <v>290</v>
      </c>
      <c r="D332" s="14">
        <v>29130</v>
      </c>
      <c r="E332" s="14">
        <v>11743</v>
      </c>
      <c r="F332" s="14"/>
      <c r="G332" s="61">
        <f t="shared" si="132"/>
        <v>40873</v>
      </c>
      <c r="H332" s="15">
        <f>48628-48067</f>
        <v>561</v>
      </c>
      <c r="I332" s="14">
        <v>48067</v>
      </c>
      <c r="J332" s="14">
        <v>10230</v>
      </c>
      <c r="K332" s="14"/>
      <c r="L332" s="14">
        <f t="shared" si="133"/>
        <v>58297</v>
      </c>
      <c r="M332" s="62">
        <f t="shared" si="134"/>
        <v>17424</v>
      </c>
      <c r="N332" s="14">
        <v>1636</v>
      </c>
      <c r="O332" s="38"/>
      <c r="P332" s="15"/>
      <c r="Q332" s="241"/>
      <c r="R332" s="38"/>
      <c r="S332" s="38"/>
      <c r="T332" s="38"/>
      <c r="U332" s="38"/>
      <c r="V332" s="38"/>
      <c r="W332" s="38"/>
      <c r="X332" s="167"/>
    </row>
    <row r="333" spans="1:31" ht="15.75" customHeight="1" x14ac:dyDescent="0.25">
      <c r="A333" s="6" t="s">
        <v>111</v>
      </c>
      <c r="B333" s="32" t="s">
        <v>114</v>
      </c>
      <c r="C333" s="13" t="s">
        <v>230</v>
      </c>
      <c r="D333" s="14"/>
      <c r="E333" s="14"/>
      <c r="F333" s="14">
        <v>10118</v>
      </c>
      <c r="G333" s="61">
        <f t="shared" si="132"/>
        <v>10118</v>
      </c>
      <c r="H333" s="15"/>
      <c r="I333" s="14"/>
      <c r="J333" s="14">
        <v>12387</v>
      </c>
      <c r="K333" s="14"/>
      <c r="L333" s="14">
        <f t="shared" si="133"/>
        <v>12387</v>
      </c>
      <c r="M333" s="62">
        <f t="shared" si="134"/>
        <v>2269</v>
      </c>
      <c r="N333" s="14"/>
      <c r="O333" s="38"/>
      <c r="P333" s="15"/>
      <c r="Q333" s="241"/>
      <c r="R333" s="38"/>
      <c r="S333" s="38"/>
      <c r="T333" s="38"/>
      <c r="U333" s="38"/>
      <c r="V333" s="38"/>
      <c r="W333" s="38"/>
      <c r="X333" s="167"/>
      <c r="Z333" s="46"/>
    </row>
    <row r="334" spans="1:31" ht="15.75" customHeight="1" x14ac:dyDescent="0.25">
      <c r="A334" s="109"/>
      <c r="B334" s="12"/>
      <c r="C334" s="13" t="s">
        <v>270</v>
      </c>
      <c r="D334" s="14">
        <v>17291</v>
      </c>
      <c r="E334" s="14">
        <v>13252</v>
      </c>
      <c r="F334" s="14"/>
      <c r="G334" s="61">
        <f>SUM(D334:F334)</f>
        <v>30543</v>
      </c>
      <c r="H334" s="15">
        <f>16956-17291</f>
        <v>-335</v>
      </c>
      <c r="I334" s="14">
        <v>17291</v>
      </c>
      <c r="J334" s="14">
        <v>19224</v>
      </c>
      <c r="K334" s="14"/>
      <c r="L334" s="14">
        <f>SUM(I334:K334)</f>
        <v>36515</v>
      </c>
      <c r="M334" s="62">
        <f>(L334-G334)</f>
        <v>5972</v>
      </c>
      <c r="N334" s="14"/>
      <c r="O334" s="38"/>
      <c r="P334" s="15"/>
      <c r="Q334" s="241"/>
      <c r="R334" s="38"/>
      <c r="S334" s="38"/>
      <c r="T334" s="38"/>
      <c r="U334" s="38"/>
      <c r="V334" s="38"/>
      <c r="W334" s="38"/>
      <c r="X334" s="167"/>
    </row>
    <row r="335" spans="1:31" ht="15.75" customHeight="1" x14ac:dyDescent="0.25">
      <c r="A335" s="6" t="s">
        <v>111</v>
      </c>
      <c r="B335" s="32" t="s">
        <v>114</v>
      </c>
      <c r="C335" s="31" t="s">
        <v>231</v>
      </c>
      <c r="D335" s="14"/>
      <c r="E335" s="14"/>
      <c r="F335" s="14"/>
      <c r="G335" s="61">
        <f t="shared" ref="G335:G345" si="135">SUM(D335:F335)</f>
        <v>0</v>
      </c>
      <c r="H335" s="15"/>
      <c r="I335" s="30"/>
      <c r="J335" s="14"/>
      <c r="K335" s="14"/>
      <c r="L335" s="14">
        <f t="shared" si="133"/>
        <v>0</v>
      </c>
      <c r="M335" s="62">
        <f t="shared" si="134"/>
        <v>0</v>
      </c>
      <c r="N335" s="14"/>
      <c r="O335" s="38"/>
      <c r="P335" s="15"/>
      <c r="Q335" s="241"/>
      <c r="R335" s="38"/>
      <c r="S335" s="38"/>
      <c r="T335" s="38"/>
      <c r="U335" s="38"/>
      <c r="V335" s="38"/>
      <c r="W335" s="38"/>
      <c r="X335" s="167"/>
    </row>
    <row r="336" spans="1:31" ht="15.75" customHeight="1" x14ac:dyDescent="0.25">
      <c r="A336" s="109"/>
      <c r="B336" s="12"/>
      <c r="C336" s="13" t="s">
        <v>671</v>
      </c>
      <c r="D336" s="14"/>
      <c r="E336" s="14"/>
      <c r="F336" s="14"/>
      <c r="G336" s="61">
        <f>SUM(D336:F336)</f>
        <v>0</v>
      </c>
      <c r="H336" s="15"/>
      <c r="I336" s="14"/>
      <c r="J336" s="14"/>
      <c r="K336" s="14"/>
      <c r="L336" s="14">
        <f t="shared" ref="L336:L342" si="136">SUM(I336:K336)</f>
        <v>0</v>
      </c>
      <c r="M336" s="62">
        <f>(L336-G336)</f>
        <v>0</v>
      </c>
      <c r="N336" s="14"/>
      <c r="O336" s="38"/>
      <c r="P336" s="15"/>
      <c r="Q336" s="241">
        <v>750</v>
      </c>
      <c r="R336" s="38"/>
      <c r="S336" s="38"/>
      <c r="T336" s="38"/>
      <c r="U336" s="38"/>
      <c r="V336" s="38"/>
      <c r="W336" s="38"/>
      <c r="X336" s="167"/>
    </row>
    <row r="337" spans="1:31" ht="15.75" customHeight="1" x14ac:dyDescent="0.25">
      <c r="A337" s="109"/>
      <c r="B337" s="12"/>
      <c r="C337" s="13" t="s">
        <v>672</v>
      </c>
      <c r="D337" s="14"/>
      <c r="E337" s="14"/>
      <c r="F337" s="14"/>
      <c r="G337" s="61">
        <f>SUM(D337:F337)</f>
        <v>0</v>
      </c>
      <c r="H337" s="15"/>
      <c r="I337" s="14"/>
      <c r="J337" s="14"/>
      <c r="K337" s="14"/>
      <c r="L337" s="14">
        <f t="shared" si="136"/>
        <v>0</v>
      </c>
      <c r="M337" s="62">
        <f>(L337-G337)</f>
        <v>0</v>
      </c>
      <c r="N337" s="14"/>
      <c r="O337" s="38"/>
      <c r="P337" s="15"/>
      <c r="Q337" s="241">
        <v>1770</v>
      </c>
      <c r="R337" s="38"/>
      <c r="S337" s="38"/>
      <c r="T337" s="38"/>
      <c r="U337" s="38"/>
      <c r="V337" s="38"/>
      <c r="W337" s="38"/>
      <c r="X337" s="167"/>
    </row>
    <row r="338" spans="1:31" ht="15.75" customHeight="1" x14ac:dyDescent="0.25">
      <c r="A338" s="109"/>
      <c r="B338" s="12"/>
      <c r="C338" s="13" t="s">
        <v>673</v>
      </c>
      <c r="D338" s="14"/>
      <c r="E338" s="14"/>
      <c r="F338" s="14"/>
      <c r="G338" s="61">
        <f>SUM(D338:F338)</f>
        <v>0</v>
      </c>
      <c r="H338" s="15"/>
      <c r="I338" s="14"/>
      <c r="J338" s="14"/>
      <c r="K338" s="14"/>
      <c r="L338" s="14">
        <f t="shared" si="136"/>
        <v>0</v>
      </c>
      <c r="M338" s="62">
        <f>(L338-G338)</f>
        <v>0</v>
      </c>
      <c r="N338" s="14"/>
      <c r="O338" s="38">
        <v>200</v>
      </c>
      <c r="P338" s="15"/>
      <c r="Q338" s="241"/>
      <c r="R338" s="38"/>
      <c r="S338" s="38"/>
      <c r="T338" s="38"/>
      <c r="U338" s="38"/>
      <c r="V338" s="38"/>
      <c r="W338" s="38"/>
      <c r="X338" s="167"/>
      <c r="Z338" s="46"/>
    </row>
    <row r="339" spans="1:31" ht="15.75" customHeight="1" x14ac:dyDescent="0.25">
      <c r="A339" s="109"/>
      <c r="B339" s="12"/>
      <c r="C339" s="13" t="s">
        <v>674</v>
      </c>
      <c r="D339" s="14"/>
      <c r="E339" s="14"/>
      <c r="F339" s="14"/>
      <c r="G339" s="61">
        <f>SUM(D339:F339)</f>
        <v>0</v>
      </c>
      <c r="H339" s="15"/>
      <c r="I339" s="14"/>
      <c r="J339" s="14"/>
      <c r="K339" s="14"/>
      <c r="L339" s="14">
        <f t="shared" si="136"/>
        <v>0</v>
      </c>
      <c r="M339" s="62">
        <f>(L339-G339)</f>
        <v>0</v>
      </c>
      <c r="N339" s="14"/>
      <c r="O339" s="38">
        <v>2050</v>
      </c>
      <c r="P339" s="15"/>
      <c r="Q339" s="241"/>
      <c r="R339" s="38"/>
      <c r="S339" s="38"/>
      <c r="T339" s="38"/>
      <c r="U339" s="38"/>
      <c r="V339" s="38"/>
      <c r="W339" s="38"/>
      <c r="X339" s="167"/>
    </row>
    <row r="340" spans="1:31" ht="15.75" customHeight="1" x14ac:dyDescent="0.25">
      <c r="A340" s="6" t="s">
        <v>111</v>
      </c>
      <c r="B340" s="32" t="s">
        <v>114</v>
      </c>
      <c r="C340" s="17" t="s">
        <v>675</v>
      </c>
      <c r="D340" s="14"/>
      <c r="E340" s="14"/>
      <c r="F340" s="14"/>
      <c r="G340" s="61">
        <f t="shared" si="135"/>
        <v>0</v>
      </c>
      <c r="H340" s="15"/>
      <c r="I340" s="30"/>
      <c r="J340" s="14"/>
      <c r="K340" s="14"/>
      <c r="L340" s="14">
        <f t="shared" si="136"/>
        <v>0</v>
      </c>
      <c r="M340" s="62">
        <f>L340-G340</f>
        <v>0</v>
      </c>
      <c r="N340" s="14"/>
      <c r="O340" s="38"/>
      <c r="P340" s="15"/>
      <c r="Q340" s="241"/>
      <c r="R340" s="38"/>
      <c r="S340" s="38"/>
      <c r="T340" s="38"/>
      <c r="U340" s="38"/>
      <c r="V340" s="38"/>
      <c r="W340" s="38"/>
      <c r="X340" s="167"/>
    </row>
    <row r="341" spans="1:31" ht="30" x14ac:dyDescent="0.25">
      <c r="A341" s="6" t="s">
        <v>111</v>
      </c>
      <c r="B341" s="32" t="s">
        <v>114</v>
      </c>
      <c r="C341" s="33" t="s">
        <v>676</v>
      </c>
      <c r="D341" s="14"/>
      <c r="E341" s="14"/>
      <c r="F341" s="14"/>
      <c r="G341" s="61">
        <f t="shared" si="135"/>
        <v>0</v>
      </c>
      <c r="H341" s="15"/>
      <c r="I341" s="30"/>
      <c r="J341" s="14"/>
      <c r="K341" s="14"/>
      <c r="L341" s="14">
        <f t="shared" si="136"/>
        <v>0</v>
      </c>
      <c r="M341" s="62">
        <f>L341-G341</f>
        <v>0</v>
      </c>
      <c r="N341" s="14"/>
      <c r="O341" s="38"/>
      <c r="P341" s="15"/>
      <c r="Q341" s="241"/>
      <c r="R341" s="38"/>
      <c r="S341" s="38"/>
      <c r="T341" s="38"/>
      <c r="U341" s="38"/>
      <c r="V341" s="38"/>
      <c r="W341" s="38"/>
      <c r="X341" s="167"/>
    </row>
    <row r="342" spans="1:31" ht="15.75" customHeight="1" x14ac:dyDescent="0.25">
      <c r="A342" s="6" t="s">
        <v>111</v>
      </c>
      <c r="B342" s="32" t="s">
        <v>114</v>
      </c>
      <c r="C342" s="17" t="s">
        <v>677</v>
      </c>
      <c r="D342" s="14"/>
      <c r="E342" s="14"/>
      <c r="F342" s="14"/>
      <c r="G342" s="61">
        <f t="shared" si="135"/>
        <v>0</v>
      </c>
      <c r="H342" s="15"/>
      <c r="I342" s="30"/>
      <c r="J342" s="14"/>
      <c r="K342" s="30"/>
      <c r="L342" s="14">
        <f t="shared" si="136"/>
        <v>0</v>
      </c>
      <c r="M342" s="62">
        <f>L342-G342</f>
        <v>0</v>
      </c>
      <c r="N342" s="14"/>
      <c r="O342" s="38"/>
      <c r="P342" s="15"/>
      <c r="Q342" s="241"/>
      <c r="R342" s="38"/>
      <c r="S342" s="38"/>
      <c r="T342" s="38"/>
      <c r="U342" s="38"/>
      <c r="V342" s="38"/>
      <c r="W342" s="38"/>
      <c r="X342" s="167"/>
    </row>
    <row r="343" spans="1:31" ht="15.75" customHeight="1" x14ac:dyDescent="0.25">
      <c r="A343" s="6" t="s">
        <v>111</v>
      </c>
      <c r="B343" s="32" t="s">
        <v>114</v>
      </c>
      <c r="C343" s="17" t="s">
        <v>678</v>
      </c>
      <c r="D343" s="14"/>
      <c r="E343" s="14"/>
      <c r="F343" s="14"/>
      <c r="G343" s="61">
        <f t="shared" si="135"/>
        <v>0</v>
      </c>
      <c r="H343" s="15"/>
      <c r="I343" s="30"/>
      <c r="J343" s="30"/>
      <c r="K343" s="14"/>
      <c r="L343" s="14">
        <f t="shared" ref="L343:L346" si="137">SUM(I343:K343)</f>
        <v>0</v>
      </c>
      <c r="M343" s="62">
        <f t="shared" ref="M343:M346" si="138">L343-G343</f>
        <v>0</v>
      </c>
      <c r="N343" s="14"/>
      <c r="O343" s="159"/>
      <c r="P343" s="2"/>
      <c r="Q343" s="1"/>
      <c r="R343" s="159"/>
      <c r="S343" s="38"/>
      <c r="T343" s="38"/>
      <c r="U343" s="38"/>
      <c r="V343" s="38"/>
      <c r="W343" s="38"/>
      <c r="X343" s="167"/>
      <c r="Z343" s="46"/>
    </row>
    <row r="344" spans="1:31" ht="15.75" customHeight="1" x14ac:dyDescent="0.25">
      <c r="A344" s="6" t="s">
        <v>111</v>
      </c>
      <c r="B344" s="32" t="s">
        <v>114</v>
      </c>
      <c r="C344" s="17" t="s">
        <v>679</v>
      </c>
      <c r="D344" s="14"/>
      <c r="E344" s="14"/>
      <c r="F344" s="14"/>
      <c r="G344" s="61">
        <f t="shared" si="135"/>
        <v>0</v>
      </c>
      <c r="H344" s="15"/>
      <c r="I344" s="30"/>
      <c r="J344" s="30"/>
      <c r="K344" s="30"/>
      <c r="L344" s="14">
        <f t="shared" si="137"/>
        <v>0</v>
      </c>
      <c r="M344" s="62">
        <f t="shared" si="138"/>
        <v>0</v>
      </c>
      <c r="N344" s="14"/>
      <c r="R344" s="192"/>
      <c r="S344" s="38"/>
      <c r="T344" s="38">
        <v>200</v>
      </c>
      <c r="U344" s="38"/>
      <c r="V344" s="38"/>
      <c r="W344" s="38"/>
      <c r="X344" s="167"/>
    </row>
    <row r="345" spans="1:31" ht="15.75" customHeight="1" x14ac:dyDescent="0.25">
      <c r="A345" s="6" t="s">
        <v>111</v>
      </c>
      <c r="B345" s="32" t="s">
        <v>114</v>
      </c>
      <c r="C345" s="33" t="s">
        <v>680</v>
      </c>
      <c r="D345" s="14"/>
      <c r="E345" s="14"/>
      <c r="F345" s="14"/>
      <c r="G345" s="61">
        <f t="shared" si="135"/>
        <v>0</v>
      </c>
      <c r="H345" s="15"/>
      <c r="I345" s="30"/>
      <c r="J345" s="30"/>
      <c r="K345" s="30"/>
      <c r="L345" s="14">
        <f t="shared" si="137"/>
        <v>0</v>
      </c>
      <c r="M345" s="62">
        <f t="shared" si="138"/>
        <v>0</v>
      </c>
      <c r="N345" s="14"/>
      <c r="S345" s="38"/>
      <c r="T345" s="38">
        <v>85</v>
      </c>
      <c r="U345" s="38"/>
      <c r="V345" s="38"/>
      <c r="W345" s="38"/>
      <c r="X345" s="167"/>
    </row>
    <row r="346" spans="1:31" ht="15.75" customHeight="1" x14ac:dyDescent="0.25">
      <c r="A346" s="6" t="s">
        <v>111</v>
      </c>
      <c r="B346" s="32" t="s">
        <v>114</v>
      </c>
      <c r="C346" s="33" t="s">
        <v>681</v>
      </c>
      <c r="D346" s="14"/>
      <c r="E346" s="14"/>
      <c r="F346" s="14"/>
      <c r="G346" s="61">
        <f t="shared" ref="G346:G347" si="139">SUM(D346:F346)</f>
        <v>0</v>
      </c>
      <c r="H346" s="15"/>
      <c r="I346" s="14"/>
      <c r="J346" s="14"/>
      <c r="K346" s="14"/>
      <c r="L346" s="14">
        <f t="shared" si="137"/>
        <v>0</v>
      </c>
      <c r="M346" s="62">
        <f t="shared" si="138"/>
        <v>0</v>
      </c>
      <c r="N346" s="14"/>
      <c r="S346" s="38"/>
      <c r="T346" s="38">
        <v>600</v>
      </c>
      <c r="U346" s="38"/>
      <c r="V346" s="38"/>
      <c r="W346" s="38"/>
      <c r="X346" s="167"/>
    </row>
    <row r="347" spans="1:31" ht="15.75" customHeight="1" x14ac:dyDescent="0.25">
      <c r="A347" s="16"/>
      <c r="B347" s="16"/>
      <c r="C347" s="40" t="s">
        <v>188</v>
      </c>
      <c r="D347" s="96">
        <f t="shared" ref="D347:F347" si="140">SUM(D326:D346)</f>
        <v>155242</v>
      </c>
      <c r="E347" s="96">
        <f t="shared" si="140"/>
        <v>45106</v>
      </c>
      <c r="F347" s="96">
        <f t="shared" si="140"/>
        <v>11564</v>
      </c>
      <c r="G347" s="42">
        <f t="shared" si="139"/>
        <v>211912</v>
      </c>
      <c r="H347" s="96">
        <f t="shared" ref="H347:K347" si="141">SUM(H326:H346)</f>
        <v>6503</v>
      </c>
      <c r="I347" s="96">
        <f t="shared" si="141"/>
        <v>155384</v>
      </c>
      <c r="J347" s="96">
        <f t="shared" si="141"/>
        <v>116700</v>
      </c>
      <c r="K347" s="96">
        <f t="shared" si="141"/>
        <v>1550</v>
      </c>
      <c r="L347" s="96">
        <f>SUM(I347:K347)</f>
        <v>273634</v>
      </c>
      <c r="M347" s="47">
        <f>L347-G347</f>
        <v>61722</v>
      </c>
      <c r="N347" s="96">
        <f t="shared" ref="N347:X347" si="142">SUM(N326:N346)</f>
        <v>12124</v>
      </c>
      <c r="O347" s="187">
        <f t="shared" si="142"/>
        <v>2250</v>
      </c>
      <c r="P347" s="212">
        <f>SUM(P326:P346)</f>
        <v>0</v>
      </c>
      <c r="Q347" s="260">
        <f>SUM(Q326:Q346)</f>
        <v>2520</v>
      </c>
      <c r="R347" s="187">
        <f t="shared" si="142"/>
        <v>0</v>
      </c>
      <c r="S347" s="187">
        <f t="shared" si="142"/>
        <v>0</v>
      </c>
      <c r="T347" s="187">
        <f t="shared" si="142"/>
        <v>885</v>
      </c>
      <c r="U347" s="187">
        <f t="shared" si="142"/>
        <v>0</v>
      </c>
      <c r="V347" s="187">
        <f t="shared" si="142"/>
        <v>0</v>
      </c>
      <c r="W347" s="187">
        <f t="shared" si="142"/>
        <v>0</v>
      </c>
      <c r="X347" s="187">
        <f t="shared" si="142"/>
        <v>0</v>
      </c>
      <c r="Y347" s="280"/>
      <c r="Z347" s="16"/>
      <c r="AA347" s="16"/>
      <c r="AB347" s="16"/>
      <c r="AC347" s="16"/>
      <c r="AD347" s="16"/>
      <c r="AE347" s="16"/>
    </row>
    <row r="348" spans="1:31" ht="15.75" customHeight="1" x14ac:dyDescent="0.25">
      <c r="A348" s="16"/>
      <c r="B348" s="16"/>
      <c r="C348" s="44"/>
      <c r="D348" s="99"/>
      <c r="E348" s="99"/>
      <c r="F348" s="99"/>
      <c r="G348" s="94"/>
      <c r="H348" s="19"/>
      <c r="I348" s="99"/>
      <c r="J348" s="99"/>
      <c r="K348" s="99"/>
      <c r="L348" s="18"/>
      <c r="M348" s="95"/>
      <c r="N348" s="99"/>
      <c r="O348" s="190"/>
      <c r="P348" s="100"/>
      <c r="Q348" s="250"/>
      <c r="R348" s="190"/>
      <c r="S348" s="190"/>
      <c r="T348" s="190"/>
      <c r="U348" s="190"/>
      <c r="V348" s="190"/>
      <c r="W348" s="190"/>
      <c r="X348" s="191"/>
      <c r="Y348" s="280"/>
      <c r="Z348" s="16"/>
      <c r="AA348" s="16"/>
      <c r="AB348" s="16"/>
      <c r="AC348" s="16"/>
      <c r="AD348" s="16"/>
      <c r="AE348" s="16"/>
    </row>
    <row r="349" spans="1:31" ht="15.75" customHeight="1" x14ac:dyDescent="0.25">
      <c r="A349" s="6" t="s">
        <v>111</v>
      </c>
      <c r="B349" s="32" t="s">
        <v>118</v>
      </c>
      <c r="C349" s="32" t="s">
        <v>118</v>
      </c>
      <c r="D349" s="74">
        <v>21818</v>
      </c>
      <c r="E349" s="74">
        <v>6455</v>
      </c>
      <c r="F349" s="74"/>
      <c r="G349" s="59">
        <f t="shared" ref="G349:G357" si="143">SUM(D349:F349)</f>
        <v>28273</v>
      </c>
      <c r="H349" s="90">
        <f>24786-21978</f>
        <v>2808</v>
      </c>
      <c r="I349" s="74">
        <v>21978</v>
      </c>
      <c r="J349" s="74">
        <v>5375</v>
      </c>
      <c r="K349" s="91"/>
      <c r="L349" s="74">
        <f t="shared" ref="L349:L355" si="144">SUM(I349:K349)</f>
        <v>27353</v>
      </c>
      <c r="M349" s="60">
        <f t="shared" ref="M349:M355" si="145">L349-G349</f>
        <v>-920</v>
      </c>
      <c r="N349" s="90"/>
      <c r="O349" s="102"/>
      <c r="P349" s="90"/>
      <c r="Q349" s="247"/>
      <c r="R349" s="102"/>
      <c r="S349" s="102"/>
      <c r="T349" s="102"/>
      <c r="U349" s="102"/>
      <c r="V349" s="102"/>
      <c r="W349" s="102"/>
      <c r="X349" s="179"/>
    </row>
    <row r="350" spans="1:31" ht="15.75" customHeight="1" x14ac:dyDescent="0.25">
      <c r="A350" s="6" t="s">
        <v>111</v>
      </c>
      <c r="B350" s="32" t="s">
        <v>118</v>
      </c>
      <c r="C350" s="13" t="s">
        <v>64</v>
      </c>
      <c r="D350" s="14"/>
      <c r="E350" s="14">
        <v>1809</v>
      </c>
      <c r="F350" s="14"/>
      <c r="G350" s="61">
        <f t="shared" si="143"/>
        <v>1809</v>
      </c>
      <c r="H350" s="15"/>
      <c r="I350" s="14"/>
      <c r="J350" s="14">
        <v>3076</v>
      </c>
      <c r="K350" s="30"/>
      <c r="L350" s="14">
        <f t="shared" si="144"/>
        <v>3076</v>
      </c>
      <c r="M350" s="62">
        <f t="shared" si="145"/>
        <v>1267</v>
      </c>
      <c r="N350" s="15"/>
      <c r="O350" s="38"/>
      <c r="P350" s="15"/>
      <c r="Q350" s="241"/>
      <c r="R350" s="38"/>
      <c r="S350" s="38"/>
      <c r="T350" s="38"/>
      <c r="U350" s="38"/>
      <c r="V350" s="38"/>
      <c r="W350" s="38"/>
      <c r="X350" s="167"/>
    </row>
    <row r="351" spans="1:31" ht="15.75" customHeight="1" x14ac:dyDescent="0.25">
      <c r="A351" s="6" t="s">
        <v>111</v>
      </c>
      <c r="B351" s="32" t="s">
        <v>118</v>
      </c>
      <c r="C351" s="13" t="s">
        <v>232</v>
      </c>
      <c r="D351" s="14">
        <v>22942</v>
      </c>
      <c r="E351" s="14">
        <v>9234</v>
      </c>
      <c r="F351" s="14"/>
      <c r="G351" s="61">
        <f t="shared" si="143"/>
        <v>32176</v>
      </c>
      <c r="H351" s="15">
        <f>27518-24860</f>
        <v>2658</v>
      </c>
      <c r="I351" s="14">
        <v>24860</v>
      </c>
      <c r="J351" s="14">
        <v>14252</v>
      </c>
      <c r="K351" s="30"/>
      <c r="L351" s="14">
        <f t="shared" si="144"/>
        <v>39112</v>
      </c>
      <c r="M351" s="62">
        <f t="shared" si="145"/>
        <v>6936</v>
      </c>
      <c r="N351" s="15"/>
      <c r="O351" s="38"/>
      <c r="P351" s="15"/>
      <c r="Q351" s="241"/>
      <c r="R351" s="38"/>
      <c r="S351" s="38"/>
      <c r="T351" s="38"/>
      <c r="U351" s="38"/>
      <c r="V351" s="38"/>
      <c r="W351" s="38"/>
      <c r="X351" s="167"/>
    </row>
    <row r="352" spans="1:31" ht="15.75" customHeight="1" x14ac:dyDescent="0.25">
      <c r="A352" s="6" t="s">
        <v>111</v>
      </c>
      <c r="B352" s="32" t="s">
        <v>118</v>
      </c>
      <c r="C352" s="13" t="s">
        <v>292</v>
      </c>
      <c r="D352" s="14">
        <v>14155</v>
      </c>
      <c r="E352" s="14">
        <v>2555</v>
      </c>
      <c r="F352" s="14"/>
      <c r="G352" s="61">
        <f t="shared" si="143"/>
        <v>16710</v>
      </c>
      <c r="H352" s="15">
        <v>918</v>
      </c>
      <c r="I352" s="14">
        <v>7804</v>
      </c>
      <c r="J352" s="14">
        <v>2428</v>
      </c>
      <c r="K352" s="30"/>
      <c r="L352" s="14">
        <f>SUM(I352:K352)</f>
        <v>10232</v>
      </c>
      <c r="M352" s="62">
        <f t="shared" si="145"/>
        <v>-6478</v>
      </c>
      <c r="N352" s="14">
        <v>10488</v>
      </c>
      <c r="O352" s="38"/>
      <c r="P352" s="15"/>
      <c r="Q352" s="241"/>
      <c r="R352" s="38"/>
      <c r="S352" s="38"/>
      <c r="T352" s="38"/>
      <c r="U352" s="38"/>
      <c r="V352" s="38"/>
      <c r="W352" s="38"/>
      <c r="X352" s="167"/>
    </row>
    <row r="353" spans="1:31" ht="15.75" customHeight="1" x14ac:dyDescent="0.25">
      <c r="A353" s="6" t="s">
        <v>111</v>
      </c>
      <c r="B353" s="32" t="s">
        <v>118</v>
      </c>
      <c r="C353" s="13" t="s">
        <v>293</v>
      </c>
      <c r="D353" s="14">
        <v>11896</v>
      </c>
      <c r="E353" s="14">
        <v>1773</v>
      </c>
      <c r="F353" s="14">
        <v>650</v>
      </c>
      <c r="G353" s="61">
        <f t="shared" si="143"/>
        <v>14319</v>
      </c>
      <c r="H353" s="15">
        <f>12424-11896</f>
        <v>528</v>
      </c>
      <c r="I353" s="14">
        <v>11896</v>
      </c>
      <c r="J353" s="14">
        <v>1637</v>
      </c>
      <c r="K353" s="14">
        <v>850</v>
      </c>
      <c r="L353" s="14">
        <f t="shared" si="144"/>
        <v>14383</v>
      </c>
      <c r="M353" s="62">
        <f t="shared" si="145"/>
        <v>64</v>
      </c>
      <c r="N353" s="15"/>
      <c r="O353" s="38"/>
      <c r="P353" s="15"/>
      <c r="Q353" s="241"/>
      <c r="R353" s="38"/>
      <c r="S353" s="38"/>
      <c r="T353" s="38"/>
      <c r="U353" s="38"/>
      <c r="V353" s="38"/>
      <c r="W353" s="38"/>
      <c r="X353" s="167"/>
      <c r="Z353" s="46"/>
    </row>
    <row r="354" spans="1:31" ht="15.75" customHeight="1" x14ac:dyDescent="0.25">
      <c r="A354" s="6" t="s">
        <v>111</v>
      </c>
      <c r="B354" s="32" t="s">
        <v>118</v>
      </c>
      <c r="C354" s="13" t="s">
        <v>294</v>
      </c>
      <c r="D354" s="14">
        <v>34334</v>
      </c>
      <c r="E354" s="14">
        <v>9879</v>
      </c>
      <c r="F354" s="14"/>
      <c r="G354" s="61">
        <f t="shared" si="143"/>
        <v>44213</v>
      </c>
      <c r="H354" s="15">
        <f>51522-50920</f>
        <v>602</v>
      </c>
      <c r="I354" s="14">
        <v>50920</v>
      </c>
      <c r="J354" s="14">
        <v>9484</v>
      </c>
      <c r="K354" s="14"/>
      <c r="L354" s="14">
        <f t="shared" si="144"/>
        <v>60404</v>
      </c>
      <c r="M354" s="62">
        <f t="shared" si="145"/>
        <v>16191</v>
      </c>
      <c r="N354" s="14">
        <v>2045</v>
      </c>
      <c r="O354" s="38"/>
      <c r="P354" s="15"/>
      <c r="Q354" s="241"/>
      <c r="R354" s="38"/>
      <c r="S354" s="38"/>
      <c r="T354" s="38"/>
      <c r="U354" s="38"/>
      <c r="V354" s="38"/>
      <c r="W354" s="38"/>
      <c r="X354" s="167"/>
    </row>
    <row r="355" spans="1:31" ht="15.75" customHeight="1" x14ac:dyDescent="0.25">
      <c r="A355" s="6" t="s">
        <v>111</v>
      </c>
      <c r="B355" s="32" t="s">
        <v>118</v>
      </c>
      <c r="C355" s="13" t="s">
        <v>230</v>
      </c>
      <c r="D355" s="14"/>
      <c r="E355" s="14"/>
      <c r="F355" s="14">
        <v>9335</v>
      </c>
      <c r="G355" s="61">
        <f t="shared" si="143"/>
        <v>9335</v>
      </c>
      <c r="H355" s="15"/>
      <c r="I355" s="14"/>
      <c r="J355" s="14">
        <v>32630</v>
      </c>
      <c r="K355" s="14"/>
      <c r="L355" s="14">
        <f t="shared" si="144"/>
        <v>32630</v>
      </c>
      <c r="M355" s="62">
        <f t="shared" si="145"/>
        <v>23295</v>
      </c>
      <c r="N355" s="15"/>
      <c r="O355" s="38"/>
      <c r="P355" s="15"/>
      <c r="Q355" s="241"/>
      <c r="R355" s="38"/>
      <c r="S355" s="38"/>
      <c r="T355" s="38"/>
      <c r="U355" s="38"/>
      <c r="V355" s="38"/>
      <c r="W355" s="38"/>
      <c r="X355" s="167"/>
    </row>
    <row r="356" spans="1:31" ht="15.75" customHeight="1" x14ac:dyDescent="0.25">
      <c r="A356" s="109"/>
      <c r="B356" s="12"/>
      <c r="C356" s="13" t="s">
        <v>270</v>
      </c>
      <c r="D356" s="14">
        <v>12235</v>
      </c>
      <c r="E356" s="14">
        <v>36754</v>
      </c>
      <c r="F356" s="14"/>
      <c r="G356" s="61">
        <f>SUM(D356:F356)</f>
        <v>48989</v>
      </c>
      <c r="H356" s="15">
        <f>12235-12235</f>
        <v>0</v>
      </c>
      <c r="I356" s="14">
        <v>12235</v>
      </c>
      <c r="J356" s="14">
        <v>32440</v>
      </c>
      <c r="K356" s="14"/>
      <c r="L356" s="14">
        <f>SUM(I356:K356)</f>
        <v>44675</v>
      </c>
      <c r="M356" s="62">
        <f>(L356-G356)</f>
        <v>-4314</v>
      </c>
      <c r="N356" s="14"/>
      <c r="O356" s="38"/>
      <c r="P356" s="15"/>
      <c r="Q356" s="241"/>
      <c r="R356" s="38"/>
      <c r="S356" s="38"/>
      <c r="T356" s="38"/>
      <c r="U356" s="38"/>
      <c r="V356" s="38"/>
      <c r="W356" s="38"/>
      <c r="X356" s="167"/>
    </row>
    <row r="357" spans="1:31" ht="15.75" customHeight="1" x14ac:dyDescent="0.25">
      <c r="A357" s="6" t="s">
        <v>111</v>
      </c>
      <c r="B357" s="32" t="s">
        <v>118</v>
      </c>
      <c r="C357" s="31" t="s">
        <v>231</v>
      </c>
      <c r="D357" s="14"/>
      <c r="E357" s="14"/>
      <c r="F357" s="14"/>
      <c r="G357" s="61">
        <f t="shared" si="143"/>
        <v>0</v>
      </c>
      <c r="H357" s="15"/>
      <c r="I357" s="30"/>
      <c r="J357" s="14"/>
      <c r="K357" s="14"/>
      <c r="L357" s="14"/>
      <c r="M357" s="62"/>
      <c r="N357" s="15"/>
      <c r="O357" s="38"/>
      <c r="P357" s="15"/>
      <c r="Q357" s="241"/>
      <c r="R357" s="38"/>
      <c r="S357" s="38"/>
      <c r="T357" s="38"/>
      <c r="U357" s="38"/>
      <c r="V357" s="38"/>
      <c r="W357" s="38"/>
      <c r="X357" s="167"/>
      <c r="Z357" s="46"/>
    </row>
    <row r="358" spans="1:31" ht="15.75" customHeight="1" x14ac:dyDescent="0.25">
      <c r="A358" s="6" t="s">
        <v>111</v>
      </c>
      <c r="B358" s="32" t="s">
        <v>118</v>
      </c>
      <c r="C358" s="17" t="s">
        <v>682</v>
      </c>
      <c r="D358" s="14"/>
      <c r="E358" s="14"/>
      <c r="F358" s="14"/>
      <c r="G358" s="61">
        <f t="shared" ref="G358:G359" si="146">SUM(D358:F358)</f>
        <v>0</v>
      </c>
      <c r="H358" s="15"/>
      <c r="I358" s="30"/>
      <c r="J358" s="14"/>
      <c r="K358" s="30"/>
      <c r="L358" s="14">
        <f t="shared" ref="L358:L363" si="147">SUM(I358:K358)</f>
        <v>0</v>
      </c>
      <c r="M358" s="62">
        <f t="shared" ref="M358:M363" si="148">L358-G358</f>
        <v>0</v>
      </c>
      <c r="N358" s="15"/>
      <c r="O358" s="38"/>
      <c r="P358" s="15"/>
      <c r="Q358" s="241"/>
      <c r="R358" s="38"/>
      <c r="S358" s="38"/>
      <c r="T358" s="38"/>
      <c r="U358" s="38"/>
      <c r="V358" s="38"/>
      <c r="W358" s="38"/>
      <c r="X358" s="167"/>
    </row>
    <row r="359" spans="1:31" ht="15.75" customHeight="1" x14ac:dyDescent="0.25">
      <c r="A359" s="6" t="s">
        <v>111</v>
      </c>
      <c r="B359" s="32" t="s">
        <v>118</v>
      </c>
      <c r="C359" s="17" t="s">
        <v>683</v>
      </c>
      <c r="D359" s="14"/>
      <c r="E359" s="14"/>
      <c r="F359" s="14"/>
      <c r="G359" s="61">
        <f t="shared" si="146"/>
        <v>0</v>
      </c>
      <c r="H359" s="15"/>
      <c r="I359" s="30"/>
      <c r="J359" s="14"/>
      <c r="K359" s="30"/>
      <c r="L359" s="14">
        <f t="shared" si="147"/>
        <v>0</v>
      </c>
      <c r="M359" s="62">
        <f t="shared" si="148"/>
        <v>0</v>
      </c>
      <c r="N359" s="15"/>
      <c r="O359" s="38"/>
      <c r="P359" s="15"/>
      <c r="Q359" s="241"/>
      <c r="R359" s="38"/>
      <c r="S359" s="38"/>
      <c r="T359" s="38"/>
      <c r="U359" s="38"/>
      <c r="V359" s="38"/>
      <c r="W359" s="38"/>
      <c r="X359" s="167"/>
    </row>
    <row r="360" spans="1:31" ht="15.75" customHeight="1" x14ac:dyDescent="0.25">
      <c r="A360" s="6" t="s">
        <v>111</v>
      </c>
      <c r="B360" s="32" t="s">
        <v>118</v>
      </c>
      <c r="C360" s="17" t="s">
        <v>684</v>
      </c>
      <c r="D360" s="14"/>
      <c r="E360" s="14"/>
      <c r="F360" s="14"/>
      <c r="G360" s="61">
        <f t="shared" ref="G360:G363" si="149">SUM(D360:F360)</f>
        <v>0</v>
      </c>
      <c r="H360" s="15"/>
      <c r="I360" s="30"/>
      <c r="J360" s="14"/>
      <c r="K360" s="30"/>
      <c r="L360" s="14">
        <f t="shared" si="147"/>
        <v>0</v>
      </c>
      <c r="M360" s="62">
        <f t="shared" si="148"/>
        <v>0</v>
      </c>
      <c r="N360" s="15"/>
      <c r="O360" s="38"/>
      <c r="P360" s="15"/>
      <c r="Q360" s="241"/>
      <c r="R360" s="38"/>
      <c r="S360" s="38"/>
      <c r="T360" s="38"/>
      <c r="U360" s="38"/>
      <c r="V360" s="38"/>
      <c r="W360" s="38"/>
      <c r="X360" s="167"/>
    </row>
    <row r="361" spans="1:31" ht="15.75" customHeight="1" x14ac:dyDescent="0.25">
      <c r="A361" s="6" t="s">
        <v>111</v>
      </c>
      <c r="B361" s="32" t="s">
        <v>118</v>
      </c>
      <c r="C361" s="17" t="s">
        <v>685</v>
      </c>
      <c r="D361" s="14"/>
      <c r="E361" s="14"/>
      <c r="F361" s="14"/>
      <c r="G361" s="61">
        <f t="shared" si="149"/>
        <v>0</v>
      </c>
      <c r="H361" s="15"/>
      <c r="I361" s="30"/>
      <c r="J361" s="14"/>
      <c r="K361" s="30"/>
      <c r="L361" s="14">
        <f t="shared" si="147"/>
        <v>0</v>
      </c>
      <c r="M361" s="62">
        <f t="shared" si="148"/>
        <v>0</v>
      </c>
      <c r="N361" s="15"/>
      <c r="O361" s="38"/>
      <c r="P361" s="15"/>
      <c r="Q361" s="241"/>
      <c r="R361" s="38"/>
      <c r="S361" s="38"/>
      <c r="T361" s="38"/>
      <c r="U361" s="38"/>
      <c r="V361" s="38"/>
      <c r="W361" s="38"/>
      <c r="X361" s="167"/>
    </row>
    <row r="362" spans="1:31" ht="15.75" customHeight="1" x14ac:dyDescent="0.25">
      <c r="A362" s="6" t="s">
        <v>111</v>
      </c>
      <c r="B362" s="32" t="s">
        <v>118</v>
      </c>
      <c r="C362" s="17" t="s">
        <v>686</v>
      </c>
      <c r="D362" s="14"/>
      <c r="E362" s="14"/>
      <c r="F362" s="14"/>
      <c r="G362" s="61">
        <f t="shared" si="149"/>
        <v>0</v>
      </c>
      <c r="H362" s="15"/>
      <c r="I362" s="30"/>
      <c r="J362" s="14"/>
      <c r="K362" s="30"/>
      <c r="L362" s="14">
        <f t="shared" si="147"/>
        <v>0</v>
      </c>
      <c r="M362" s="62">
        <f t="shared" si="148"/>
        <v>0</v>
      </c>
      <c r="N362" s="15"/>
      <c r="O362" s="38"/>
      <c r="P362" s="15"/>
      <c r="Q362" s="241"/>
      <c r="R362" s="38"/>
      <c r="S362" s="38"/>
      <c r="T362" s="38"/>
      <c r="U362" s="38"/>
      <c r="V362" s="38"/>
      <c r="W362" s="38"/>
      <c r="X362" s="167"/>
      <c r="Z362" s="46"/>
    </row>
    <row r="363" spans="1:31" ht="15.75" customHeight="1" x14ac:dyDescent="0.25">
      <c r="A363" s="6" t="s">
        <v>111</v>
      </c>
      <c r="B363" s="32" t="s">
        <v>118</v>
      </c>
      <c r="C363" s="17" t="s">
        <v>687</v>
      </c>
      <c r="D363" s="18"/>
      <c r="E363" s="18"/>
      <c r="F363" s="18"/>
      <c r="G363" s="61">
        <f t="shared" si="149"/>
        <v>0</v>
      </c>
      <c r="H363" s="15"/>
      <c r="I363" s="20"/>
      <c r="J363" s="20"/>
      <c r="K363" s="18"/>
      <c r="L363" s="14">
        <f t="shared" si="147"/>
        <v>0</v>
      </c>
      <c r="M363" s="62">
        <f t="shared" si="148"/>
        <v>0</v>
      </c>
      <c r="N363" s="18"/>
      <c r="O363" s="168"/>
      <c r="P363" s="19"/>
      <c r="Q363" s="242"/>
      <c r="R363" s="168"/>
      <c r="S363" s="168"/>
      <c r="T363" s="168"/>
      <c r="U363" s="168"/>
      <c r="V363" s="168"/>
      <c r="W363" s="168"/>
      <c r="X363" s="169"/>
      <c r="Y363" s="280"/>
      <c r="Z363" s="16"/>
      <c r="AA363" s="16"/>
      <c r="AB363" s="16"/>
      <c r="AC363" s="16"/>
      <c r="AD363" s="16"/>
      <c r="AE363" s="16"/>
    </row>
    <row r="364" spans="1:31" ht="15.75" customHeight="1" x14ac:dyDescent="0.25">
      <c r="A364" s="109"/>
      <c r="B364" s="3"/>
      <c r="C364" s="29" t="s">
        <v>231</v>
      </c>
      <c r="D364" s="14"/>
      <c r="E364" s="14"/>
      <c r="F364" s="14"/>
      <c r="G364" s="61">
        <f t="shared" ref="G364:G372" si="150">SUM(D364:F364)</f>
        <v>0</v>
      </c>
      <c r="H364" s="15"/>
      <c r="I364" s="14"/>
      <c r="J364" s="14"/>
      <c r="K364" s="14"/>
      <c r="L364" s="14">
        <f t="shared" ref="L364:L372" si="151">SUM(I364:K364)</f>
        <v>0</v>
      </c>
      <c r="M364" s="62">
        <f t="shared" ref="M364:M371" si="152">(L364-G364)</f>
        <v>0</v>
      </c>
      <c r="N364" s="14"/>
      <c r="O364" s="38"/>
      <c r="P364" s="15"/>
      <c r="Q364" s="241"/>
      <c r="R364" s="38"/>
      <c r="S364" s="38"/>
      <c r="T364" s="38"/>
      <c r="U364" s="38"/>
      <c r="V364" s="38"/>
      <c r="W364" s="38"/>
      <c r="X364" s="167"/>
      <c r="Y364" s="280"/>
      <c r="Z364" s="16"/>
      <c r="AA364" s="16"/>
      <c r="AB364" s="16"/>
      <c r="AC364" s="16"/>
      <c r="AD364" s="16"/>
      <c r="AE364" s="16"/>
    </row>
    <row r="365" spans="1:31" ht="15.75" customHeight="1" x14ac:dyDescent="0.25">
      <c r="A365" s="109"/>
      <c r="B365" s="3"/>
      <c r="C365" s="13" t="s">
        <v>688</v>
      </c>
      <c r="D365" s="14"/>
      <c r="E365" s="14"/>
      <c r="F365" s="14"/>
      <c r="G365" s="61">
        <f t="shared" si="150"/>
        <v>0</v>
      </c>
      <c r="H365" s="15"/>
      <c r="I365" s="14"/>
      <c r="J365" s="14"/>
      <c r="K365" s="14"/>
      <c r="L365" s="14">
        <f t="shared" si="151"/>
        <v>0</v>
      </c>
      <c r="M365" s="62">
        <f t="shared" si="152"/>
        <v>0</v>
      </c>
      <c r="N365" s="14"/>
      <c r="O365" s="38"/>
      <c r="P365" s="15"/>
      <c r="Q365" s="241">
        <v>1210</v>
      </c>
      <c r="R365" s="38"/>
      <c r="S365" s="38"/>
      <c r="T365" s="38"/>
      <c r="U365" s="38"/>
      <c r="V365" s="38"/>
      <c r="W365" s="38"/>
      <c r="X365" s="167"/>
      <c r="Y365" s="280" t="s">
        <v>689</v>
      </c>
      <c r="Z365" s="16"/>
      <c r="AA365" s="16"/>
      <c r="AB365" s="16"/>
      <c r="AC365" s="16"/>
      <c r="AD365" s="16"/>
      <c r="AE365" s="16"/>
    </row>
    <row r="366" spans="1:31" ht="15.75" customHeight="1" x14ac:dyDescent="0.25">
      <c r="A366" s="109"/>
      <c r="B366" s="3"/>
      <c r="C366" s="13" t="s">
        <v>690</v>
      </c>
      <c r="D366" s="14"/>
      <c r="E366" s="14"/>
      <c r="F366" s="14"/>
      <c r="G366" s="61">
        <f t="shared" si="150"/>
        <v>0</v>
      </c>
      <c r="H366" s="15"/>
      <c r="I366" s="14"/>
      <c r="J366" s="14"/>
      <c r="K366" s="14"/>
      <c r="L366" s="14">
        <f t="shared" si="151"/>
        <v>0</v>
      </c>
      <c r="M366" s="62">
        <f t="shared" si="152"/>
        <v>0</v>
      </c>
      <c r="N366" s="14"/>
      <c r="O366" s="38"/>
      <c r="P366" s="15">
        <v>20000</v>
      </c>
      <c r="Q366" s="241"/>
      <c r="R366" s="38"/>
      <c r="S366" s="38"/>
      <c r="T366" s="38"/>
      <c r="U366" s="38"/>
      <c r="V366" s="38"/>
      <c r="W366" s="38"/>
      <c r="X366" s="167"/>
      <c r="Y366" s="280"/>
      <c r="Z366" s="16"/>
      <c r="AA366" s="16"/>
      <c r="AB366" s="16"/>
      <c r="AC366" s="16"/>
      <c r="AD366" s="16"/>
      <c r="AE366" s="16"/>
    </row>
    <row r="367" spans="1:31" ht="15.75" customHeight="1" x14ac:dyDescent="0.25">
      <c r="A367" s="109"/>
      <c r="B367" s="3"/>
      <c r="C367" s="13" t="s">
        <v>691</v>
      </c>
      <c r="D367" s="14"/>
      <c r="E367" s="14"/>
      <c r="F367" s="14"/>
      <c r="G367" s="61">
        <f t="shared" si="150"/>
        <v>0</v>
      </c>
      <c r="H367" s="15"/>
      <c r="I367" s="14"/>
      <c r="J367" s="14"/>
      <c r="K367" s="14"/>
      <c r="L367" s="14">
        <f t="shared" si="151"/>
        <v>0</v>
      </c>
      <c r="M367" s="62">
        <f t="shared" si="152"/>
        <v>0</v>
      </c>
      <c r="N367" s="14"/>
      <c r="O367" s="38"/>
      <c r="P367" s="15">
        <v>7355</v>
      </c>
      <c r="Q367" s="241"/>
      <c r="R367" s="38"/>
      <c r="S367" s="38"/>
      <c r="T367" s="38"/>
      <c r="U367" s="38"/>
      <c r="V367" s="38"/>
      <c r="W367" s="38"/>
      <c r="X367" s="167"/>
      <c r="Y367" s="280"/>
      <c r="Z367" s="16"/>
      <c r="AA367" s="16"/>
      <c r="AB367" s="16"/>
      <c r="AC367" s="16"/>
      <c r="AD367" s="16"/>
      <c r="AE367" s="16"/>
    </row>
    <row r="368" spans="1:31" ht="15.75" customHeight="1" x14ac:dyDescent="0.25">
      <c r="A368" s="109"/>
      <c r="B368" s="3"/>
      <c r="C368" s="13" t="s">
        <v>692</v>
      </c>
      <c r="D368" s="14"/>
      <c r="E368" s="14"/>
      <c r="F368" s="14"/>
      <c r="G368" s="61">
        <f t="shared" si="150"/>
        <v>0</v>
      </c>
      <c r="H368" s="15"/>
      <c r="I368" s="14"/>
      <c r="J368" s="14"/>
      <c r="K368" s="14"/>
      <c r="L368" s="14">
        <f t="shared" si="151"/>
        <v>0</v>
      </c>
      <c r="M368" s="62">
        <f t="shared" si="152"/>
        <v>0</v>
      </c>
      <c r="N368" s="14"/>
      <c r="O368" s="38"/>
      <c r="P368" s="15">
        <v>15000</v>
      </c>
      <c r="Q368" s="241"/>
      <c r="R368" s="38"/>
      <c r="S368" s="38"/>
      <c r="T368" s="38"/>
      <c r="U368" s="38"/>
      <c r="V368" s="38"/>
      <c r="W368" s="38"/>
      <c r="X368" s="167"/>
      <c r="Y368" s="280"/>
      <c r="Z368" s="16"/>
      <c r="AA368" s="16"/>
      <c r="AB368" s="16"/>
      <c r="AC368" s="16"/>
      <c r="AD368" s="16"/>
      <c r="AE368" s="16"/>
    </row>
    <row r="369" spans="1:31" ht="15.75" customHeight="1" x14ac:dyDescent="0.25">
      <c r="A369" s="109"/>
      <c r="B369" s="3"/>
      <c r="C369" s="13" t="s">
        <v>693</v>
      </c>
      <c r="D369" s="14"/>
      <c r="E369" s="14"/>
      <c r="F369" s="14"/>
      <c r="G369" s="61">
        <f t="shared" si="150"/>
        <v>0</v>
      </c>
      <c r="H369" s="15"/>
      <c r="I369" s="14"/>
      <c r="J369" s="14"/>
      <c r="K369" s="14"/>
      <c r="L369" s="14">
        <f t="shared" si="151"/>
        <v>0</v>
      </c>
      <c r="M369" s="62">
        <f t="shared" si="152"/>
        <v>0</v>
      </c>
      <c r="N369" s="14"/>
      <c r="O369" s="38"/>
      <c r="P369" s="15"/>
      <c r="Q369" s="241">
        <v>1100</v>
      </c>
      <c r="R369" s="38"/>
      <c r="S369" s="38"/>
      <c r="T369" s="38"/>
      <c r="U369" s="38"/>
      <c r="V369" s="38"/>
      <c r="W369" s="38"/>
      <c r="X369" s="167"/>
      <c r="Y369" s="280"/>
      <c r="Z369" s="16"/>
      <c r="AA369" s="16"/>
      <c r="AB369" s="16"/>
      <c r="AC369" s="16"/>
      <c r="AD369" s="16"/>
      <c r="AE369" s="16"/>
    </row>
    <row r="370" spans="1:31" ht="15.75" customHeight="1" x14ac:dyDescent="0.25">
      <c r="A370" s="109"/>
      <c r="B370" s="3"/>
      <c r="C370" s="13" t="s">
        <v>694</v>
      </c>
      <c r="D370" s="14"/>
      <c r="E370" s="14"/>
      <c r="F370" s="14"/>
      <c r="G370" s="61">
        <f t="shared" si="150"/>
        <v>0</v>
      </c>
      <c r="H370" s="15"/>
      <c r="I370" s="14"/>
      <c r="J370" s="14"/>
      <c r="K370" s="14"/>
      <c r="L370" s="14">
        <f t="shared" si="151"/>
        <v>0</v>
      </c>
      <c r="M370" s="62">
        <f t="shared" si="152"/>
        <v>0</v>
      </c>
      <c r="N370" s="14"/>
      <c r="O370" s="264">
        <v>1200</v>
      </c>
      <c r="P370" s="15"/>
      <c r="Q370" s="241"/>
      <c r="R370" s="38"/>
      <c r="S370" s="38"/>
      <c r="T370" s="38"/>
      <c r="U370" s="38"/>
      <c r="V370" s="38"/>
      <c r="W370" s="38"/>
      <c r="X370" s="167"/>
      <c r="Y370" s="284" t="s">
        <v>695</v>
      </c>
      <c r="Z370" s="236"/>
      <c r="AA370" s="16"/>
      <c r="AB370" s="16"/>
      <c r="AC370" s="16"/>
      <c r="AD370" s="16"/>
      <c r="AE370" s="16"/>
    </row>
    <row r="371" spans="1:31" ht="15.75" customHeight="1" x14ac:dyDescent="0.25">
      <c r="A371" s="109"/>
      <c r="B371" s="3"/>
      <c r="C371" s="13" t="s">
        <v>696</v>
      </c>
      <c r="D371" s="14"/>
      <c r="E371" s="14"/>
      <c r="F371" s="14"/>
      <c r="G371" s="61">
        <f t="shared" si="150"/>
        <v>0</v>
      </c>
      <c r="H371" s="15"/>
      <c r="I371" s="14"/>
      <c r="J371" s="14"/>
      <c r="K371" s="14"/>
      <c r="L371" s="14">
        <f t="shared" si="151"/>
        <v>0</v>
      </c>
      <c r="M371" s="62">
        <f t="shared" si="152"/>
        <v>0</v>
      </c>
      <c r="N371" s="14"/>
      <c r="O371" s="38"/>
      <c r="P371" s="15"/>
      <c r="Q371" s="241">
        <v>1461</v>
      </c>
      <c r="R371" s="38"/>
      <c r="S371" s="38"/>
      <c r="T371" s="38"/>
      <c r="U371" s="38"/>
      <c r="V371" s="38"/>
      <c r="W371" s="38"/>
      <c r="X371" s="167"/>
      <c r="Y371" s="280" t="s">
        <v>697</v>
      </c>
      <c r="Z371" s="16"/>
      <c r="AA371" s="16"/>
      <c r="AB371" s="16"/>
      <c r="AC371" s="16"/>
      <c r="AD371" s="16"/>
      <c r="AE371" s="16"/>
    </row>
    <row r="372" spans="1:31" ht="15.75" customHeight="1" x14ac:dyDescent="0.25">
      <c r="A372" s="16"/>
      <c r="B372" s="16"/>
      <c r="C372" s="40" t="s">
        <v>188</v>
      </c>
      <c r="D372" s="96">
        <f t="shared" ref="D372:F372" si="153">SUM(D349:D362)</f>
        <v>117380</v>
      </c>
      <c r="E372" s="96">
        <f t="shared" si="153"/>
        <v>68459</v>
      </c>
      <c r="F372" s="96">
        <f t="shared" si="153"/>
        <v>9985</v>
      </c>
      <c r="G372" s="42">
        <f t="shared" si="150"/>
        <v>195824</v>
      </c>
      <c r="H372" s="96">
        <f>SUM(H349:H363)</f>
        <v>7514</v>
      </c>
      <c r="I372" s="96">
        <f>SUM(I349:I370)</f>
        <v>129693</v>
      </c>
      <c r="J372" s="96">
        <f>SUM(J349:J370)</f>
        <v>101322</v>
      </c>
      <c r="K372" s="96">
        <f>SUM(K349:K370)</f>
        <v>850</v>
      </c>
      <c r="L372" s="96">
        <f t="shared" si="151"/>
        <v>231865</v>
      </c>
      <c r="M372" s="47">
        <f>L372-G372</f>
        <v>36041</v>
      </c>
      <c r="N372" s="96">
        <f>SUM(N349:N370)</f>
        <v>12533</v>
      </c>
      <c r="O372" s="96">
        <f t="shared" ref="O372:P372" si="154">SUM(O349:O370)</f>
        <v>1200</v>
      </c>
      <c r="P372" s="96">
        <f t="shared" si="154"/>
        <v>42355</v>
      </c>
      <c r="Q372" s="260">
        <f>SUM(Q349:Q371)</f>
        <v>3771</v>
      </c>
      <c r="R372" s="212">
        <f t="shared" ref="R372:X372" si="155">SUM(R349:R370)</f>
        <v>0</v>
      </c>
      <c r="S372" s="212">
        <f t="shared" si="155"/>
        <v>0</v>
      </c>
      <c r="T372" s="212">
        <f t="shared" si="155"/>
        <v>0</v>
      </c>
      <c r="U372" s="212">
        <f t="shared" si="155"/>
        <v>0</v>
      </c>
      <c r="V372" s="212">
        <f t="shared" si="155"/>
        <v>0</v>
      </c>
      <c r="W372" s="212">
        <f t="shared" si="155"/>
        <v>0</v>
      </c>
      <c r="X372" s="212">
        <f t="shared" si="155"/>
        <v>0</v>
      </c>
      <c r="Y372" s="280"/>
      <c r="Z372" s="16"/>
      <c r="AA372" s="16"/>
      <c r="AB372" s="16"/>
      <c r="AC372" s="16"/>
      <c r="AD372" s="16"/>
      <c r="AE372" s="16"/>
    </row>
    <row r="373" spans="1:31" ht="15.75" customHeight="1" x14ac:dyDescent="0.25">
      <c r="A373" s="16"/>
      <c r="B373" s="16"/>
      <c r="C373" s="44"/>
      <c r="D373" s="99"/>
      <c r="E373" s="99"/>
      <c r="F373" s="99"/>
      <c r="G373" s="94"/>
      <c r="H373" s="19"/>
      <c r="I373" s="99"/>
      <c r="J373" s="99"/>
      <c r="K373" s="99"/>
      <c r="L373" s="18"/>
      <c r="M373" s="95"/>
      <c r="N373" s="99"/>
      <c r="O373" s="190"/>
      <c r="P373" s="100"/>
      <c r="Q373" s="250"/>
      <c r="R373" s="190"/>
      <c r="S373" s="190"/>
      <c r="T373" s="190"/>
      <c r="U373" s="190"/>
      <c r="V373" s="190"/>
      <c r="W373" s="190"/>
      <c r="X373" s="191"/>
      <c r="Y373" s="280"/>
      <c r="Z373" s="16"/>
      <c r="AA373" s="16"/>
      <c r="AB373" s="16"/>
      <c r="AC373" s="16"/>
      <c r="AD373" s="16"/>
      <c r="AE373" s="16"/>
    </row>
    <row r="374" spans="1:31" ht="15.75" customHeight="1" x14ac:dyDescent="0.25">
      <c r="A374" s="6" t="s">
        <v>111</v>
      </c>
      <c r="B374" s="32" t="s">
        <v>119</v>
      </c>
      <c r="C374" s="32" t="s">
        <v>119</v>
      </c>
      <c r="D374" s="74">
        <v>19351</v>
      </c>
      <c r="E374" s="74">
        <v>5644</v>
      </c>
      <c r="F374" s="74"/>
      <c r="G374" s="59">
        <f t="shared" ref="G374:G390" si="156">SUM(D374:F374)</f>
        <v>24995</v>
      </c>
      <c r="H374" s="90">
        <f>22150-19351</f>
        <v>2799</v>
      </c>
      <c r="I374" s="74">
        <v>19351</v>
      </c>
      <c r="J374" s="74">
        <v>5630</v>
      </c>
      <c r="K374" s="91"/>
      <c r="L374" s="74">
        <f t="shared" ref="L374:L382" si="157">SUM(I374:K374)</f>
        <v>24981</v>
      </c>
      <c r="M374" s="60">
        <f t="shared" ref="M374:M382" si="158">L374-G374</f>
        <v>-14</v>
      </c>
      <c r="N374" s="90"/>
      <c r="O374" s="102"/>
      <c r="P374" s="90"/>
      <c r="Q374" s="247"/>
      <c r="R374" s="102"/>
      <c r="S374" s="102"/>
      <c r="T374" s="102"/>
      <c r="U374" s="102"/>
      <c r="V374" s="102"/>
      <c r="W374" s="102"/>
      <c r="X374" s="179"/>
    </row>
    <row r="375" spans="1:31" ht="15.75" customHeight="1" x14ac:dyDescent="0.25">
      <c r="A375" s="6" t="s">
        <v>111</v>
      </c>
      <c r="B375" s="32" t="s">
        <v>119</v>
      </c>
      <c r="C375" s="13" t="s">
        <v>64</v>
      </c>
      <c r="D375" s="14"/>
      <c r="E375" s="14">
        <v>1059</v>
      </c>
      <c r="F375" s="14"/>
      <c r="G375" s="61">
        <f t="shared" si="156"/>
        <v>1059</v>
      </c>
      <c r="H375" s="15"/>
      <c r="I375" s="14"/>
      <c r="J375" s="14">
        <v>1818</v>
      </c>
      <c r="K375" s="30"/>
      <c r="L375" s="14">
        <f t="shared" si="157"/>
        <v>1818</v>
      </c>
      <c r="M375" s="62">
        <f t="shared" si="158"/>
        <v>759</v>
      </c>
      <c r="N375" s="15"/>
      <c r="O375" s="38"/>
      <c r="P375" s="15"/>
      <c r="Q375" s="241"/>
      <c r="R375" s="38"/>
      <c r="S375" s="38"/>
      <c r="T375" s="38"/>
      <c r="U375" s="38"/>
      <c r="V375" s="38"/>
      <c r="W375" s="38"/>
      <c r="X375" s="167"/>
    </row>
    <row r="376" spans="1:31" ht="15.75" customHeight="1" x14ac:dyDescent="0.25">
      <c r="A376" s="6" t="s">
        <v>111</v>
      </c>
      <c r="B376" s="32" t="s">
        <v>119</v>
      </c>
      <c r="C376" s="13" t="s">
        <v>232</v>
      </c>
      <c r="D376" s="14">
        <v>47241</v>
      </c>
      <c r="E376" s="14">
        <v>9446</v>
      </c>
      <c r="F376" s="14"/>
      <c r="G376" s="61">
        <f t="shared" si="156"/>
        <v>56687</v>
      </c>
      <c r="H376" s="15">
        <f>52494-53081</f>
        <v>-587</v>
      </c>
      <c r="I376" s="14">
        <v>53081</v>
      </c>
      <c r="J376" s="14">
        <v>12583</v>
      </c>
      <c r="K376" s="30"/>
      <c r="L376" s="14">
        <f t="shared" si="157"/>
        <v>65664</v>
      </c>
      <c r="M376" s="62">
        <f t="shared" si="158"/>
        <v>8977</v>
      </c>
      <c r="N376" s="15"/>
      <c r="O376" s="38"/>
      <c r="P376" s="15"/>
      <c r="Q376" s="241"/>
      <c r="R376" s="38"/>
      <c r="S376" s="38"/>
      <c r="T376" s="38"/>
      <c r="U376" s="38"/>
      <c r="V376" s="38"/>
      <c r="W376" s="38"/>
      <c r="X376" s="167"/>
    </row>
    <row r="377" spans="1:31" ht="15.75" customHeight="1" x14ac:dyDescent="0.25">
      <c r="A377" s="6" t="s">
        <v>111</v>
      </c>
      <c r="B377" s="32" t="s">
        <v>119</v>
      </c>
      <c r="C377" s="13" t="s">
        <v>296</v>
      </c>
      <c r="D377" s="14">
        <v>12302</v>
      </c>
      <c r="E377" s="14">
        <v>1203</v>
      </c>
      <c r="F377" s="14"/>
      <c r="G377" s="61">
        <f t="shared" si="156"/>
        <v>13505</v>
      </c>
      <c r="H377" s="15">
        <v>215</v>
      </c>
      <c r="I377" s="14">
        <v>4466</v>
      </c>
      <c r="J377" s="14">
        <v>630</v>
      </c>
      <c r="K377" s="30"/>
      <c r="L377" s="14">
        <f t="shared" si="157"/>
        <v>5096</v>
      </c>
      <c r="M377" s="62">
        <f t="shared" si="158"/>
        <v>-8409</v>
      </c>
      <c r="N377" s="14">
        <v>10488</v>
      </c>
      <c r="O377" s="38"/>
      <c r="P377" s="15"/>
      <c r="Q377" s="241"/>
      <c r="R377" s="38"/>
      <c r="S377" s="38"/>
      <c r="T377" s="38"/>
      <c r="U377" s="38"/>
      <c r="V377" s="38"/>
      <c r="W377" s="38"/>
      <c r="X377" s="167"/>
    </row>
    <row r="378" spans="1:31" ht="15.75" customHeight="1" x14ac:dyDescent="0.25">
      <c r="A378" s="6" t="s">
        <v>111</v>
      </c>
      <c r="B378" s="32" t="s">
        <v>119</v>
      </c>
      <c r="C378" s="13" t="s">
        <v>297</v>
      </c>
      <c r="D378" s="14">
        <v>8922</v>
      </c>
      <c r="E378" s="14">
        <v>2042</v>
      </c>
      <c r="F378" s="14">
        <v>850</v>
      </c>
      <c r="G378" s="61">
        <f t="shared" si="156"/>
        <v>11814</v>
      </c>
      <c r="H378" s="15">
        <f>9824-9032</f>
        <v>792</v>
      </c>
      <c r="I378" s="14">
        <v>9032</v>
      </c>
      <c r="J378" s="14">
        <v>2144</v>
      </c>
      <c r="K378" s="14">
        <v>850</v>
      </c>
      <c r="L378" s="14">
        <f t="shared" si="157"/>
        <v>12026</v>
      </c>
      <c r="M378" s="62">
        <f t="shared" si="158"/>
        <v>212</v>
      </c>
      <c r="N378" s="15"/>
      <c r="O378" s="38"/>
      <c r="P378" s="15"/>
      <c r="Q378" s="241"/>
      <c r="R378" s="38"/>
      <c r="S378" s="38"/>
      <c r="T378" s="38"/>
      <c r="U378" s="38"/>
      <c r="V378" s="38"/>
      <c r="W378" s="38"/>
      <c r="X378" s="167"/>
    </row>
    <row r="379" spans="1:31" ht="15.75" customHeight="1" x14ac:dyDescent="0.25">
      <c r="A379" s="6" t="s">
        <v>111</v>
      </c>
      <c r="B379" s="32" t="s">
        <v>119</v>
      </c>
      <c r="C379" s="13" t="s">
        <v>298</v>
      </c>
      <c r="D379" s="14">
        <v>43168</v>
      </c>
      <c r="E379" s="14">
        <v>15683</v>
      </c>
      <c r="F379" s="14"/>
      <c r="G379" s="61">
        <f t="shared" si="156"/>
        <v>58851</v>
      </c>
      <c r="H379" s="15">
        <f>69935-75139</f>
        <v>-5204</v>
      </c>
      <c r="I379" s="14">
        <v>75139</v>
      </c>
      <c r="J379" s="14">
        <v>31064</v>
      </c>
      <c r="K379" s="14"/>
      <c r="L379" s="14">
        <f t="shared" si="157"/>
        <v>106203</v>
      </c>
      <c r="M379" s="62">
        <f t="shared" si="158"/>
        <v>47352</v>
      </c>
      <c r="N379" s="14">
        <v>3681</v>
      </c>
      <c r="O379" s="38"/>
      <c r="P379" s="15"/>
      <c r="Q379" s="241"/>
      <c r="R379" s="38"/>
      <c r="S379" s="38"/>
      <c r="T379" s="38"/>
      <c r="U379" s="38"/>
      <c r="V379" s="38"/>
      <c r="W379" s="38"/>
      <c r="X379" s="167"/>
      <c r="Z379" s="46"/>
    </row>
    <row r="380" spans="1:31" ht="15.75" customHeight="1" x14ac:dyDescent="0.25">
      <c r="A380" s="109"/>
      <c r="B380" s="12"/>
      <c r="C380" s="17" t="s">
        <v>698</v>
      </c>
      <c r="D380" s="14"/>
      <c r="E380" s="14"/>
      <c r="F380" s="14"/>
      <c r="G380" s="61">
        <f>SUM(D380:F380)</f>
        <v>0</v>
      </c>
      <c r="H380" s="15"/>
      <c r="I380" s="14"/>
      <c r="J380" s="14"/>
      <c r="K380" s="14"/>
      <c r="L380" s="14">
        <f>SUM(I380:K380)</f>
        <v>0</v>
      </c>
      <c r="M380" s="62">
        <f>(L380-G380)</f>
        <v>0</v>
      </c>
      <c r="N380" s="14"/>
      <c r="O380" s="38"/>
      <c r="P380" s="15"/>
      <c r="Q380" s="241">
        <v>436</v>
      </c>
      <c r="R380" s="38"/>
      <c r="S380" s="38"/>
      <c r="T380" s="38"/>
      <c r="U380" s="38"/>
      <c r="V380" s="38"/>
      <c r="W380" s="38"/>
      <c r="X380" s="167"/>
      <c r="Y380" s="277" t="s">
        <v>699</v>
      </c>
      <c r="Z380" s="46"/>
    </row>
    <row r="381" spans="1:31" ht="15.75" customHeight="1" x14ac:dyDescent="0.25">
      <c r="A381" s="6" t="s">
        <v>111</v>
      </c>
      <c r="B381" s="32" t="s">
        <v>119</v>
      </c>
      <c r="C381" s="13" t="s">
        <v>230</v>
      </c>
      <c r="D381" s="14"/>
      <c r="E381" s="14"/>
      <c r="F381" s="14">
        <v>2844</v>
      </c>
      <c r="G381" s="61">
        <f t="shared" si="156"/>
        <v>2844</v>
      </c>
      <c r="H381" s="15"/>
      <c r="I381" s="14"/>
      <c r="J381" s="14">
        <v>4485</v>
      </c>
      <c r="K381" s="14"/>
      <c r="L381" s="14">
        <f t="shared" si="157"/>
        <v>4485</v>
      </c>
      <c r="M381" s="62">
        <f t="shared" si="158"/>
        <v>1641</v>
      </c>
      <c r="N381" s="15"/>
      <c r="O381" s="38"/>
      <c r="P381" s="15"/>
      <c r="Q381" s="241"/>
      <c r="R381" s="38"/>
      <c r="S381" s="38"/>
      <c r="T381" s="38"/>
      <c r="U381" s="38"/>
      <c r="V381" s="38"/>
      <c r="W381" s="38"/>
      <c r="X381" s="167"/>
    </row>
    <row r="382" spans="1:31" ht="15.75" customHeight="1" x14ac:dyDescent="0.25">
      <c r="A382" s="6" t="s">
        <v>111</v>
      </c>
      <c r="B382" s="32" t="s">
        <v>119</v>
      </c>
      <c r="C382" s="13" t="s">
        <v>270</v>
      </c>
      <c r="D382" s="14">
        <v>9515</v>
      </c>
      <c r="E382" s="14">
        <v>18688</v>
      </c>
      <c r="F382" s="14"/>
      <c r="G382" s="61">
        <f t="shared" si="156"/>
        <v>28203</v>
      </c>
      <c r="H382" s="15">
        <f>9310-9515</f>
        <v>-205</v>
      </c>
      <c r="I382" s="14">
        <v>9515</v>
      </c>
      <c r="J382" s="14">
        <v>24222</v>
      </c>
      <c r="K382" s="30"/>
      <c r="L382" s="14">
        <f t="shared" si="157"/>
        <v>33737</v>
      </c>
      <c r="M382" s="62">
        <f t="shared" si="158"/>
        <v>5534</v>
      </c>
      <c r="N382" s="15"/>
      <c r="O382" s="38"/>
      <c r="P382" s="15"/>
      <c r="Q382" s="241"/>
      <c r="R382" s="38"/>
      <c r="S382" s="38"/>
      <c r="T382" s="38"/>
      <c r="U382" s="38"/>
      <c r="V382" s="38"/>
      <c r="W382" s="38"/>
      <c r="X382" s="167"/>
    </row>
    <row r="383" spans="1:31" ht="15.75" customHeight="1" x14ac:dyDescent="0.25">
      <c r="A383" s="109"/>
      <c r="B383" s="12"/>
      <c r="C383" s="31" t="s">
        <v>231</v>
      </c>
      <c r="D383" s="14"/>
      <c r="E383" s="14"/>
      <c r="F383" s="14"/>
      <c r="G383" s="61">
        <f>SUM(D383:F383)</f>
        <v>0</v>
      </c>
      <c r="H383" s="15"/>
      <c r="I383" s="14"/>
      <c r="J383" s="14"/>
      <c r="K383" s="14"/>
      <c r="L383" s="14">
        <f>SUM(I383:K383)</f>
        <v>0</v>
      </c>
      <c r="M383" s="62">
        <f>(L383-G383)</f>
        <v>0</v>
      </c>
      <c r="N383" s="14"/>
      <c r="O383" s="38"/>
      <c r="P383" s="15"/>
      <c r="Q383" s="241"/>
      <c r="R383" s="38"/>
      <c r="S383" s="38"/>
      <c r="T383" s="38"/>
      <c r="U383" s="38"/>
      <c r="V383" s="38"/>
      <c r="W383" s="38"/>
      <c r="X383" s="167"/>
    </row>
    <row r="384" spans="1:31" ht="15.75" customHeight="1" x14ac:dyDescent="0.25">
      <c r="A384" s="6" t="s">
        <v>111</v>
      </c>
      <c r="B384" s="32" t="s">
        <v>119</v>
      </c>
      <c r="C384" s="17" t="s">
        <v>700</v>
      </c>
      <c r="D384" s="14"/>
      <c r="E384" s="14"/>
      <c r="F384" s="14"/>
      <c r="G384" s="61">
        <f t="shared" si="156"/>
        <v>0</v>
      </c>
      <c r="H384" s="15"/>
      <c r="I384" s="30"/>
      <c r="J384" s="14"/>
      <c r="K384" s="30"/>
      <c r="L384" s="14">
        <f>SUM(I384:K384)</f>
        <v>0</v>
      </c>
      <c r="M384" s="62">
        <f>L384-G384</f>
        <v>0</v>
      </c>
      <c r="N384" s="15"/>
      <c r="O384" s="38"/>
      <c r="P384" s="15"/>
      <c r="Q384" s="241"/>
      <c r="R384" s="38"/>
      <c r="S384" s="38"/>
      <c r="T384" s="38"/>
      <c r="U384" s="38"/>
      <c r="V384" s="38"/>
      <c r="W384" s="38"/>
      <c r="X384" s="167"/>
      <c r="Z384" s="46"/>
    </row>
    <row r="385" spans="1:31" ht="15.75" customHeight="1" x14ac:dyDescent="0.25">
      <c r="A385" s="6" t="s">
        <v>111</v>
      </c>
      <c r="B385" s="32" t="s">
        <v>119</v>
      </c>
      <c r="C385" s="17"/>
      <c r="D385" s="14"/>
      <c r="E385" s="14"/>
      <c r="F385" s="14"/>
      <c r="G385" s="61">
        <f t="shared" si="156"/>
        <v>0</v>
      </c>
      <c r="H385" s="15"/>
      <c r="I385" s="30"/>
      <c r="J385" s="14"/>
      <c r="K385" s="30"/>
      <c r="L385" s="14">
        <f>SUM(I385:K385)</f>
        <v>0</v>
      </c>
      <c r="M385" s="62">
        <f>L385-G385</f>
        <v>0</v>
      </c>
      <c r="N385" s="15"/>
      <c r="R385" s="192"/>
      <c r="S385" s="38"/>
      <c r="T385" s="38"/>
      <c r="U385" s="38"/>
      <c r="V385" s="38"/>
      <c r="W385" s="38"/>
      <c r="X385" s="167"/>
    </row>
    <row r="386" spans="1:31" ht="15.75" customHeight="1" x14ac:dyDescent="0.25">
      <c r="A386" s="6" t="s">
        <v>111</v>
      </c>
      <c r="B386" s="32" t="s">
        <v>119</v>
      </c>
      <c r="C386" s="17" t="s">
        <v>701</v>
      </c>
      <c r="D386" s="14"/>
      <c r="E386" s="14"/>
      <c r="F386" s="14"/>
      <c r="G386" s="61">
        <f t="shared" si="156"/>
        <v>0</v>
      </c>
      <c r="H386" s="15"/>
      <c r="I386" s="30"/>
      <c r="J386" s="14"/>
      <c r="K386" s="30"/>
      <c r="L386" s="14">
        <f t="shared" ref="L386:L390" si="159">SUM(I386:K386)</f>
        <v>0</v>
      </c>
      <c r="M386" s="62">
        <f t="shared" ref="M386:M390" si="160">L386-G386</f>
        <v>0</v>
      </c>
      <c r="N386" s="15"/>
      <c r="S386" s="38"/>
      <c r="T386" s="38">
        <v>300</v>
      </c>
      <c r="U386" s="38"/>
      <c r="V386" s="38"/>
      <c r="W386" s="38"/>
      <c r="X386" s="167"/>
    </row>
    <row r="387" spans="1:31" ht="15.75" customHeight="1" x14ac:dyDescent="0.25">
      <c r="A387" s="6" t="s">
        <v>111</v>
      </c>
      <c r="B387" s="32" t="s">
        <v>119</v>
      </c>
      <c r="C387" s="17" t="s">
        <v>702</v>
      </c>
      <c r="D387" s="14"/>
      <c r="E387" s="14"/>
      <c r="F387" s="14"/>
      <c r="G387" s="61">
        <f t="shared" si="156"/>
        <v>0</v>
      </c>
      <c r="H387" s="15"/>
      <c r="I387" s="30"/>
      <c r="J387" s="18"/>
      <c r="K387" s="30"/>
      <c r="L387" s="14">
        <f t="shared" si="159"/>
        <v>0</v>
      </c>
      <c r="M387" s="62">
        <f t="shared" si="160"/>
        <v>0</v>
      </c>
      <c r="N387" s="15"/>
      <c r="O387" s="159"/>
      <c r="P387" s="2"/>
      <c r="Q387" s="1"/>
      <c r="R387" s="159"/>
      <c r="S387" s="38"/>
      <c r="T387" s="38"/>
      <c r="U387" s="38"/>
      <c r="V387" s="38"/>
      <c r="W387" s="38"/>
      <c r="X387" s="167"/>
    </row>
    <row r="388" spans="1:31" ht="15.75" customHeight="1" x14ac:dyDescent="0.25">
      <c r="A388" s="6" t="s">
        <v>111</v>
      </c>
      <c r="B388" s="32" t="s">
        <v>119</v>
      </c>
      <c r="C388" s="17" t="s">
        <v>416</v>
      </c>
      <c r="D388" s="14"/>
      <c r="E388" s="14"/>
      <c r="F388" s="14"/>
      <c r="G388" s="61">
        <f t="shared" si="156"/>
        <v>0</v>
      </c>
      <c r="H388" s="15"/>
      <c r="I388" s="30"/>
      <c r="J388" s="14"/>
      <c r="K388" s="30"/>
      <c r="L388" s="14">
        <f t="shared" si="159"/>
        <v>0</v>
      </c>
      <c r="M388" s="62">
        <f t="shared" si="160"/>
        <v>0</v>
      </c>
      <c r="N388" s="15"/>
      <c r="S388" s="38"/>
      <c r="T388" s="38">
        <v>1200</v>
      </c>
      <c r="U388" s="38"/>
      <c r="V388" s="38"/>
      <c r="W388" s="38"/>
      <c r="X388" s="167"/>
    </row>
    <row r="389" spans="1:31" ht="15.75" customHeight="1" x14ac:dyDescent="0.25">
      <c r="A389" s="6" t="s">
        <v>111</v>
      </c>
      <c r="B389" s="32" t="s">
        <v>119</v>
      </c>
      <c r="C389" s="13"/>
      <c r="D389" s="14"/>
      <c r="E389" s="14"/>
      <c r="F389" s="14"/>
      <c r="G389" s="61">
        <f t="shared" si="156"/>
        <v>0</v>
      </c>
      <c r="H389" s="15"/>
      <c r="I389" s="14"/>
      <c r="J389" s="14"/>
      <c r="K389" s="14"/>
      <c r="L389" s="14">
        <f t="shared" si="159"/>
        <v>0</v>
      </c>
      <c r="M389" s="62">
        <f t="shared" si="160"/>
        <v>0</v>
      </c>
      <c r="N389" s="15"/>
      <c r="S389" s="38"/>
      <c r="T389" s="38"/>
      <c r="U389" s="38"/>
      <c r="V389" s="38"/>
      <c r="W389" s="38"/>
      <c r="X389" s="167"/>
      <c r="Z389" s="46"/>
    </row>
    <row r="390" spans="1:31" ht="15.75" customHeight="1" x14ac:dyDescent="0.25">
      <c r="A390" s="6" t="s">
        <v>111</v>
      </c>
      <c r="B390" s="32" t="s">
        <v>119</v>
      </c>
      <c r="C390" s="13"/>
      <c r="D390" s="14"/>
      <c r="E390" s="14"/>
      <c r="F390" s="14"/>
      <c r="G390" s="61">
        <f t="shared" si="156"/>
        <v>0</v>
      </c>
      <c r="H390" s="15"/>
      <c r="I390" s="14"/>
      <c r="J390" s="14"/>
      <c r="K390" s="14"/>
      <c r="L390" s="14">
        <f t="shared" si="159"/>
        <v>0</v>
      </c>
      <c r="M390" s="62">
        <f t="shared" si="160"/>
        <v>0</v>
      </c>
      <c r="N390" s="15"/>
      <c r="S390" s="38"/>
      <c r="T390" s="38"/>
      <c r="U390" s="38"/>
      <c r="V390" s="38"/>
      <c r="W390" s="38"/>
      <c r="X390" s="167"/>
    </row>
    <row r="391" spans="1:31" ht="15.75" customHeight="1" x14ac:dyDescent="0.25">
      <c r="A391" s="109"/>
      <c r="B391" s="3"/>
      <c r="C391" s="29" t="s">
        <v>231</v>
      </c>
      <c r="D391" s="14"/>
      <c r="E391" s="14"/>
      <c r="F391" s="14"/>
      <c r="G391" s="61">
        <f t="shared" ref="G391:G397" si="161">SUM(D391:F391)</f>
        <v>0</v>
      </c>
      <c r="H391" s="15"/>
      <c r="I391" s="14"/>
      <c r="J391" s="14"/>
      <c r="K391" s="14"/>
      <c r="L391" s="14">
        <f t="shared" ref="L391:L397" si="162">SUM(I391:K391)</f>
        <v>0</v>
      </c>
      <c r="M391" s="62">
        <f t="shared" ref="M391:M396" si="163">(L391-G391)</f>
        <v>0</v>
      </c>
      <c r="N391" s="14"/>
      <c r="O391" s="38"/>
      <c r="P391" s="15"/>
      <c r="Q391" s="241"/>
      <c r="R391" s="38"/>
      <c r="S391" s="38"/>
      <c r="T391" s="38"/>
      <c r="U391" s="38"/>
      <c r="V391" s="38"/>
      <c r="W391" s="38"/>
      <c r="X391" s="167"/>
    </row>
    <row r="392" spans="1:31" ht="15.75" customHeight="1" x14ac:dyDescent="0.25">
      <c r="A392" s="109"/>
      <c r="B392" s="3"/>
      <c r="C392" s="13" t="s">
        <v>703</v>
      </c>
      <c r="D392" s="14"/>
      <c r="E392" s="14"/>
      <c r="F392" s="14"/>
      <c r="G392" s="61">
        <f t="shared" si="161"/>
        <v>0</v>
      </c>
      <c r="H392" s="15"/>
      <c r="I392" s="14"/>
      <c r="J392" s="14"/>
      <c r="K392" s="14"/>
      <c r="L392" s="14">
        <f t="shared" si="162"/>
        <v>0</v>
      </c>
      <c r="M392" s="62">
        <f t="shared" si="163"/>
        <v>0</v>
      </c>
      <c r="N392" s="14"/>
      <c r="O392" s="38"/>
      <c r="P392" s="15">
        <v>1457</v>
      </c>
      <c r="Q392" s="241"/>
      <c r="R392" s="38"/>
      <c r="S392" s="38"/>
      <c r="T392" s="38"/>
      <c r="U392" s="38"/>
      <c r="V392" s="38"/>
      <c r="W392" s="38"/>
      <c r="X392" s="167"/>
    </row>
    <row r="393" spans="1:31" ht="15.75" customHeight="1" x14ac:dyDescent="0.25">
      <c r="A393" s="109"/>
      <c r="B393" s="3"/>
      <c r="C393" s="13" t="s">
        <v>704</v>
      </c>
      <c r="D393" s="14"/>
      <c r="E393" s="14"/>
      <c r="F393" s="14"/>
      <c r="G393" s="61">
        <f t="shared" si="161"/>
        <v>0</v>
      </c>
      <c r="H393" s="15"/>
      <c r="I393" s="14"/>
      <c r="J393" s="14"/>
      <c r="K393" s="14"/>
      <c r="L393" s="14">
        <f t="shared" si="162"/>
        <v>0</v>
      </c>
      <c r="M393" s="62">
        <f t="shared" si="163"/>
        <v>0</v>
      </c>
      <c r="N393" s="14"/>
      <c r="O393" s="38"/>
      <c r="P393" s="15">
        <v>905</v>
      </c>
      <c r="Q393" s="241"/>
      <c r="R393" s="38"/>
      <c r="S393" s="38"/>
      <c r="T393" s="38"/>
      <c r="U393" s="38"/>
      <c r="V393" s="38"/>
      <c r="W393" s="38"/>
      <c r="X393" s="167"/>
    </row>
    <row r="394" spans="1:31" ht="15.75" customHeight="1" x14ac:dyDescent="0.25">
      <c r="A394" s="109"/>
      <c r="B394" s="3"/>
      <c r="C394" s="13" t="s">
        <v>705</v>
      </c>
      <c r="D394" s="14"/>
      <c r="E394" s="14"/>
      <c r="F394" s="14"/>
      <c r="G394" s="61">
        <f t="shared" si="161"/>
        <v>0</v>
      </c>
      <c r="H394" s="15"/>
      <c r="I394" s="14"/>
      <c r="J394" s="14"/>
      <c r="K394" s="14"/>
      <c r="L394" s="14">
        <f t="shared" si="162"/>
        <v>0</v>
      </c>
      <c r="M394" s="62">
        <f t="shared" si="163"/>
        <v>0</v>
      </c>
      <c r="N394" s="14"/>
      <c r="O394" s="38"/>
      <c r="P394" s="15">
        <v>520</v>
      </c>
      <c r="Q394" s="241"/>
      <c r="R394" s="38"/>
      <c r="S394" s="38"/>
      <c r="T394" s="38"/>
      <c r="U394" s="38"/>
      <c r="V394" s="38"/>
      <c r="W394" s="38"/>
      <c r="X394" s="167"/>
    </row>
    <row r="395" spans="1:31" ht="15.75" customHeight="1" x14ac:dyDescent="0.25">
      <c r="A395" s="109"/>
      <c r="B395" s="3"/>
      <c r="C395" s="13" t="s">
        <v>706</v>
      </c>
      <c r="D395" s="14"/>
      <c r="E395" s="14"/>
      <c r="F395" s="14"/>
      <c r="G395" s="61">
        <f t="shared" si="161"/>
        <v>0</v>
      </c>
      <c r="H395" s="15"/>
      <c r="I395" s="14"/>
      <c r="J395" s="14"/>
      <c r="K395" s="14"/>
      <c r="L395" s="14">
        <f t="shared" si="162"/>
        <v>0</v>
      </c>
      <c r="M395" s="62">
        <f t="shared" si="163"/>
        <v>0</v>
      </c>
      <c r="N395" s="14"/>
      <c r="O395" s="264">
        <v>1785</v>
      </c>
      <c r="P395" s="15"/>
      <c r="Q395" s="241"/>
      <c r="R395" s="38"/>
      <c r="S395" s="38"/>
      <c r="T395" s="38"/>
      <c r="U395" s="38"/>
      <c r="V395" s="38"/>
      <c r="W395" s="38"/>
      <c r="X395" s="167"/>
      <c r="Y395" s="288" t="s">
        <v>707</v>
      </c>
      <c r="Z395" s="265"/>
    </row>
    <row r="396" spans="1:31" ht="15.75" customHeight="1" x14ac:dyDescent="0.25">
      <c r="A396" s="109"/>
      <c r="B396" s="3"/>
      <c r="C396" s="13" t="s">
        <v>708</v>
      </c>
      <c r="D396" s="14"/>
      <c r="E396" s="14"/>
      <c r="F396" s="14"/>
      <c r="G396" s="61">
        <f t="shared" si="161"/>
        <v>0</v>
      </c>
      <c r="H396" s="15"/>
      <c r="I396" s="14"/>
      <c r="J396" s="14"/>
      <c r="K396" s="14"/>
      <c r="L396" s="14">
        <f t="shared" si="162"/>
        <v>0</v>
      </c>
      <c r="M396" s="62">
        <f t="shared" si="163"/>
        <v>0</v>
      </c>
      <c r="N396" s="14"/>
      <c r="O396" s="264">
        <v>650</v>
      </c>
      <c r="P396" s="15"/>
      <c r="Q396" s="241"/>
      <c r="R396" s="38"/>
      <c r="S396" s="38"/>
      <c r="T396" s="38"/>
      <c r="U396" s="38"/>
      <c r="V396" s="38"/>
      <c r="W396" s="38"/>
      <c r="X396" s="167"/>
      <c r="Y396" s="288" t="s">
        <v>707</v>
      </c>
      <c r="Z396" s="265"/>
    </row>
    <row r="397" spans="1:31" ht="15.75" customHeight="1" x14ac:dyDescent="0.25">
      <c r="A397" s="16"/>
      <c r="B397" s="16"/>
      <c r="C397" s="40" t="s">
        <v>188</v>
      </c>
      <c r="D397" s="96">
        <f t="shared" ref="D397:F397" si="164">SUM(D374:D390)</f>
        <v>140499</v>
      </c>
      <c r="E397" s="96">
        <f t="shared" si="164"/>
        <v>53765</v>
      </c>
      <c r="F397" s="96">
        <f t="shared" si="164"/>
        <v>3694</v>
      </c>
      <c r="G397" s="42">
        <f t="shared" si="161"/>
        <v>197958</v>
      </c>
      <c r="H397" s="96">
        <f t="shared" ref="H397" si="165">SUM(H374:H390)</f>
        <v>-2190</v>
      </c>
      <c r="I397" s="96">
        <f>SUM(I374:I396)</f>
        <v>170584</v>
      </c>
      <c r="J397" s="96">
        <f>SUM(J374:J396)</f>
        <v>82576</v>
      </c>
      <c r="K397" s="96">
        <f>SUM(K374:K396)</f>
        <v>850</v>
      </c>
      <c r="L397" s="96">
        <f t="shared" si="162"/>
        <v>254010</v>
      </c>
      <c r="M397" s="47">
        <f>L397-G397</f>
        <v>56052</v>
      </c>
      <c r="N397" s="96">
        <f t="shared" ref="N397:X397" si="166">SUM(N374:N396)</f>
        <v>14169</v>
      </c>
      <c r="O397" s="96">
        <f t="shared" si="166"/>
        <v>2435</v>
      </c>
      <c r="P397" s="212">
        <f t="shared" si="166"/>
        <v>2882</v>
      </c>
      <c r="Q397" s="260">
        <f t="shared" si="166"/>
        <v>436</v>
      </c>
      <c r="R397" s="212">
        <f t="shared" si="166"/>
        <v>0</v>
      </c>
      <c r="S397" s="212">
        <f t="shared" si="166"/>
        <v>0</v>
      </c>
      <c r="T397" s="212">
        <f t="shared" si="166"/>
        <v>1500</v>
      </c>
      <c r="U397" s="212">
        <f t="shared" si="166"/>
        <v>0</v>
      </c>
      <c r="V397" s="212">
        <f t="shared" si="166"/>
        <v>0</v>
      </c>
      <c r="W397" s="212">
        <f t="shared" si="166"/>
        <v>0</v>
      </c>
      <c r="X397" s="212">
        <f t="shared" si="166"/>
        <v>0</v>
      </c>
      <c r="Y397" s="280"/>
      <c r="Z397" s="16"/>
      <c r="AA397" s="16"/>
      <c r="AB397" s="16"/>
      <c r="AC397" s="16"/>
      <c r="AD397" s="16"/>
      <c r="AE397" s="16"/>
    </row>
    <row r="398" spans="1:31" ht="15.75" customHeight="1" x14ac:dyDescent="0.25">
      <c r="A398" s="16"/>
      <c r="B398" s="16"/>
      <c r="C398" s="44"/>
      <c r="D398" s="99"/>
      <c r="E398" s="99"/>
      <c r="F398" s="99"/>
      <c r="G398" s="94"/>
      <c r="H398" s="93"/>
      <c r="I398" s="99"/>
      <c r="J398" s="99"/>
      <c r="K398" s="99"/>
      <c r="L398" s="18"/>
      <c r="M398" s="47"/>
      <c r="N398" s="99"/>
      <c r="O398" s="190"/>
      <c r="P398" s="100"/>
      <c r="Q398" s="250"/>
      <c r="R398" s="190"/>
      <c r="S398" s="190"/>
      <c r="T398" s="190"/>
      <c r="U398" s="190"/>
      <c r="V398" s="190"/>
      <c r="W398" s="190"/>
      <c r="X398" s="191"/>
      <c r="Y398" s="280"/>
      <c r="Z398" s="16"/>
      <c r="AA398" s="16"/>
      <c r="AB398" s="16"/>
      <c r="AC398" s="16"/>
      <c r="AD398" s="16"/>
      <c r="AE398" s="16"/>
    </row>
    <row r="399" spans="1:31" ht="15.75" customHeight="1" x14ac:dyDescent="0.25">
      <c r="A399" s="6" t="s">
        <v>111</v>
      </c>
      <c r="B399" s="32" t="s">
        <v>129</v>
      </c>
      <c r="C399" s="32" t="s">
        <v>129</v>
      </c>
      <c r="D399" s="74">
        <v>23096</v>
      </c>
      <c r="E399" s="74">
        <v>946</v>
      </c>
      <c r="F399" s="74"/>
      <c r="G399" s="61">
        <f t="shared" ref="G399:G414" si="167">SUM(D399:F399)</f>
        <v>24042</v>
      </c>
      <c r="H399" s="15">
        <f>26848-23496</f>
        <v>3352</v>
      </c>
      <c r="I399" s="74">
        <v>23496</v>
      </c>
      <c r="J399" s="74">
        <v>980</v>
      </c>
      <c r="K399" s="91"/>
      <c r="L399" s="74">
        <f t="shared" ref="L399:L409" si="168">SUM(I399:K399)</f>
        <v>24476</v>
      </c>
      <c r="M399" s="101">
        <f t="shared" ref="M399:M409" si="169">L399-G399</f>
        <v>434</v>
      </c>
      <c r="N399" s="90"/>
      <c r="O399" s="102"/>
      <c r="P399" s="90"/>
      <c r="Q399" s="247"/>
      <c r="R399" s="102"/>
      <c r="S399" s="102"/>
      <c r="T399" s="102"/>
      <c r="U399" s="102"/>
      <c r="V399" s="102"/>
      <c r="W399" s="102"/>
      <c r="X399" s="179"/>
    </row>
    <row r="400" spans="1:31" ht="15.75" customHeight="1" x14ac:dyDescent="0.25">
      <c r="A400" s="6" t="s">
        <v>111</v>
      </c>
      <c r="B400" s="32" t="s">
        <v>129</v>
      </c>
      <c r="C400" s="13" t="s">
        <v>64</v>
      </c>
      <c r="D400" s="14"/>
      <c r="E400" s="14">
        <v>2571</v>
      </c>
      <c r="F400" s="14"/>
      <c r="G400" s="61">
        <f t="shared" si="167"/>
        <v>2571</v>
      </c>
      <c r="H400" s="15"/>
      <c r="I400" s="14"/>
      <c r="J400" s="14">
        <v>2770</v>
      </c>
      <c r="K400" s="30"/>
      <c r="L400" s="14">
        <f t="shared" si="168"/>
        <v>2770</v>
      </c>
      <c r="M400" s="95">
        <f t="shared" si="169"/>
        <v>199</v>
      </c>
      <c r="N400" s="15"/>
      <c r="O400" s="38"/>
      <c r="P400" s="15"/>
      <c r="Q400" s="241"/>
      <c r="R400" s="38"/>
      <c r="S400" s="38"/>
      <c r="T400" s="38"/>
      <c r="U400" s="38"/>
      <c r="V400" s="38"/>
      <c r="W400" s="38"/>
      <c r="X400" s="167"/>
    </row>
    <row r="401" spans="1:26" ht="15.75" customHeight="1" x14ac:dyDescent="0.25">
      <c r="A401" s="6" t="s">
        <v>111</v>
      </c>
      <c r="B401" s="32" t="s">
        <v>129</v>
      </c>
      <c r="C401" s="13" t="s">
        <v>232</v>
      </c>
      <c r="D401" s="14">
        <v>19311</v>
      </c>
      <c r="E401" s="14">
        <v>13986</v>
      </c>
      <c r="F401" s="14"/>
      <c r="G401" s="61">
        <f t="shared" si="167"/>
        <v>33297</v>
      </c>
      <c r="H401" s="15">
        <f>21016-21294</f>
        <v>-278</v>
      </c>
      <c r="I401" s="14">
        <v>21294</v>
      </c>
      <c r="J401" s="14">
        <v>13583</v>
      </c>
      <c r="K401" s="30"/>
      <c r="L401" s="14">
        <f t="shared" si="168"/>
        <v>34877</v>
      </c>
      <c r="M401" s="95">
        <f t="shared" si="169"/>
        <v>1580</v>
      </c>
      <c r="N401" s="15"/>
      <c r="O401" s="38"/>
      <c r="P401" s="15"/>
      <c r="Q401" s="241"/>
      <c r="R401" s="38"/>
      <c r="S401" s="38"/>
      <c r="T401" s="38"/>
      <c r="U401" s="38"/>
      <c r="V401" s="38"/>
      <c r="W401" s="38"/>
      <c r="X401" s="167"/>
    </row>
    <row r="402" spans="1:26" ht="15.75" customHeight="1" x14ac:dyDescent="0.25">
      <c r="A402" s="6" t="s">
        <v>111</v>
      </c>
      <c r="B402" s="32" t="s">
        <v>129</v>
      </c>
      <c r="C402" s="13" t="s">
        <v>229</v>
      </c>
      <c r="D402" s="14">
        <v>10042</v>
      </c>
      <c r="E402" s="14">
        <v>6842</v>
      </c>
      <c r="F402" s="14">
        <v>4800</v>
      </c>
      <c r="G402" s="61">
        <f t="shared" si="167"/>
        <v>21684</v>
      </c>
      <c r="H402" s="15">
        <f>10183-10283</f>
        <v>-100</v>
      </c>
      <c r="I402" s="14">
        <v>10283</v>
      </c>
      <c r="J402" s="14">
        <v>12076</v>
      </c>
      <c r="K402" s="14"/>
      <c r="L402" s="14">
        <f t="shared" si="168"/>
        <v>22359</v>
      </c>
      <c r="M402" s="95">
        <f t="shared" si="169"/>
        <v>675</v>
      </c>
      <c r="N402" s="15"/>
      <c r="O402" s="38"/>
      <c r="P402" s="15"/>
      <c r="Q402" s="241"/>
      <c r="R402" s="38"/>
      <c r="S402" s="38"/>
      <c r="T402" s="38"/>
      <c r="U402" s="38"/>
      <c r="V402" s="38"/>
      <c r="W402" s="38"/>
      <c r="X402" s="167"/>
    </row>
    <row r="403" spans="1:26" ht="15.75" customHeight="1" x14ac:dyDescent="0.25">
      <c r="A403" s="109"/>
      <c r="B403" s="12"/>
      <c r="C403" s="13" t="s">
        <v>230</v>
      </c>
      <c r="D403" s="14"/>
      <c r="E403" s="14"/>
      <c r="F403" s="14"/>
      <c r="G403" s="61">
        <f>SUM(D403:F403)</f>
        <v>0</v>
      </c>
      <c r="H403" s="15"/>
      <c r="I403" s="14"/>
      <c r="J403" s="14">
        <v>4800</v>
      </c>
      <c r="K403" s="14"/>
      <c r="L403" s="14">
        <f>SUM(I403:K403)</f>
        <v>4800</v>
      </c>
      <c r="M403" s="62">
        <f>(L403-G403)</f>
        <v>4800</v>
      </c>
      <c r="N403" s="14"/>
      <c r="O403" s="38"/>
      <c r="P403" s="15"/>
      <c r="Q403" s="241"/>
      <c r="R403" s="38"/>
      <c r="S403" s="38"/>
      <c r="T403" s="38"/>
      <c r="U403" s="38"/>
      <c r="V403" s="38"/>
      <c r="W403" s="38"/>
      <c r="X403" s="167"/>
    </row>
    <row r="404" spans="1:26" ht="15.75" customHeight="1" x14ac:dyDescent="0.25">
      <c r="A404" s="6" t="s">
        <v>111</v>
      </c>
      <c r="B404" s="32" t="s">
        <v>129</v>
      </c>
      <c r="C404" s="13" t="s">
        <v>709</v>
      </c>
      <c r="D404" s="14"/>
      <c r="E404" s="14">
        <v>450</v>
      </c>
      <c r="F404" s="14"/>
      <c r="G404" s="61">
        <f t="shared" si="167"/>
        <v>450</v>
      </c>
      <c r="H404" s="15"/>
      <c r="I404" s="14"/>
      <c r="J404" s="14">
        <v>800</v>
      </c>
      <c r="K404" s="14"/>
      <c r="L404" s="14">
        <f t="shared" si="168"/>
        <v>800</v>
      </c>
      <c r="M404" s="95">
        <f t="shared" si="169"/>
        <v>350</v>
      </c>
      <c r="N404" s="15"/>
      <c r="O404" s="38"/>
      <c r="P404" s="15"/>
      <c r="Q404" s="241"/>
      <c r="R404" s="38"/>
      <c r="S404" s="38"/>
      <c r="T404" s="38"/>
      <c r="U404" s="38"/>
      <c r="V404" s="38"/>
      <c r="W404" s="38"/>
      <c r="X404" s="167"/>
      <c r="Z404" s="46"/>
    </row>
    <row r="405" spans="1:26" ht="15.75" customHeight="1" x14ac:dyDescent="0.25">
      <c r="A405" s="6" t="s">
        <v>111</v>
      </c>
      <c r="B405" s="32" t="s">
        <v>129</v>
      </c>
      <c r="C405" s="13" t="s">
        <v>299</v>
      </c>
      <c r="D405" s="14">
        <v>8179</v>
      </c>
      <c r="E405" s="14">
        <v>2678</v>
      </c>
      <c r="F405" s="14">
        <v>850</v>
      </c>
      <c r="G405" s="61">
        <f t="shared" si="167"/>
        <v>11707</v>
      </c>
      <c r="H405" s="15">
        <f>10384-8566</f>
        <v>1818</v>
      </c>
      <c r="I405" s="14">
        <v>8566</v>
      </c>
      <c r="J405" s="14">
        <v>3350</v>
      </c>
      <c r="K405" s="14">
        <v>850</v>
      </c>
      <c r="L405" s="14">
        <f t="shared" si="168"/>
        <v>12766</v>
      </c>
      <c r="M405" s="95">
        <f t="shared" si="169"/>
        <v>1059</v>
      </c>
      <c r="N405" s="15"/>
      <c r="O405" s="38"/>
      <c r="P405" s="15"/>
      <c r="Q405" s="241"/>
      <c r="R405" s="38"/>
      <c r="S405" s="38"/>
      <c r="T405" s="38"/>
      <c r="U405" s="38"/>
      <c r="V405" s="38"/>
      <c r="W405" s="38"/>
      <c r="X405" s="167"/>
    </row>
    <row r="406" spans="1:26" ht="15.75" customHeight="1" x14ac:dyDescent="0.25">
      <c r="A406" s="6" t="s">
        <v>111</v>
      </c>
      <c r="B406" s="32" t="s">
        <v>129</v>
      </c>
      <c r="C406" s="13" t="s">
        <v>300</v>
      </c>
      <c r="D406" s="14">
        <v>5541</v>
      </c>
      <c r="E406" s="14">
        <v>1556</v>
      </c>
      <c r="F406" s="14"/>
      <c r="G406" s="61">
        <f t="shared" si="167"/>
        <v>7097</v>
      </c>
      <c r="H406" s="15">
        <f>7902-12341</f>
        <v>-4439</v>
      </c>
      <c r="I406" s="14">
        <v>12341</v>
      </c>
      <c r="J406" s="14">
        <v>2761</v>
      </c>
      <c r="K406" s="14"/>
      <c r="L406" s="14">
        <f t="shared" si="168"/>
        <v>15102</v>
      </c>
      <c r="M406" s="95">
        <f t="shared" si="169"/>
        <v>8005</v>
      </c>
      <c r="N406" s="15"/>
      <c r="O406" s="38"/>
      <c r="P406" s="15"/>
      <c r="Q406" s="241"/>
      <c r="R406" s="38"/>
      <c r="S406" s="38"/>
      <c r="T406" s="38"/>
      <c r="U406" s="38"/>
      <c r="V406" s="38"/>
      <c r="W406" s="38"/>
      <c r="X406" s="167"/>
    </row>
    <row r="407" spans="1:26" ht="15.75" customHeight="1" x14ac:dyDescent="0.25">
      <c r="A407" s="109"/>
      <c r="B407" s="12"/>
      <c r="C407" s="31" t="s">
        <v>231</v>
      </c>
      <c r="D407" s="14"/>
      <c r="E407" s="14"/>
      <c r="F407" s="14"/>
      <c r="G407" s="61">
        <f>SUM(D407:F407)</f>
        <v>0</v>
      </c>
      <c r="H407" s="15"/>
      <c r="I407" s="14"/>
      <c r="J407" s="14"/>
      <c r="K407" s="14"/>
      <c r="L407" s="14">
        <f>SUM(I407:K407)</f>
        <v>0</v>
      </c>
      <c r="M407" s="62">
        <f>(L407-G407)</f>
        <v>0</v>
      </c>
      <c r="N407" s="14"/>
      <c r="O407" s="38"/>
      <c r="P407" s="15"/>
      <c r="Q407" s="241"/>
      <c r="R407" s="38"/>
      <c r="S407" s="38"/>
      <c r="T407" s="38"/>
      <c r="U407" s="38"/>
      <c r="V407" s="38"/>
      <c r="W407" s="38"/>
      <c r="X407" s="167"/>
    </row>
    <row r="408" spans="1:26" ht="15.75" customHeight="1" x14ac:dyDescent="0.25">
      <c r="A408" s="109"/>
      <c r="B408" s="12"/>
      <c r="C408" s="13" t="s">
        <v>710</v>
      </c>
      <c r="D408" s="14"/>
      <c r="E408" s="14"/>
      <c r="F408" s="14"/>
      <c r="G408" s="61">
        <f>SUM(D408:F408)</f>
        <v>0</v>
      </c>
      <c r="H408" s="15"/>
      <c r="I408" s="14"/>
      <c r="J408" s="14"/>
      <c r="K408" s="14"/>
      <c r="L408" s="14">
        <f>SUM(I408:K408)</f>
        <v>0</v>
      </c>
      <c r="M408" s="62">
        <f>(L408-G408)</f>
        <v>0</v>
      </c>
      <c r="N408" s="14"/>
      <c r="O408" s="38">
        <v>380</v>
      </c>
      <c r="P408" s="15"/>
      <c r="Q408" s="241"/>
      <c r="R408" s="38"/>
      <c r="S408" s="38"/>
      <c r="T408" s="38"/>
      <c r="U408" s="38"/>
      <c r="V408" s="38"/>
      <c r="W408" s="38"/>
      <c r="X408" s="167"/>
    </row>
    <row r="409" spans="1:26" ht="15.75" customHeight="1" x14ac:dyDescent="0.25">
      <c r="A409" s="6" t="s">
        <v>111</v>
      </c>
      <c r="B409" s="32" t="s">
        <v>129</v>
      </c>
      <c r="C409" s="17" t="s">
        <v>711</v>
      </c>
      <c r="D409" s="14"/>
      <c r="E409" s="14"/>
      <c r="F409" s="14"/>
      <c r="G409" s="61">
        <f t="shared" si="167"/>
        <v>0</v>
      </c>
      <c r="H409" s="15"/>
      <c r="I409" s="30"/>
      <c r="J409" s="14"/>
      <c r="K409" s="14"/>
      <c r="L409" s="14">
        <f t="shared" si="168"/>
        <v>0</v>
      </c>
      <c r="M409" s="62">
        <f t="shared" si="169"/>
        <v>0</v>
      </c>
      <c r="N409" s="15"/>
      <c r="O409" s="38"/>
      <c r="P409" s="15"/>
      <c r="Q409" s="241"/>
      <c r="R409" s="38"/>
      <c r="S409" s="38"/>
      <c r="T409" s="38"/>
      <c r="U409" s="38"/>
      <c r="V409" s="38"/>
      <c r="W409" s="38"/>
      <c r="X409" s="167"/>
    </row>
    <row r="410" spans="1:26" ht="15.75" customHeight="1" x14ac:dyDescent="0.25">
      <c r="A410" s="6" t="s">
        <v>111</v>
      </c>
      <c r="B410" s="32" t="s">
        <v>129</v>
      </c>
      <c r="C410" s="17" t="s">
        <v>712</v>
      </c>
      <c r="D410" s="14"/>
      <c r="E410" s="14"/>
      <c r="F410" s="14"/>
      <c r="G410" s="61">
        <f t="shared" si="167"/>
        <v>0</v>
      </c>
      <c r="H410" s="15"/>
      <c r="I410" s="30"/>
      <c r="J410" s="14"/>
      <c r="K410" s="14"/>
      <c r="L410" s="14">
        <f t="shared" ref="L410:L414" si="170">SUM(I410:K410)</f>
        <v>0</v>
      </c>
      <c r="M410" s="95">
        <f t="shared" ref="M410:M417" si="171">L410-G410</f>
        <v>0</v>
      </c>
      <c r="N410" s="15"/>
      <c r="O410" s="38"/>
      <c r="P410" s="15"/>
      <c r="Q410" s="241"/>
      <c r="R410" s="38"/>
      <c r="S410" s="38"/>
      <c r="T410" s="38"/>
      <c r="U410" s="38"/>
      <c r="V410" s="38"/>
      <c r="W410" s="38"/>
      <c r="X410" s="167"/>
    </row>
    <row r="411" spans="1:26" ht="15.75" customHeight="1" x14ac:dyDescent="0.25">
      <c r="A411" s="6" t="s">
        <v>111</v>
      </c>
      <c r="B411" s="32" t="s">
        <v>129</v>
      </c>
      <c r="C411" s="17" t="s">
        <v>713</v>
      </c>
      <c r="D411" s="14"/>
      <c r="E411" s="14"/>
      <c r="F411" s="14"/>
      <c r="G411" s="61">
        <f t="shared" si="167"/>
        <v>0</v>
      </c>
      <c r="H411" s="15"/>
      <c r="I411" s="30"/>
      <c r="J411" s="14"/>
      <c r="K411" s="14"/>
      <c r="L411" s="14">
        <f t="shared" si="170"/>
        <v>0</v>
      </c>
      <c r="M411" s="95">
        <f t="shared" si="171"/>
        <v>0</v>
      </c>
      <c r="N411" s="15"/>
      <c r="O411" s="38"/>
      <c r="P411" s="15"/>
      <c r="Q411" s="241"/>
      <c r="R411" s="38"/>
      <c r="S411" s="38"/>
      <c r="T411" s="38">
        <v>1000</v>
      </c>
      <c r="U411" s="38"/>
      <c r="V411" s="38"/>
      <c r="W411" s="38"/>
      <c r="X411" s="167"/>
    </row>
    <row r="412" spans="1:26" ht="15.75" customHeight="1" x14ac:dyDescent="0.25">
      <c r="A412" s="6" t="s">
        <v>111</v>
      </c>
      <c r="B412" s="32" t="s">
        <v>129</v>
      </c>
      <c r="C412" s="17" t="s">
        <v>714</v>
      </c>
      <c r="D412" s="14"/>
      <c r="E412" s="14"/>
      <c r="F412" s="14"/>
      <c r="G412" s="61">
        <f t="shared" si="167"/>
        <v>0</v>
      </c>
      <c r="H412" s="15"/>
      <c r="I412" s="30"/>
      <c r="J412" s="30"/>
      <c r="K412" s="14"/>
      <c r="L412" s="14">
        <f t="shared" si="170"/>
        <v>0</v>
      </c>
      <c r="M412" s="95">
        <f t="shared" si="171"/>
        <v>0</v>
      </c>
      <c r="N412" s="15"/>
      <c r="O412" s="38"/>
      <c r="P412" s="15"/>
      <c r="Q412" s="241"/>
      <c r="R412" s="38"/>
      <c r="S412" s="38"/>
      <c r="T412" s="38"/>
      <c r="U412" s="38"/>
      <c r="V412" s="38"/>
      <c r="W412" s="38"/>
      <c r="X412" s="167"/>
    </row>
    <row r="413" spans="1:26" ht="15.75" customHeight="1" x14ac:dyDescent="0.25">
      <c r="A413" s="6" t="s">
        <v>111</v>
      </c>
      <c r="B413" s="32" t="s">
        <v>129</v>
      </c>
      <c r="C413" s="17" t="s">
        <v>715</v>
      </c>
      <c r="D413" s="14"/>
      <c r="E413" s="14"/>
      <c r="F413" s="14"/>
      <c r="G413" s="61">
        <f t="shared" si="167"/>
        <v>0</v>
      </c>
      <c r="H413" s="15"/>
      <c r="I413" s="30"/>
      <c r="J413" s="30"/>
      <c r="K413" s="14"/>
      <c r="L413" s="14">
        <f t="shared" si="170"/>
        <v>0</v>
      </c>
      <c r="M413" s="95">
        <f t="shared" si="171"/>
        <v>0</v>
      </c>
      <c r="N413" s="15"/>
      <c r="O413" s="38"/>
      <c r="P413" s="15"/>
      <c r="Q413" s="241"/>
      <c r="R413" s="38"/>
      <c r="S413" s="38"/>
      <c r="T413" s="38">
        <v>5000</v>
      </c>
      <c r="U413" s="38"/>
      <c r="V413" s="38"/>
      <c r="W413" s="38"/>
      <c r="X413" s="167"/>
    </row>
    <row r="414" spans="1:26" ht="15.75" customHeight="1" x14ac:dyDescent="0.25">
      <c r="A414" s="6" t="s">
        <v>111</v>
      </c>
      <c r="B414" s="32" t="s">
        <v>129</v>
      </c>
      <c r="C414" s="17" t="s">
        <v>716</v>
      </c>
      <c r="D414" s="14"/>
      <c r="E414" s="14"/>
      <c r="F414" s="14"/>
      <c r="G414" s="61">
        <f t="shared" si="167"/>
        <v>0</v>
      </c>
      <c r="H414" s="15"/>
      <c r="I414" s="30"/>
      <c r="J414" s="30"/>
      <c r="K414" s="14"/>
      <c r="L414" s="14">
        <f t="shared" si="170"/>
        <v>0</v>
      </c>
      <c r="M414" s="43">
        <f t="shared" si="171"/>
        <v>0</v>
      </c>
      <c r="N414" s="15"/>
      <c r="O414" s="38"/>
      <c r="P414" s="15"/>
      <c r="Q414" s="241"/>
      <c r="R414" s="38"/>
      <c r="S414" s="38"/>
      <c r="T414" s="38">
        <v>1900</v>
      </c>
      <c r="U414" s="38"/>
      <c r="V414" s="38"/>
      <c r="W414" s="38"/>
      <c r="X414" s="167"/>
    </row>
    <row r="415" spans="1:26" ht="15.75" customHeight="1" x14ac:dyDescent="0.25">
      <c r="A415" s="109"/>
      <c r="B415" s="3"/>
      <c r="C415" s="13" t="s">
        <v>717</v>
      </c>
      <c r="D415" s="14"/>
      <c r="E415" s="14"/>
      <c r="F415" s="14"/>
      <c r="G415" s="61">
        <f>SUM(D415:F415)</f>
        <v>0</v>
      </c>
      <c r="H415" s="15"/>
      <c r="I415" s="14"/>
      <c r="J415" s="14"/>
      <c r="K415" s="14"/>
      <c r="L415" s="14">
        <f>SUM(I415:K415)</f>
        <v>0</v>
      </c>
      <c r="M415" s="39">
        <f>(L415-G415)</f>
        <v>0</v>
      </c>
      <c r="N415" s="14"/>
      <c r="O415" s="38"/>
      <c r="P415" s="15"/>
      <c r="Q415" s="241">
        <v>2673</v>
      </c>
      <c r="R415" s="38"/>
      <c r="S415" s="38"/>
      <c r="T415" s="38"/>
      <c r="U415" s="38"/>
      <c r="V415" s="38"/>
      <c r="W415" s="38"/>
      <c r="X415" s="167"/>
    </row>
    <row r="416" spans="1:26" ht="15.75" customHeight="1" x14ac:dyDescent="0.25">
      <c r="A416" s="109"/>
      <c r="B416" s="3"/>
      <c r="C416" s="13"/>
      <c r="D416" s="14"/>
      <c r="E416" s="14"/>
      <c r="F416" s="14"/>
      <c r="G416" s="61">
        <f>SUM(D416:F416)</f>
        <v>0</v>
      </c>
      <c r="H416" s="15"/>
      <c r="I416" s="14"/>
      <c r="J416" s="14"/>
      <c r="K416" s="14"/>
      <c r="L416" s="14">
        <f>SUM(I416:K416)</f>
        <v>0</v>
      </c>
      <c r="M416" s="39">
        <f>(L416-G416)</f>
        <v>0</v>
      </c>
      <c r="N416" s="14"/>
      <c r="O416" s="38"/>
      <c r="P416" s="15"/>
      <c r="Q416" s="241"/>
      <c r="R416" s="38"/>
      <c r="S416" s="38"/>
      <c r="T416" s="38"/>
      <c r="U416" s="38"/>
      <c r="V416" s="38"/>
      <c r="W416" s="38"/>
      <c r="X416" s="167"/>
    </row>
    <row r="417" spans="1:31" ht="15.75" customHeight="1" x14ac:dyDescent="0.25">
      <c r="A417" s="16"/>
      <c r="B417" s="16"/>
      <c r="C417" s="40" t="s">
        <v>188</v>
      </c>
      <c r="D417" s="96">
        <f>SUM(D399:D414)</f>
        <v>66169</v>
      </c>
      <c r="E417" s="96">
        <f>SUM(E399:E414)</f>
        <v>29029</v>
      </c>
      <c r="F417" s="96">
        <f>SUM(F399:F414)</f>
        <v>5650</v>
      </c>
      <c r="G417" s="42">
        <f>SUM(D417:F417)</f>
        <v>100848</v>
      </c>
      <c r="H417" s="96">
        <f>SUM(H399:H414)</f>
        <v>353</v>
      </c>
      <c r="I417" s="96">
        <f>SUM(I399:I414)</f>
        <v>75980</v>
      </c>
      <c r="J417" s="96">
        <f>SUM(J399:J414)</f>
        <v>41120</v>
      </c>
      <c r="K417" s="96">
        <f>SUM(K399:K414)</f>
        <v>850</v>
      </c>
      <c r="L417" s="89">
        <f>SUM(I417:K417)</f>
        <v>117950</v>
      </c>
      <c r="M417" s="47">
        <f t="shared" si="171"/>
        <v>17102</v>
      </c>
      <c r="N417" s="96">
        <f t="shared" ref="N417:X417" si="172">SUM(N399:N414)</f>
        <v>0</v>
      </c>
      <c r="O417" s="187">
        <f t="shared" si="172"/>
        <v>380</v>
      </c>
      <c r="P417" s="212">
        <f>SUM(P399:P416)</f>
        <v>0</v>
      </c>
      <c r="Q417" s="260">
        <f>SUM(Q399:Q416)</f>
        <v>2673</v>
      </c>
      <c r="R417" s="187">
        <f t="shared" si="172"/>
        <v>0</v>
      </c>
      <c r="S417" s="187">
        <f t="shared" si="172"/>
        <v>0</v>
      </c>
      <c r="T417" s="187">
        <f t="shared" si="172"/>
        <v>7900</v>
      </c>
      <c r="U417" s="187">
        <f t="shared" si="172"/>
        <v>0</v>
      </c>
      <c r="V417" s="187">
        <f t="shared" si="172"/>
        <v>0</v>
      </c>
      <c r="W417" s="187">
        <f t="shared" si="172"/>
        <v>0</v>
      </c>
      <c r="X417" s="187">
        <f t="shared" si="172"/>
        <v>0</v>
      </c>
      <c r="Y417" s="280"/>
      <c r="Z417" s="16"/>
      <c r="AA417" s="16"/>
      <c r="AB417" s="16"/>
      <c r="AC417" s="16"/>
      <c r="AD417" s="16"/>
      <c r="AE417" s="16"/>
    </row>
    <row r="418" spans="1:31" ht="15.75" customHeight="1" x14ac:dyDescent="0.25">
      <c r="A418" s="16"/>
      <c r="B418" s="16"/>
      <c r="C418" s="44"/>
      <c r="D418" s="99"/>
      <c r="E418" s="99"/>
      <c r="F418" s="99"/>
      <c r="G418" s="94"/>
      <c r="H418" s="19"/>
      <c r="I418" s="99"/>
      <c r="J418" s="99"/>
      <c r="K418" s="99"/>
      <c r="L418" s="18"/>
      <c r="M418" s="95"/>
      <c r="N418" s="99"/>
      <c r="O418" s="190"/>
      <c r="P418" s="100"/>
      <c r="Q418" s="250"/>
      <c r="R418" s="190"/>
      <c r="S418" s="190"/>
      <c r="T418" s="190"/>
      <c r="U418" s="190"/>
      <c r="V418" s="190"/>
      <c r="W418" s="190"/>
      <c r="X418" s="191"/>
      <c r="Y418" s="280"/>
      <c r="Z418" s="16"/>
      <c r="AA418" s="16"/>
      <c r="AB418" s="16"/>
      <c r="AC418" s="16"/>
      <c r="AD418" s="16"/>
      <c r="AE418" s="16"/>
    </row>
    <row r="419" spans="1:31" ht="15.75" customHeight="1" x14ac:dyDescent="0.25">
      <c r="A419" s="6" t="s">
        <v>111</v>
      </c>
      <c r="B419" s="32" t="s">
        <v>127</v>
      </c>
      <c r="C419" s="32" t="s">
        <v>127</v>
      </c>
      <c r="D419" s="102">
        <v>26658</v>
      </c>
      <c r="E419" s="102">
        <v>4349</v>
      </c>
      <c r="F419" s="102"/>
      <c r="G419" s="61">
        <f t="shared" ref="G419:G431" si="173">SUM(D419:F419)</f>
        <v>31007</v>
      </c>
      <c r="H419" s="90">
        <f>30898-26858</f>
        <v>4040</v>
      </c>
      <c r="I419" s="74">
        <v>26858</v>
      </c>
      <c r="J419" s="74">
        <v>1862</v>
      </c>
      <c r="K419" s="91"/>
      <c r="L419" s="74">
        <f t="shared" ref="L419:L431" si="174">SUM(I419:K419)</f>
        <v>28720</v>
      </c>
      <c r="M419" s="60">
        <f t="shared" ref="M419:M432" si="175">L419-G419</f>
        <v>-2287</v>
      </c>
      <c r="N419" s="90"/>
      <c r="O419" s="102"/>
      <c r="P419" s="90"/>
      <c r="Q419" s="247"/>
      <c r="R419" s="102"/>
      <c r="S419" s="102"/>
      <c r="T419" s="102"/>
      <c r="U419" s="102"/>
      <c r="V419" s="102"/>
      <c r="W419" s="102"/>
      <c r="X419" s="179"/>
    </row>
    <row r="420" spans="1:31" ht="15.75" customHeight="1" x14ac:dyDescent="0.25">
      <c r="A420" s="6" t="s">
        <v>111</v>
      </c>
      <c r="B420" s="32" t="s">
        <v>127</v>
      </c>
      <c r="C420" s="13" t="s">
        <v>64</v>
      </c>
      <c r="D420" s="38"/>
      <c r="E420" s="38">
        <v>3926</v>
      </c>
      <c r="F420" s="38"/>
      <c r="G420" s="61">
        <f t="shared" si="173"/>
        <v>3926</v>
      </c>
      <c r="H420" s="15"/>
      <c r="I420" s="14"/>
      <c r="J420" s="14">
        <v>6167</v>
      </c>
      <c r="K420" s="30"/>
      <c r="L420" s="14">
        <f t="shared" si="174"/>
        <v>6167</v>
      </c>
      <c r="M420" s="62">
        <f t="shared" si="175"/>
        <v>2241</v>
      </c>
      <c r="N420" s="15"/>
      <c r="O420" s="38"/>
      <c r="P420" s="15"/>
      <c r="Q420" s="241"/>
      <c r="R420" s="38"/>
      <c r="S420" s="38"/>
      <c r="T420" s="38"/>
      <c r="U420" s="38"/>
      <c r="V420" s="38"/>
      <c r="W420" s="38"/>
      <c r="X420" s="167"/>
    </row>
    <row r="421" spans="1:31" ht="15.75" customHeight="1" x14ac:dyDescent="0.25">
      <c r="A421" s="6" t="s">
        <v>111</v>
      </c>
      <c r="B421" s="32" t="s">
        <v>127</v>
      </c>
      <c r="C421" s="13" t="s">
        <v>232</v>
      </c>
      <c r="D421" s="38">
        <v>33995</v>
      </c>
      <c r="E421" s="38">
        <v>8628</v>
      </c>
      <c r="F421" s="38"/>
      <c r="G421" s="61">
        <f t="shared" si="173"/>
        <v>42623</v>
      </c>
      <c r="H421" s="15">
        <f>39479-38486</f>
        <v>993</v>
      </c>
      <c r="I421" s="14">
        <v>38486</v>
      </c>
      <c r="J421" s="14">
        <v>16559</v>
      </c>
      <c r="K421" s="30"/>
      <c r="L421" s="14">
        <f t="shared" si="174"/>
        <v>55045</v>
      </c>
      <c r="M421" s="62">
        <f t="shared" si="175"/>
        <v>12422</v>
      </c>
      <c r="N421" s="15"/>
      <c r="O421" s="38"/>
      <c r="P421" s="15"/>
      <c r="Q421" s="241"/>
      <c r="R421" s="38"/>
      <c r="S421" s="38"/>
      <c r="T421" s="38"/>
      <c r="U421" s="38"/>
      <c r="V421" s="38"/>
      <c r="W421" s="38"/>
      <c r="X421" s="167"/>
    </row>
    <row r="422" spans="1:31" ht="15.75" customHeight="1" x14ac:dyDescent="0.25">
      <c r="A422" s="6" t="s">
        <v>111</v>
      </c>
      <c r="B422" s="32" t="s">
        <v>127</v>
      </c>
      <c r="C422" s="13" t="s">
        <v>718</v>
      </c>
      <c r="D422" s="38">
        <v>466</v>
      </c>
      <c r="E422" s="38">
        <v>224</v>
      </c>
      <c r="F422" s="38"/>
      <c r="G422" s="61">
        <f t="shared" si="173"/>
        <v>690</v>
      </c>
      <c r="H422" s="15"/>
      <c r="I422" s="14">
        <v>566</v>
      </c>
      <c r="J422" s="14">
        <v>50</v>
      </c>
      <c r="K422" s="30"/>
      <c r="L422" s="14">
        <f t="shared" si="174"/>
        <v>616</v>
      </c>
      <c r="M422" s="62">
        <f t="shared" si="175"/>
        <v>-74</v>
      </c>
      <c r="N422" s="14">
        <v>10488</v>
      </c>
      <c r="O422" s="38"/>
      <c r="P422" s="15"/>
      <c r="Q422" s="241"/>
      <c r="R422" s="38"/>
      <c r="S422" s="38"/>
      <c r="T422" s="38"/>
      <c r="U422" s="38"/>
      <c r="V422" s="38"/>
      <c r="W422" s="38"/>
      <c r="X422" s="167"/>
    </row>
    <row r="423" spans="1:31" ht="15.75" customHeight="1" x14ac:dyDescent="0.25">
      <c r="A423" s="6" t="s">
        <v>111</v>
      </c>
      <c r="B423" s="32" t="s">
        <v>127</v>
      </c>
      <c r="C423" s="13" t="s">
        <v>302</v>
      </c>
      <c r="D423" s="38">
        <v>10043</v>
      </c>
      <c r="E423" s="38">
        <v>2334</v>
      </c>
      <c r="F423" s="38">
        <v>1000</v>
      </c>
      <c r="G423" s="61">
        <f t="shared" si="173"/>
        <v>13377</v>
      </c>
      <c r="H423" s="15">
        <f>13036-10043</f>
        <v>2993</v>
      </c>
      <c r="I423" s="14">
        <v>10043</v>
      </c>
      <c r="J423" s="14">
        <v>2032</v>
      </c>
      <c r="K423" s="14">
        <v>850</v>
      </c>
      <c r="L423" s="14">
        <f t="shared" si="174"/>
        <v>12925</v>
      </c>
      <c r="M423" s="62">
        <f t="shared" si="175"/>
        <v>-452</v>
      </c>
      <c r="N423" s="15"/>
      <c r="O423" s="38"/>
      <c r="P423" s="15"/>
      <c r="Q423" s="241"/>
      <c r="R423" s="38"/>
      <c r="S423" s="38"/>
      <c r="T423" s="38"/>
      <c r="U423" s="38"/>
      <c r="V423" s="38"/>
      <c r="W423" s="38"/>
      <c r="X423" s="167"/>
    </row>
    <row r="424" spans="1:31" ht="15.75" customHeight="1" x14ac:dyDescent="0.25">
      <c r="A424" s="6" t="s">
        <v>111</v>
      </c>
      <c r="B424" s="32" t="s">
        <v>127</v>
      </c>
      <c r="C424" s="13" t="s">
        <v>303</v>
      </c>
      <c r="D424" s="38">
        <v>12373</v>
      </c>
      <c r="E424" s="38">
        <v>3060</v>
      </c>
      <c r="F424" s="38"/>
      <c r="G424" s="61">
        <f t="shared" si="173"/>
        <v>15433</v>
      </c>
      <c r="H424" s="15">
        <f>14328-11979</f>
        <v>2349</v>
      </c>
      <c r="I424" s="14">
        <v>11979</v>
      </c>
      <c r="J424" s="14">
        <v>2657</v>
      </c>
      <c r="K424" s="30"/>
      <c r="L424" s="14">
        <f t="shared" si="174"/>
        <v>14636</v>
      </c>
      <c r="M424" s="62">
        <f t="shared" si="175"/>
        <v>-797</v>
      </c>
      <c r="N424" s="15"/>
      <c r="O424" s="38"/>
      <c r="P424" s="15"/>
      <c r="Q424" s="241"/>
      <c r="R424" s="38"/>
      <c r="S424" s="38"/>
      <c r="T424" s="38"/>
      <c r="U424" s="38"/>
      <c r="V424" s="38"/>
      <c r="W424" s="38"/>
      <c r="X424" s="167"/>
    </row>
    <row r="425" spans="1:31" ht="15.75" customHeight="1" x14ac:dyDescent="0.25">
      <c r="A425" s="6" t="s">
        <v>111</v>
      </c>
      <c r="B425" s="32" t="s">
        <v>127</v>
      </c>
      <c r="C425" s="13" t="s">
        <v>230</v>
      </c>
      <c r="D425" s="38"/>
      <c r="E425" s="38"/>
      <c r="F425" s="38"/>
      <c r="G425" s="61">
        <f t="shared" si="173"/>
        <v>0</v>
      </c>
      <c r="H425" s="15"/>
      <c r="I425" s="14"/>
      <c r="J425" s="14"/>
      <c r="K425" s="30"/>
      <c r="L425" s="14">
        <f t="shared" si="174"/>
        <v>0</v>
      </c>
      <c r="M425" s="62">
        <f t="shared" si="175"/>
        <v>0</v>
      </c>
      <c r="N425" s="15"/>
      <c r="O425" s="38"/>
      <c r="P425" s="15"/>
      <c r="Q425" s="241"/>
      <c r="R425" s="38"/>
      <c r="S425" s="38"/>
      <c r="T425" s="38"/>
      <c r="U425" s="38"/>
      <c r="V425" s="38"/>
      <c r="W425" s="38"/>
      <c r="X425" s="167"/>
    </row>
    <row r="426" spans="1:31" ht="15.75" customHeight="1" x14ac:dyDescent="0.25">
      <c r="A426" s="109"/>
      <c r="B426" s="12"/>
      <c r="C426" s="13" t="s">
        <v>229</v>
      </c>
      <c r="D426" s="38">
        <v>13904</v>
      </c>
      <c r="E426" s="14">
        <v>13121</v>
      </c>
      <c r="F426" s="14"/>
      <c r="G426" s="61">
        <f>SUM(D426:F426)</f>
        <v>27025</v>
      </c>
      <c r="H426" s="15">
        <f>14943-14330</f>
        <v>613</v>
      </c>
      <c r="I426" s="14">
        <v>14330</v>
      </c>
      <c r="J426" s="14">
        <v>39759</v>
      </c>
      <c r="K426" s="14"/>
      <c r="L426" s="14">
        <f>SUM(I426:K426)</f>
        <v>54089</v>
      </c>
      <c r="M426" s="62">
        <f>(L426-G426)</f>
        <v>27064</v>
      </c>
      <c r="N426" s="14"/>
      <c r="O426" s="38"/>
      <c r="P426" s="15"/>
      <c r="Q426" s="241"/>
      <c r="R426" s="38"/>
      <c r="S426" s="38"/>
      <c r="T426" s="38"/>
      <c r="U426" s="38"/>
      <c r="V426" s="38"/>
      <c r="W426" s="38"/>
      <c r="X426" s="167"/>
    </row>
    <row r="427" spans="1:31" ht="15.75" customHeight="1" x14ac:dyDescent="0.25">
      <c r="A427" s="6" t="s">
        <v>111</v>
      </c>
      <c r="B427" s="32" t="s">
        <v>127</v>
      </c>
      <c r="C427" s="17" t="s">
        <v>719</v>
      </c>
      <c r="D427" s="15"/>
      <c r="E427" s="15"/>
      <c r="F427" s="15"/>
      <c r="G427" s="61">
        <f t="shared" si="173"/>
        <v>0</v>
      </c>
      <c r="H427" s="15"/>
      <c r="I427" s="30"/>
      <c r="J427" s="30"/>
      <c r="K427" s="30"/>
      <c r="L427" s="14">
        <f t="shared" si="174"/>
        <v>0</v>
      </c>
      <c r="M427" s="62">
        <f t="shared" si="175"/>
        <v>0</v>
      </c>
      <c r="N427" s="15"/>
      <c r="O427" s="38"/>
      <c r="P427" s="305"/>
      <c r="Q427" s="241">
        <v>4445</v>
      </c>
      <c r="R427" s="38"/>
      <c r="S427" s="38"/>
      <c r="T427" s="38">
        <v>9000</v>
      </c>
      <c r="U427" s="38"/>
      <c r="V427" s="38"/>
      <c r="W427" s="38"/>
      <c r="X427" s="167"/>
      <c r="Y427" s="277" t="s">
        <v>720</v>
      </c>
    </row>
    <row r="428" spans="1:31" ht="15.75" customHeight="1" x14ac:dyDescent="0.25">
      <c r="A428" s="6" t="s">
        <v>111</v>
      </c>
      <c r="B428" s="32" t="s">
        <v>127</v>
      </c>
      <c r="C428" s="17"/>
      <c r="D428" s="15"/>
      <c r="E428" s="15"/>
      <c r="F428" s="15"/>
      <c r="G428" s="61">
        <f t="shared" si="173"/>
        <v>0</v>
      </c>
      <c r="H428" s="15"/>
      <c r="I428" s="14"/>
      <c r="J428" s="14"/>
      <c r="K428" s="14"/>
      <c r="L428" s="14">
        <f t="shared" si="174"/>
        <v>0</v>
      </c>
      <c r="M428" s="62">
        <f t="shared" si="175"/>
        <v>0</v>
      </c>
      <c r="N428" s="15"/>
      <c r="O428" s="38"/>
      <c r="P428" s="15"/>
      <c r="Q428" s="241"/>
      <c r="R428" s="38"/>
      <c r="S428" s="38"/>
      <c r="T428" s="38"/>
      <c r="U428" s="38"/>
      <c r="V428" s="38"/>
      <c r="W428" s="38"/>
      <c r="X428" s="167"/>
    </row>
    <row r="429" spans="1:31" ht="15.75" customHeight="1" x14ac:dyDescent="0.25">
      <c r="A429" s="109"/>
      <c r="B429" s="3"/>
      <c r="C429" s="29" t="s">
        <v>231</v>
      </c>
      <c r="D429" s="14"/>
      <c r="E429" s="14"/>
      <c r="F429" s="14"/>
      <c r="G429" s="61">
        <f>SUM(D429:F429)</f>
        <v>0</v>
      </c>
      <c r="H429" s="15"/>
      <c r="I429" s="14"/>
      <c r="J429" s="14"/>
      <c r="K429" s="14"/>
      <c r="L429" s="14">
        <f>SUM(I429:K429)</f>
        <v>0</v>
      </c>
      <c r="M429" s="62">
        <f>(L429-G429)</f>
        <v>0</v>
      </c>
      <c r="N429" s="14"/>
      <c r="O429" s="38"/>
      <c r="P429" s="15"/>
      <c r="Q429" s="241"/>
      <c r="R429" s="38"/>
      <c r="S429" s="38"/>
      <c r="T429" s="38"/>
      <c r="U429" s="38"/>
      <c r="V429" s="38"/>
      <c r="W429" s="38"/>
      <c r="X429" s="167"/>
    </row>
    <row r="430" spans="1:31" ht="15.75" customHeight="1" x14ac:dyDescent="0.25">
      <c r="A430" s="109"/>
      <c r="B430" s="3"/>
      <c r="C430" s="13" t="s">
        <v>721</v>
      </c>
      <c r="D430" s="14"/>
      <c r="E430" s="14"/>
      <c r="F430" s="14"/>
      <c r="G430" s="61">
        <f>SUM(D430:F430)</f>
        <v>0</v>
      </c>
      <c r="H430" s="97"/>
      <c r="I430" s="14"/>
      <c r="J430" s="14"/>
      <c r="K430" s="14"/>
      <c r="L430" s="14">
        <f>SUM(I430:K430)</f>
        <v>0</v>
      </c>
      <c r="M430" s="62">
        <f>(L430-G430)</f>
        <v>0</v>
      </c>
      <c r="N430" s="14"/>
      <c r="O430" s="38"/>
      <c r="P430" s="15">
        <v>600</v>
      </c>
      <c r="Q430" s="241"/>
      <c r="R430" s="38"/>
      <c r="S430" s="38"/>
      <c r="T430" s="38"/>
      <c r="U430" s="38"/>
      <c r="V430" s="38"/>
      <c r="W430" s="38"/>
      <c r="X430" s="167"/>
    </row>
    <row r="431" spans="1:31" ht="15.75" customHeight="1" x14ac:dyDescent="0.25">
      <c r="A431" s="16"/>
      <c r="B431" s="16"/>
      <c r="C431" s="40" t="s">
        <v>188</v>
      </c>
      <c r="D431" s="96">
        <f t="shared" ref="D431:F431" si="176">SUM(D419:D428)</f>
        <v>97439</v>
      </c>
      <c r="E431" s="96">
        <f t="shared" si="176"/>
        <v>35642</v>
      </c>
      <c r="F431" s="96">
        <f t="shared" si="176"/>
        <v>1000</v>
      </c>
      <c r="G431" s="42">
        <f t="shared" si="173"/>
        <v>134081</v>
      </c>
      <c r="H431" s="97">
        <f t="shared" ref="H431" si="177">SUM(H419:H428)</f>
        <v>10988</v>
      </c>
      <c r="I431" s="96">
        <f>SUM(I419:I430)</f>
        <v>102262</v>
      </c>
      <c r="J431" s="96">
        <f>SUM(J419:J430)</f>
        <v>69086</v>
      </c>
      <c r="K431" s="96">
        <f>SUM(K419:K430)</f>
        <v>850</v>
      </c>
      <c r="L431" s="96">
        <f t="shared" si="174"/>
        <v>172198</v>
      </c>
      <c r="M431" s="47">
        <f t="shared" si="175"/>
        <v>38117</v>
      </c>
      <c r="N431" s="96">
        <f t="shared" ref="N431:X431" si="178">SUM(N419:N430)</f>
        <v>10488</v>
      </c>
      <c r="O431" s="187">
        <f t="shared" si="178"/>
        <v>0</v>
      </c>
      <c r="P431" s="187">
        <f t="shared" si="178"/>
        <v>600</v>
      </c>
      <c r="Q431" s="260">
        <f t="shared" si="178"/>
        <v>4445</v>
      </c>
      <c r="R431" s="187">
        <f t="shared" si="178"/>
        <v>0</v>
      </c>
      <c r="S431" s="187">
        <f t="shared" si="178"/>
        <v>0</v>
      </c>
      <c r="T431" s="187">
        <f t="shared" si="178"/>
        <v>9000</v>
      </c>
      <c r="U431" s="187">
        <f t="shared" si="178"/>
        <v>0</v>
      </c>
      <c r="V431" s="187">
        <f t="shared" si="178"/>
        <v>0</v>
      </c>
      <c r="W431" s="187">
        <f t="shared" si="178"/>
        <v>0</v>
      </c>
      <c r="X431" s="187">
        <f t="shared" si="178"/>
        <v>0</v>
      </c>
      <c r="Y431" s="280"/>
      <c r="Z431" s="16"/>
      <c r="AA431" s="16"/>
      <c r="AB431" s="16"/>
      <c r="AC431" s="16"/>
      <c r="AD431" s="16"/>
      <c r="AE431" s="16"/>
    </row>
    <row r="432" spans="1:31" ht="15.75" customHeight="1" x14ac:dyDescent="0.25">
      <c r="A432" s="16"/>
      <c r="B432" s="16"/>
      <c r="C432" s="44" t="s">
        <v>722</v>
      </c>
      <c r="D432" s="99">
        <f t="shared" ref="D432:L432" si="179">D431+D417+D397+D372+D347+D324+D312+D298+D281+D266+D253+D234+D216+D199+D188+D170+D149+D133+D119+D96+D74</f>
        <v>2244469</v>
      </c>
      <c r="E432" s="99" t="e">
        <f t="shared" si="179"/>
        <v>#REF!</v>
      </c>
      <c r="F432" s="99">
        <f t="shared" si="179"/>
        <v>95350</v>
      </c>
      <c r="G432" s="42" t="e">
        <f t="shared" si="179"/>
        <v>#REF!</v>
      </c>
      <c r="H432" s="97">
        <f t="shared" si="179"/>
        <v>158181</v>
      </c>
      <c r="I432" s="99">
        <f t="shared" si="179"/>
        <v>2402579</v>
      </c>
      <c r="J432" s="99">
        <f t="shared" si="179"/>
        <v>1749041</v>
      </c>
      <c r="K432" s="99">
        <f t="shared" si="179"/>
        <v>22974</v>
      </c>
      <c r="L432" s="96">
        <f t="shared" si="179"/>
        <v>4174594</v>
      </c>
      <c r="M432" s="62" t="e">
        <f t="shared" si="175"/>
        <v>#REF!</v>
      </c>
      <c r="N432" s="99">
        <f t="shared" ref="N432:X432" si="180">N431+N417+N397+N372+N347+N324+N312+N298+N281+N266+N253+N234+N216+N199+N188+N170+N149+N133+N119+N96+N74</f>
        <v>159511</v>
      </c>
      <c r="O432" s="190">
        <f t="shared" si="180"/>
        <v>44631</v>
      </c>
      <c r="P432" s="100">
        <f t="shared" si="180"/>
        <v>191088</v>
      </c>
      <c r="Q432" s="250">
        <f t="shared" si="180"/>
        <v>87562</v>
      </c>
      <c r="R432" s="190">
        <f t="shared" si="180"/>
        <v>0</v>
      </c>
      <c r="S432" s="190">
        <f t="shared" si="180"/>
        <v>9336</v>
      </c>
      <c r="T432" s="190">
        <f t="shared" si="180"/>
        <v>32173</v>
      </c>
      <c r="U432" s="190">
        <f t="shared" si="180"/>
        <v>0</v>
      </c>
      <c r="V432" s="190">
        <f t="shared" si="180"/>
        <v>0</v>
      </c>
      <c r="W432" s="190">
        <f t="shared" si="180"/>
        <v>0</v>
      </c>
      <c r="X432" s="190">
        <f t="shared" si="180"/>
        <v>0</v>
      </c>
      <c r="Y432" s="280"/>
      <c r="Z432" s="16"/>
      <c r="AA432" s="16"/>
      <c r="AB432" s="16"/>
      <c r="AC432" s="16"/>
      <c r="AD432" s="16"/>
      <c r="AE432" s="16"/>
    </row>
    <row r="433" spans="1:31" ht="15.75" customHeight="1" x14ac:dyDescent="0.25">
      <c r="A433" s="16"/>
      <c r="B433" s="16"/>
      <c r="C433" s="44"/>
      <c r="D433" s="99"/>
      <c r="E433" s="99"/>
      <c r="F433" s="99"/>
      <c r="G433" s="94"/>
      <c r="H433" s="19"/>
      <c r="I433" s="99"/>
      <c r="J433" s="99"/>
      <c r="K433" s="99"/>
      <c r="L433" s="18"/>
      <c r="M433" s="95"/>
      <c r="N433" s="99"/>
      <c r="O433" s="190"/>
      <c r="P433" s="100"/>
      <c r="Q433" s="250"/>
      <c r="R433" s="190"/>
      <c r="S433" s="190"/>
      <c r="T433" s="190"/>
      <c r="U433" s="190"/>
      <c r="V433" s="190"/>
      <c r="W433" s="190"/>
      <c r="X433" s="191"/>
      <c r="Y433" s="280"/>
      <c r="Z433" s="16"/>
      <c r="AA433" s="16"/>
      <c r="AB433" s="16"/>
      <c r="AC433" s="16"/>
      <c r="AD433" s="16"/>
      <c r="AE433" s="16"/>
    </row>
    <row r="434" spans="1:31" ht="15.75" customHeight="1" x14ac:dyDescent="0.25">
      <c r="A434" s="32" t="s">
        <v>81</v>
      </c>
      <c r="B434" s="32" t="s">
        <v>81</v>
      </c>
      <c r="C434" s="32" t="s">
        <v>81</v>
      </c>
      <c r="D434" s="74"/>
      <c r="E434" s="74">
        <v>59000</v>
      </c>
      <c r="F434" s="74"/>
      <c r="G434" s="59">
        <f t="shared" ref="G434:G438" si="181">SUM(D434:F434)</f>
        <v>59000</v>
      </c>
      <c r="H434" s="90"/>
      <c r="I434" s="74"/>
      <c r="J434" s="74">
        <v>488497</v>
      </c>
      <c r="K434" s="74"/>
      <c r="L434" s="74">
        <f t="shared" ref="L434:L438" si="182">SUM(I434:K434)</f>
        <v>488497</v>
      </c>
      <c r="M434" s="60">
        <f>(L434-G434)</f>
        <v>429497</v>
      </c>
      <c r="N434" s="90"/>
      <c r="O434" s="102"/>
      <c r="P434" s="90"/>
      <c r="Q434" s="247"/>
      <c r="R434" s="102"/>
      <c r="S434" s="102"/>
      <c r="T434" s="102"/>
      <c r="U434" s="102"/>
      <c r="V434" s="102"/>
      <c r="W434" s="102"/>
      <c r="X434" s="179"/>
    </row>
    <row r="435" spans="1:31" ht="15.75" customHeight="1" x14ac:dyDescent="0.25">
      <c r="A435" s="29" t="s">
        <v>83</v>
      </c>
      <c r="B435" s="29" t="s">
        <v>83</v>
      </c>
      <c r="C435" s="29" t="s">
        <v>83</v>
      </c>
      <c r="D435" s="14">
        <v>45728</v>
      </c>
      <c r="E435" s="14">
        <v>10864</v>
      </c>
      <c r="F435" s="14">
        <v>4200</v>
      </c>
      <c r="G435" s="61">
        <f t="shared" si="181"/>
        <v>60792</v>
      </c>
      <c r="H435" s="15">
        <v>5500</v>
      </c>
      <c r="I435" s="14">
        <v>46223</v>
      </c>
      <c r="J435" s="14">
        <v>9492</v>
      </c>
      <c r="K435" s="14">
        <v>2000</v>
      </c>
      <c r="L435" s="14">
        <f t="shared" si="182"/>
        <v>57715</v>
      </c>
      <c r="M435" s="62">
        <f>(L435-G435)</f>
        <v>-3077</v>
      </c>
      <c r="N435" s="15"/>
      <c r="O435" s="38"/>
      <c r="P435" s="15"/>
      <c r="Q435" s="241"/>
      <c r="R435" s="38"/>
      <c r="S435" s="38"/>
      <c r="T435" s="38"/>
      <c r="U435" s="38"/>
      <c r="V435" s="38"/>
      <c r="W435" s="38"/>
      <c r="X435" s="167"/>
    </row>
    <row r="436" spans="1:31" ht="15.75" customHeight="1" x14ac:dyDescent="0.25">
      <c r="A436" s="29" t="s">
        <v>83</v>
      </c>
      <c r="B436" s="29" t="s">
        <v>83</v>
      </c>
      <c r="C436" s="17" t="s">
        <v>723</v>
      </c>
      <c r="D436" s="14"/>
      <c r="E436" s="14"/>
      <c r="F436" s="14"/>
      <c r="G436" s="61">
        <f t="shared" si="181"/>
        <v>0</v>
      </c>
      <c r="H436" s="15"/>
      <c r="I436" s="14"/>
      <c r="J436" s="14"/>
      <c r="K436" s="14"/>
      <c r="L436" s="14">
        <f t="shared" si="182"/>
        <v>0</v>
      </c>
      <c r="M436" s="62">
        <f>(L436-G436)</f>
        <v>0</v>
      </c>
      <c r="N436" s="15"/>
      <c r="O436" s="38"/>
      <c r="P436" s="15"/>
      <c r="Q436" s="241"/>
      <c r="R436" s="38"/>
      <c r="S436" s="38">
        <v>30000</v>
      </c>
      <c r="T436" s="38"/>
      <c r="U436" s="38"/>
      <c r="V436" s="38"/>
      <c r="W436" s="38"/>
      <c r="X436" s="167"/>
    </row>
    <row r="437" spans="1:31" ht="15.75" customHeight="1" x14ac:dyDescent="0.25">
      <c r="A437" s="29" t="s">
        <v>96</v>
      </c>
      <c r="B437" s="29" t="s">
        <v>96</v>
      </c>
      <c r="C437" s="29" t="s">
        <v>96</v>
      </c>
      <c r="D437" s="14"/>
      <c r="E437" s="14">
        <v>26114</v>
      </c>
      <c r="F437" s="14"/>
      <c r="G437" s="61">
        <f t="shared" si="181"/>
        <v>26114</v>
      </c>
      <c r="H437" s="15"/>
      <c r="I437" s="14"/>
      <c r="J437" s="14">
        <v>32098</v>
      </c>
      <c r="K437" s="14"/>
      <c r="L437" s="14">
        <f t="shared" si="182"/>
        <v>32098</v>
      </c>
      <c r="M437" s="62">
        <f>(L437-G437)</f>
        <v>5984</v>
      </c>
      <c r="N437" s="14">
        <v>3390</v>
      </c>
      <c r="O437" s="38"/>
      <c r="P437" s="15"/>
      <c r="Q437" s="241"/>
      <c r="R437" s="38"/>
      <c r="S437" s="38"/>
      <c r="T437" s="38"/>
      <c r="U437" s="38"/>
      <c r="V437" s="38"/>
      <c r="W437" s="38"/>
      <c r="X437" s="167"/>
    </row>
    <row r="438" spans="1:31" ht="15.75" customHeight="1" x14ac:dyDescent="0.25">
      <c r="A438" s="48" t="s">
        <v>58</v>
      </c>
      <c r="B438" s="13" t="s">
        <v>60</v>
      </c>
      <c r="C438" s="13" t="s">
        <v>60</v>
      </c>
      <c r="D438" s="14">
        <v>20000</v>
      </c>
      <c r="E438" s="14"/>
      <c r="F438" s="14"/>
      <c r="G438" s="61">
        <f t="shared" si="181"/>
        <v>20000</v>
      </c>
      <c r="H438" s="15"/>
      <c r="I438" s="14">
        <v>20000</v>
      </c>
      <c r="J438" s="14"/>
      <c r="K438" s="14"/>
      <c r="L438" s="14">
        <f t="shared" si="182"/>
        <v>20000</v>
      </c>
      <c r="M438" s="62">
        <f>(L438-G438)</f>
        <v>0</v>
      </c>
      <c r="N438" s="14"/>
      <c r="O438" s="38"/>
      <c r="P438" s="15"/>
      <c r="Q438" s="241"/>
      <c r="R438" s="38"/>
      <c r="S438" s="38"/>
      <c r="T438" s="38"/>
      <c r="U438" s="38"/>
      <c r="V438" s="38"/>
      <c r="W438" s="38"/>
      <c r="X438" s="167"/>
    </row>
    <row r="439" spans="1:31" ht="15.75" customHeight="1" x14ac:dyDescent="0.25">
      <c r="A439" s="48" t="s">
        <v>58</v>
      </c>
      <c r="B439" s="13" t="s">
        <v>305</v>
      </c>
      <c r="C439" s="13" t="s">
        <v>305</v>
      </c>
      <c r="D439" s="14"/>
      <c r="E439" s="14"/>
      <c r="F439" s="14"/>
      <c r="G439" s="61">
        <f t="shared" ref="G439" si="183">SUM(D439:F439)</f>
        <v>0</v>
      </c>
      <c r="H439" s="15"/>
      <c r="I439" s="14">
        <v>10560</v>
      </c>
      <c r="J439" s="14"/>
      <c r="K439" s="14"/>
      <c r="L439" s="14">
        <f t="shared" ref="L439" si="184">SUM(I439:K439)</f>
        <v>10560</v>
      </c>
      <c r="M439" s="62">
        <f t="shared" ref="M439" si="185">L439-G439</f>
        <v>10560</v>
      </c>
      <c r="N439" s="14"/>
      <c r="O439" s="38"/>
      <c r="P439" s="15"/>
      <c r="Q439" s="241"/>
      <c r="R439" s="38"/>
      <c r="S439" s="38"/>
      <c r="T439" s="38"/>
      <c r="U439" s="38"/>
      <c r="V439" s="38"/>
      <c r="W439" s="38"/>
      <c r="X439" s="167"/>
    </row>
    <row r="440" spans="1:31" ht="15.75" customHeight="1" x14ac:dyDescent="0.25">
      <c r="A440" s="48" t="s">
        <v>58</v>
      </c>
      <c r="B440" s="29" t="s">
        <v>59</v>
      </c>
      <c r="C440" s="17" t="s">
        <v>724</v>
      </c>
      <c r="D440" s="18"/>
      <c r="E440" s="18"/>
      <c r="F440" s="18"/>
      <c r="G440" s="61">
        <f t="shared" ref="G440" si="186">SUM(D440:F440)</f>
        <v>0</v>
      </c>
      <c r="H440" s="15"/>
      <c r="I440" s="18"/>
      <c r="J440" s="18"/>
      <c r="K440" s="18"/>
      <c r="L440" s="14">
        <f>SUM(I440:K440)</f>
        <v>0</v>
      </c>
      <c r="M440" s="62">
        <f>(L440-G440)</f>
        <v>0</v>
      </c>
      <c r="N440" s="19"/>
      <c r="O440" s="168"/>
      <c r="P440" s="19"/>
      <c r="Q440" s="242"/>
      <c r="R440" s="168">
        <v>14674</v>
      </c>
      <c r="S440" s="168"/>
      <c r="T440" s="168"/>
      <c r="U440" s="168"/>
      <c r="V440" s="168"/>
      <c r="W440" s="168"/>
      <c r="X440" s="169"/>
      <c r="Y440" s="280"/>
      <c r="Z440" s="16"/>
      <c r="AA440" s="16"/>
      <c r="AB440" s="16"/>
      <c r="AC440" s="16"/>
      <c r="AD440" s="16"/>
      <c r="AE440" s="16"/>
    </row>
    <row r="441" spans="1:31" ht="15.75" customHeight="1" x14ac:dyDescent="0.25">
      <c r="A441" s="48" t="s">
        <v>58</v>
      </c>
      <c r="B441" s="29" t="s">
        <v>59</v>
      </c>
      <c r="C441" s="17" t="s">
        <v>725</v>
      </c>
      <c r="D441" s="18"/>
      <c r="E441" s="18"/>
      <c r="F441" s="18"/>
      <c r="G441" s="61">
        <f t="shared" ref="G441" si="187">SUM(D441:F441)</f>
        <v>0</v>
      </c>
      <c r="H441" s="15"/>
      <c r="I441" s="18"/>
      <c r="J441" s="18"/>
      <c r="K441" s="18"/>
      <c r="L441" s="14">
        <f>SUM(I441:K441)</f>
        <v>0</v>
      </c>
      <c r="M441" s="62">
        <f>(L441-G441)</f>
        <v>0</v>
      </c>
      <c r="N441" s="19"/>
      <c r="O441" s="168"/>
      <c r="P441" s="19"/>
      <c r="Q441" s="242"/>
      <c r="R441" s="168">
        <v>50000</v>
      </c>
      <c r="S441" s="168"/>
      <c r="T441" s="168"/>
      <c r="U441" s="168"/>
      <c r="V441" s="168"/>
      <c r="W441" s="168"/>
      <c r="X441" s="169"/>
      <c r="Y441" s="280"/>
      <c r="Z441" s="16"/>
      <c r="AA441" s="16"/>
      <c r="AB441" s="16"/>
      <c r="AC441" s="16"/>
      <c r="AD441" s="16"/>
      <c r="AE441" s="16"/>
    </row>
    <row r="442" spans="1:31" ht="15.75" customHeight="1" x14ac:dyDescent="0.25">
      <c r="A442" s="48" t="s">
        <v>58</v>
      </c>
      <c r="B442" s="29" t="s">
        <v>59</v>
      </c>
      <c r="C442" s="17" t="s">
        <v>726</v>
      </c>
      <c r="D442" s="18"/>
      <c r="E442" s="18">
        <v>22237</v>
      </c>
      <c r="F442" s="18"/>
      <c r="G442" s="61">
        <f t="shared" ref="G442:G443" si="188">SUM(D442:F442)</f>
        <v>22237</v>
      </c>
      <c r="H442" s="15"/>
      <c r="I442" s="18"/>
      <c r="J442" s="18">
        <v>7219</v>
      </c>
      <c r="K442" s="18"/>
      <c r="L442" s="14">
        <f>SUM(I442:K442)</f>
        <v>7219</v>
      </c>
      <c r="M442" s="62">
        <f>(L442-G442)</f>
        <v>-15018</v>
      </c>
      <c r="N442" s="19"/>
      <c r="O442" s="168"/>
      <c r="P442" s="19"/>
      <c r="Q442" s="242"/>
      <c r="R442" s="168"/>
      <c r="S442" s="168"/>
      <c r="T442" s="168"/>
      <c r="U442" s="168"/>
      <c r="V442" s="168"/>
      <c r="W442" s="168"/>
      <c r="X442" s="169"/>
      <c r="Y442" s="280"/>
      <c r="Z442" s="16"/>
      <c r="AA442" s="16"/>
      <c r="AB442" s="16"/>
      <c r="AC442" s="16"/>
      <c r="AD442" s="16"/>
      <c r="AE442" s="16"/>
    </row>
    <row r="443" spans="1:31" ht="15.75" customHeight="1" x14ac:dyDescent="0.25">
      <c r="A443" s="48" t="s">
        <v>58</v>
      </c>
      <c r="B443" s="29" t="s">
        <v>59</v>
      </c>
      <c r="C443" s="17" t="s">
        <v>727</v>
      </c>
      <c r="D443" s="18"/>
      <c r="E443" s="18"/>
      <c r="F443" s="18"/>
      <c r="G443" s="61">
        <f t="shared" si="188"/>
        <v>0</v>
      </c>
      <c r="H443" s="15"/>
      <c r="I443" s="18"/>
      <c r="J443" s="18"/>
      <c r="K443" s="18"/>
      <c r="L443" s="14">
        <f>SUM(I443:K443)</f>
        <v>0</v>
      </c>
      <c r="M443" s="62">
        <f t="shared" ref="M443" si="189">(L443-G443)</f>
        <v>0</v>
      </c>
      <c r="N443" s="19"/>
      <c r="O443" s="168"/>
      <c r="P443" s="19"/>
      <c r="Q443" s="242"/>
      <c r="R443" s="168"/>
      <c r="S443" s="168"/>
      <c r="T443" s="168"/>
      <c r="U443" s="168"/>
      <c r="V443" s="168"/>
      <c r="W443" s="168"/>
      <c r="X443" s="169"/>
      <c r="Y443" s="280"/>
      <c r="Z443" s="16"/>
      <c r="AA443" s="16"/>
      <c r="AB443" s="16"/>
      <c r="AC443" s="16"/>
      <c r="AD443" s="16"/>
      <c r="AE443" s="16"/>
    </row>
    <row r="444" spans="1:31" ht="15.75" customHeight="1" x14ac:dyDescent="0.25">
      <c r="A444" s="48" t="s">
        <v>58</v>
      </c>
      <c r="B444" s="29" t="s">
        <v>59</v>
      </c>
      <c r="C444" s="13" t="s">
        <v>728</v>
      </c>
      <c r="D444" s="18"/>
      <c r="E444" s="18"/>
      <c r="F444" s="18"/>
      <c r="G444" s="61">
        <f t="shared" ref="G444:G445" si="190">SUM(D444:F444)</f>
        <v>0</v>
      </c>
      <c r="H444" s="15"/>
      <c r="I444" s="18"/>
      <c r="J444" s="18"/>
      <c r="K444" s="18"/>
      <c r="L444" s="14">
        <f t="shared" ref="L444:L445" si="191">SUM(I444:K444)</f>
        <v>0</v>
      </c>
      <c r="M444" s="62">
        <f t="shared" ref="M444:M445" si="192">L444-G444</f>
        <v>0</v>
      </c>
      <c r="N444" s="19"/>
      <c r="O444" s="168"/>
      <c r="P444" s="19"/>
      <c r="Q444" s="242"/>
      <c r="R444" s="168"/>
      <c r="S444" s="168"/>
      <c r="T444" s="168"/>
      <c r="U444" s="168"/>
      <c r="V444" s="168"/>
      <c r="W444" s="168"/>
      <c r="X444" s="169"/>
      <c r="Y444" s="280"/>
      <c r="Z444" s="16"/>
      <c r="AA444" s="16"/>
      <c r="AB444" s="16"/>
      <c r="AC444" s="16"/>
      <c r="AD444" s="16"/>
      <c r="AE444" s="16"/>
    </row>
    <row r="445" spans="1:31" ht="15.75" customHeight="1" x14ac:dyDescent="0.25">
      <c r="A445" s="48" t="s">
        <v>58</v>
      </c>
      <c r="B445" s="29" t="s">
        <v>59</v>
      </c>
      <c r="C445" s="13" t="s">
        <v>729</v>
      </c>
      <c r="D445" s="18"/>
      <c r="E445" s="18"/>
      <c r="F445" s="18"/>
      <c r="G445" s="61">
        <f t="shared" si="190"/>
        <v>0</v>
      </c>
      <c r="H445" s="15"/>
      <c r="I445" s="18"/>
      <c r="J445" s="18"/>
      <c r="K445" s="18"/>
      <c r="L445" s="14">
        <f t="shared" si="191"/>
        <v>0</v>
      </c>
      <c r="M445" s="62">
        <f t="shared" si="192"/>
        <v>0</v>
      </c>
      <c r="N445" s="19"/>
      <c r="O445" s="168"/>
      <c r="P445" s="19"/>
      <c r="Q445" s="242">
        <v>18217</v>
      </c>
      <c r="R445" s="168"/>
      <c r="S445" s="168"/>
      <c r="T445" s="168"/>
      <c r="U445" s="168">
        <f>SUM(V445:X445)</f>
        <v>656641</v>
      </c>
      <c r="V445" s="168">
        <v>31720</v>
      </c>
      <c r="W445" s="168">
        <v>247453</v>
      </c>
      <c r="X445" s="169">
        <v>377468</v>
      </c>
      <c r="Y445" s="280"/>
      <c r="Z445" s="16"/>
      <c r="AA445" s="16"/>
      <c r="AB445" s="16"/>
      <c r="AC445" s="16"/>
      <c r="AD445" s="16"/>
      <c r="AE445" s="16"/>
    </row>
    <row r="446" spans="1:31" ht="15.75" customHeight="1" x14ac:dyDescent="0.25">
      <c r="A446" s="48"/>
      <c r="B446" s="29"/>
      <c r="C446" s="13" t="s">
        <v>309</v>
      </c>
      <c r="D446" s="18"/>
      <c r="E446" s="18"/>
      <c r="F446" s="18"/>
      <c r="G446" s="61">
        <f t="shared" ref="G446:G450" si="193">SUM(D446:F446)</f>
        <v>0</v>
      </c>
      <c r="H446" s="15"/>
      <c r="I446" s="18"/>
      <c r="J446" s="18"/>
      <c r="K446" s="18"/>
      <c r="L446" s="14">
        <f t="shared" ref="L446:L453" si="194">SUM(I446:K446)</f>
        <v>0</v>
      </c>
      <c r="M446" s="62">
        <f t="shared" ref="M446:M452" si="195">(L446-G446)</f>
        <v>0</v>
      </c>
      <c r="N446" s="110">
        <v>1050</v>
      </c>
      <c r="O446" s="168"/>
      <c r="P446" s="19"/>
      <c r="Q446" s="242"/>
      <c r="R446" s="168"/>
      <c r="S446" s="168"/>
      <c r="T446" s="168"/>
      <c r="U446" s="168"/>
      <c r="V446" s="168"/>
      <c r="W446" s="168"/>
      <c r="X446" s="169"/>
      <c r="Y446" s="280"/>
      <c r="Z446" s="16"/>
      <c r="AA446" s="16"/>
      <c r="AB446" s="16"/>
      <c r="AC446" s="16"/>
      <c r="AD446" s="16"/>
      <c r="AE446" s="16"/>
    </row>
    <row r="447" spans="1:31" ht="15.75" customHeight="1" x14ac:dyDescent="0.25">
      <c r="A447" s="48" t="s">
        <v>58</v>
      </c>
      <c r="B447" s="13" t="s">
        <v>62</v>
      </c>
      <c r="C447" s="13" t="s">
        <v>62</v>
      </c>
      <c r="D447" s="14"/>
      <c r="E447" s="14">
        <v>10000</v>
      </c>
      <c r="F447" s="14"/>
      <c r="G447" s="61">
        <f t="shared" si="193"/>
        <v>10000</v>
      </c>
      <c r="H447" s="15"/>
      <c r="I447" s="14"/>
      <c r="J447" s="14">
        <v>5000</v>
      </c>
      <c r="K447" s="14"/>
      <c r="L447" s="14">
        <f t="shared" si="194"/>
        <v>5000</v>
      </c>
      <c r="M447" s="62">
        <f t="shared" si="195"/>
        <v>-5000</v>
      </c>
      <c r="N447" s="15"/>
      <c r="O447" s="38"/>
      <c r="P447" s="15"/>
      <c r="Q447" s="241"/>
      <c r="R447" s="38"/>
      <c r="S447" s="38"/>
      <c r="T447" s="38"/>
      <c r="U447" s="38"/>
      <c r="V447" s="38"/>
      <c r="W447" s="38"/>
      <c r="X447" s="167"/>
    </row>
    <row r="448" spans="1:31" ht="15.75" customHeight="1" x14ac:dyDescent="0.25">
      <c r="A448" s="48" t="s">
        <v>58</v>
      </c>
      <c r="B448" s="13" t="s">
        <v>61</v>
      </c>
      <c r="C448" s="13" t="s">
        <v>310</v>
      </c>
      <c r="D448" s="14"/>
      <c r="E448" s="14"/>
      <c r="F448" s="14"/>
      <c r="G448" s="61">
        <f t="shared" si="193"/>
        <v>0</v>
      </c>
      <c r="H448" s="15"/>
      <c r="I448" s="14"/>
      <c r="J448" s="14">
        <v>14410</v>
      </c>
      <c r="K448" s="14"/>
      <c r="L448" s="14">
        <f t="shared" si="194"/>
        <v>14410</v>
      </c>
      <c r="M448" s="62">
        <f t="shared" si="195"/>
        <v>14410</v>
      </c>
      <c r="N448" s="15"/>
      <c r="O448" s="38"/>
      <c r="P448" s="15"/>
      <c r="Q448" s="241"/>
      <c r="R448" s="38"/>
      <c r="S448" s="38"/>
      <c r="T448" s="38"/>
      <c r="U448" s="38"/>
      <c r="V448" s="38"/>
      <c r="W448" s="38"/>
      <c r="X448" s="167"/>
    </row>
    <row r="449" spans="1:31" ht="15.75" customHeight="1" x14ac:dyDescent="0.25">
      <c r="A449" s="48" t="s">
        <v>58</v>
      </c>
      <c r="B449" s="13" t="s">
        <v>61</v>
      </c>
      <c r="C449" s="17" t="s">
        <v>730</v>
      </c>
      <c r="D449" s="14"/>
      <c r="E449" s="14"/>
      <c r="F449" s="14"/>
      <c r="G449" s="61">
        <f t="shared" si="193"/>
        <v>0</v>
      </c>
      <c r="H449" s="15"/>
      <c r="I449" s="14"/>
      <c r="J449" s="14"/>
      <c r="K449" s="14"/>
      <c r="L449" s="14">
        <f t="shared" si="194"/>
        <v>0</v>
      </c>
      <c r="M449" s="62">
        <f t="shared" si="195"/>
        <v>0</v>
      </c>
      <c r="N449" s="15"/>
      <c r="O449" s="38"/>
      <c r="P449" s="15"/>
      <c r="Q449" s="241"/>
      <c r="R449" s="38"/>
      <c r="S449" s="38"/>
      <c r="T449" s="38"/>
      <c r="U449" s="38"/>
      <c r="V449" s="38"/>
      <c r="W449" s="38"/>
      <c r="X449" s="167"/>
    </row>
    <row r="450" spans="1:31" ht="15.75" customHeight="1" x14ac:dyDescent="0.25">
      <c r="A450" s="48" t="s">
        <v>58</v>
      </c>
      <c r="B450" s="13" t="s">
        <v>61</v>
      </c>
      <c r="C450" s="17" t="s">
        <v>312</v>
      </c>
      <c r="D450" s="14"/>
      <c r="E450" s="14"/>
      <c r="F450" s="14"/>
      <c r="G450" s="61">
        <f t="shared" si="193"/>
        <v>0</v>
      </c>
      <c r="H450" s="15"/>
      <c r="I450" s="14"/>
      <c r="J450" s="14"/>
      <c r="K450" s="14"/>
      <c r="L450" s="14">
        <f t="shared" si="194"/>
        <v>0</v>
      </c>
      <c r="M450" s="62">
        <f t="shared" si="195"/>
        <v>0</v>
      </c>
      <c r="N450" s="14"/>
      <c r="O450" s="38"/>
      <c r="P450" s="15"/>
      <c r="Q450" s="241"/>
      <c r="R450" s="38"/>
      <c r="S450" s="38"/>
      <c r="T450" s="38"/>
      <c r="U450" s="38"/>
      <c r="V450" s="38"/>
      <c r="W450" s="38"/>
      <c r="X450" s="167"/>
    </row>
    <row r="451" spans="1:31" ht="15.75" customHeight="1" x14ac:dyDescent="0.25">
      <c r="A451" s="48" t="s">
        <v>58</v>
      </c>
      <c r="B451" s="13" t="s">
        <v>61</v>
      </c>
      <c r="C451" s="17" t="s">
        <v>731</v>
      </c>
      <c r="D451" s="14"/>
      <c r="E451" s="14"/>
      <c r="F451" s="14"/>
      <c r="G451" s="61">
        <f t="shared" ref="G451" si="196">SUM(D451:F451)</f>
        <v>0</v>
      </c>
      <c r="H451" s="15"/>
      <c r="I451" s="14"/>
      <c r="J451" s="14"/>
      <c r="K451" s="14"/>
      <c r="L451" s="14">
        <f t="shared" si="194"/>
        <v>0</v>
      </c>
      <c r="M451" s="62">
        <f t="shared" si="195"/>
        <v>0</v>
      </c>
      <c r="N451" s="14"/>
      <c r="O451" s="38"/>
      <c r="P451" s="15"/>
      <c r="Q451" s="241"/>
      <c r="R451" s="38"/>
      <c r="S451" s="38"/>
      <c r="T451" s="38"/>
      <c r="U451" s="38"/>
      <c r="V451" s="38"/>
      <c r="W451" s="38"/>
      <c r="X451" s="167"/>
    </row>
    <row r="452" spans="1:31" ht="15.75" customHeight="1" x14ac:dyDescent="0.25">
      <c r="A452" s="48" t="s">
        <v>58</v>
      </c>
      <c r="B452" s="13" t="s">
        <v>61</v>
      </c>
      <c r="C452" s="34" t="s">
        <v>314</v>
      </c>
      <c r="D452" s="98"/>
      <c r="E452" s="98"/>
      <c r="F452" s="98"/>
      <c r="G452" s="61">
        <f t="shared" ref="G452:G453" si="197">SUM(D452:F452)</f>
        <v>0</v>
      </c>
      <c r="H452" s="15"/>
      <c r="I452" s="98"/>
      <c r="J452" s="98"/>
      <c r="K452" s="98"/>
      <c r="L452" s="14">
        <f t="shared" si="194"/>
        <v>0</v>
      </c>
      <c r="M452" s="62">
        <f t="shared" si="195"/>
        <v>0</v>
      </c>
      <c r="N452" s="98"/>
      <c r="O452" s="188"/>
      <c r="P452" s="97"/>
      <c r="Q452" s="253"/>
      <c r="R452" s="188"/>
      <c r="S452" s="188"/>
      <c r="T452" s="188">
        <v>6000</v>
      </c>
      <c r="U452" s="188"/>
      <c r="V452" s="188"/>
      <c r="W452" s="188"/>
      <c r="X452" s="189"/>
    </row>
    <row r="453" spans="1:31" ht="15.75" customHeight="1" x14ac:dyDescent="0.25">
      <c r="A453" s="49"/>
      <c r="B453" s="49"/>
      <c r="C453" s="40" t="s">
        <v>188</v>
      </c>
      <c r="D453" s="103">
        <f>SUM(D434:D452)</f>
        <v>65728</v>
      </c>
      <c r="E453" s="103">
        <f>SUM(E434:E452)</f>
        <v>128215</v>
      </c>
      <c r="F453" s="103">
        <f>SUM(F434:F452)</f>
        <v>4200</v>
      </c>
      <c r="G453" s="59">
        <f t="shared" si="197"/>
        <v>198143</v>
      </c>
      <c r="H453" s="103">
        <f>SUM(H434:H452)</f>
        <v>5500</v>
      </c>
      <c r="I453" s="103">
        <f>SUM(I434:I452)</f>
        <v>76783</v>
      </c>
      <c r="J453" s="103">
        <f>SUM(J434:J452)</f>
        <v>556716</v>
      </c>
      <c r="K453" s="103">
        <f>SUM(K434:K452)</f>
        <v>2000</v>
      </c>
      <c r="L453" s="89">
        <f t="shared" si="194"/>
        <v>635499</v>
      </c>
      <c r="M453" s="60">
        <f>(L453-G453)</f>
        <v>437356</v>
      </c>
      <c r="N453" s="103">
        <f t="shared" ref="N453:X453" si="198">SUM(N434:N452)</f>
        <v>4440</v>
      </c>
      <c r="O453" s="193">
        <f t="shared" si="198"/>
        <v>0</v>
      </c>
      <c r="P453" s="215">
        <f t="shared" si="198"/>
        <v>0</v>
      </c>
      <c r="Q453" s="262">
        <f>SUM(Q434:Q452)</f>
        <v>18217</v>
      </c>
      <c r="R453" s="193">
        <f t="shared" si="198"/>
        <v>64674</v>
      </c>
      <c r="S453" s="193">
        <f t="shared" si="198"/>
        <v>30000</v>
      </c>
      <c r="T453" s="193">
        <f t="shared" si="198"/>
        <v>6000</v>
      </c>
      <c r="U453" s="193">
        <f t="shared" si="198"/>
        <v>656641</v>
      </c>
      <c r="V453" s="193">
        <f t="shared" si="198"/>
        <v>31720</v>
      </c>
      <c r="W453" s="193">
        <f t="shared" si="198"/>
        <v>247453</v>
      </c>
      <c r="X453" s="193">
        <f t="shared" si="198"/>
        <v>377468</v>
      </c>
      <c r="Y453" s="278"/>
      <c r="Z453" s="49"/>
      <c r="AA453" s="49"/>
      <c r="AB453" s="49"/>
      <c r="AC453" s="49"/>
      <c r="AD453" s="49"/>
      <c r="AE453" s="49"/>
    </row>
    <row r="454" spans="1:31" ht="15.75" customHeight="1" x14ac:dyDescent="0.25">
      <c r="A454" s="32" t="s">
        <v>50</v>
      </c>
      <c r="B454" s="29" t="s">
        <v>53</v>
      </c>
      <c r="C454" s="22"/>
      <c r="D454" s="14"/>
      <c r="E454" s="14"/>
      <c r="F454" s="14"/>
      <c r="G454" s="61">
        <f t="shared" ref="G454:G457" si="199">SUM(D454:F454)</f>
        <v>0</v>
      </c>
      <c r="H454" s="15"/>
      <c r="I454" s="14"/>
      <c r="J454" s="14"/>
      <c r="K454" s="30"/>
      <c r="L454" s="14">
        <f t="shared" ref="L454:L458" si="200">SUM(I454:K454)</f>
        <v>0</v>
      </c>
      <c r="M454" s="62">
        <f t="shared" ref="M454:M458" si="201">L454-G454</f>
        <v>0</v>
      </c>
      <c r="N454" s="14"/>
      <c r="O454" s="38"/>
      <c r="P454" s="15"/>
      <c r="Q454" s="241"/>
      <c r="R454" s="38"/>
      <c r="S454" s="38"/>
      <c r="T454" s="38"/>
      <c r="U454" s="38"/>
      <c r="V454" s="38"/>
      <c r="W454" s="38"/>
      <c r="X454" s="167"/>
    </row>
    <row r="455" spans="1:31" ht="15.75" customHeight="1" x14ac:dyDescent="0.25">
      <c r="A455" s="32" t="s">
        <v>50</v>
      </c>
      <c r="B455" s="29" t="s">
        <v>52</v>
      </c>
      <c r="C455" s="50" t="s">
        <v>50</v>
      </c>
      <c r="D455" s="18"/>
      <c r="E455" s="18"/>
      <c r="F455" s="18"/>
      <c r="G455" s="61">
        <f t="shared" si="199"/>
        <v>0</v>
      </c>
      <c r="H455" s="15"/>
      <c r="I455" s="18"/>
      <c r="J455" s="20"/>
      <c r="K455" s="20"/>
      <c r="L455" s="14">
        <f t="shared" si="200"/>
        <v>0</v>
      </c>
      <c r="M455" s="62">
        <f t="shared" si="201"/>
        <v>0</v>
      </c>
      <c r="N455" s="18">
        <v>1159237</v>
      </c>
      <c r="O455" s="168"/>
      <c r="P455" s="19"/>
      <c r="Q455" s="242"/>
      <c r="R455" s="168"/>
      <c r="S455" s="168"/>
      <c r="T455" s="168"/>
      <c r="U455" s="168">
        <f>SUM(V455:X455)</f>
        <v>232224</v>
      </c>
      <c r="V455" s="168"/>
      <c r="W455" s="168"/>
      <c r="X455" s="169">
        <v>232224</v>
      </c>
      <c r="Y455" s="280"/>
      <c r="Z455" s="16"/>
      <c r="AA455" s="16"/>
      <c r="AB455" s="16"/>
      <c r="AC455" s="16"/>
      <c r="AD455" s="16"/>
      <c r="AE455" s="16"/>
    </row>
    <row r="456" spans="1:31" ht="15.75" customHeight="1" x14ac:dyDescent="0.25">
      <c r="A456" s="32"/>
      <c r="B456" s="29"/>
      <c r="C456" s="13" t="s">
        <v>732</v>
      </c>
      <c r="D456" s="14"/>
      <c r="E456" s="14"/>
      <c r="F456" s="14"/>
      <c r="G456" s="61">
        <f t="shared" si="199"/>
        <v>0</v>
      </c>
      <c r="H456" s="15"/>
      <c r="I456" s="14"/>
      <c r="J456" s="14"/>
      <c r="K456" s="14"/>
      <c r="L456" s="14">
        <f t="shared" si="200"/>
        <v>0</v>
      </c>
      <c r="M456" s="62">
        <f t="shared" si="201"/>
        <v>0</v>
      </c>
      <c r="N456" s="14">
        <v>189406</v>
      </c>
      <c r="O456" s="38"/>
      <c r="P456" s="15"/>
      <c r="Q456" s="241"/>
      <c r="R456" s="38"/>
      <c r="S456" s="38"/>
      <c r="T456" s="38"/>
      <c r="U456" s="168">
        <f t="shared" ref="U456:U458" si="202">SUM(V456:X456)</f>
        <v>0</v>
      </c>
      <c r="V456" s="38"/>
      <c r="W456" s="38"/>
      <c r="X456" s="167"/>
    </row>
    <row r="457" spans="1:31" ht="15.75" customHeight="1" x14ac:dyDescent="0.25">
      <c r="A457" s="32"/>
      <c r="B457" s="29"/>
      <c r="C457" s="29" t="s">
        <v>316</v>
      </c>
      <c r="D457" s="14"/>
      <c r="E457" s="14"/>
      <c r="F457" s="14"/>
      <c r="G457" s="61">
        <f t="shared" si="199"/>
        <v>0</v>
      </c>
      <c r="H457" s="15"/>
      <c r="I457" s="14"/>
      <c r="J457" s="14"/>
      <c r="K457" s="14"/>
      <c r="L457" s="14">
        <f t="shared" si="200"/>
        <v>0</v>
      </c>
      <c r="M457" s="62">
        <f t="shared" si="201"/>
        <v>0</v>
      </c>
      <c r="N457" s="14"/>
      <c r="O457" s="38"/>
      <c r="P457" s="15"/>
      <c r="Q457" s="241"/>
      <c r="R457" s="38"/>
      <c r="S457" s="38"/>
      <c r="T457" s="38"/>
      <c r="U457" s="168">
        <f t="shared" si="202"/>
        <v>0</v>
      </c>
      <c r="V457" s="38"/>
      <c r="W457" s="38"/>
      <c r="X457" s="167"/>
    </row>
    <row r="458" spans="1:31" ht="15.75" customHeight="1" x14ac:dyDescent="0.25">
      <c r="A458" s="32"/>
      <c r="B458" s="29"/>
      <c r="C458" s="22" t="s">
        <v>733</v>
      </c>
      <c r="D458" s="14"/>
      <c r="E458" s="14"/>
      <c r="F458" s="14"/>
      <c r="G458" s="61">
        <f t="shared" ref="G458:G465" si="203">SUM(D458:F458)</f>
        <v>0</v>
      </c>
      <c r="H458" s="15"/>
      <c r="I458" s="14"/>
      <c r="J458" s="14"/>
      <c r="K458" s="14"/>
      <c r="L458" s="14">
        <f t="shared" si="200"/>
        <v>0</v>
      </c>
      <c r="M458" s="62">
        <f t="shared" si="201"/>
        <v>0</v>
      </c>
      <c r="N458" s="14"/>
      <c r="O458" s="38"/>
      <c r="P458" s="15"/>
      <c r="Q458" s="241"/>
      <c r="R458" s="38"/>
      <c r="S458" s="38"/>
      <c r="T458" s="38"/>
      <c r="U458" s="168">
        <f t="shared" si="202"/>
        <v>35647</v>
      </c>
      <c r="V458" s="38">
        <v>35647</v>
      </c>
      <c r="W458" s="38"/>
      <c r="X458" s="167"/>
    </row>
    <row r="459" spans="1:31" ht="15.75" customHeight="1" x14ac:dyDescent="0.25">
      <c r="A459" s="12"/>
      <c r="B459" s="13"/>
      <c r="C459" s="21" t="s">
        <v>734</v>
      </c>
      <c r="D459" s="14"/>
      <c r="E459" s="14"/>
      <c r="F459" s="14"/>
      <c r="G459" s="61">
        <f>SUM(D459:F459)</f>
        <v>0</v>
      </c>
      <c r="H459" s="15"/>
      <c r="I459" s="14"/>
      <c r="J459" s="14"/>
      <c r="K459" s="14"/>
      <c r="L459" s="14">
        <f>SUM(I459:K459)</f>
        <v>0</v>
      </c>
      <c r="M459" s="62">
        <f>(L459-G459)</f>
        <v>0</v>
      </c>
      <c r="N459" s="14"/>
      <c r="O459" s="38"/>
      <c r="P459" s="15"/>
      <c r="Q459" s="304"/>
      <c r="R459" s="38"/>
      <c r="S459" s="38"/>
      <c r="T459" s="38"/>
      <c r="U459" s="38"/>
      <c r="V459" s="38"/>
      <c r="W459" s="38"/>
      <c r="X459" s="167"/>
      <c r="Y459" s="293" t="s">
        <v>735</v>
      </c>
      <c r="Z459" s="294"/>
      <c r="AA459" s="294"/>
      <c r="AB459" s="294"/>
      <c r="AC459" s="294"/>
      <c r="AD459" s="294"/>
      <c r="AE459">
        <v>10000</v>
      </c>
    </row>
    <row r="460" spans="1:31" ht="15.75" customHeight="1" x14ac:dyDescent="0.25">
      <c r="A460" s="12"/>
      <c r="B460" s="13"/>
      <c r="C460" s="21" t="s">
        <v>736</v>
      </c>
      <c r="D460" s="14"/>
      <c r="E460" s="14"/>
      <c r="F460" s="14"/>
      <c r="G460" s="61">
        <f>SUM(D460:F460)</f>
        <v>0</v>
      </c>
      <c r="H460" s="15"/>
      <c r="I460" s="14"/>
      <c r="J460" s="14"/>
      <c r="K460" s="14"/>
      <c r="L460" s="14">
        <f>SUM(I460:K460)</f>
        <v>0</v>
      </c>
      <c r="M460" s="62">
        <f>(L460-G460)</f>
        <v>0</v>
      </c>
      <c r="N460" s="14"/>
      <c r="O460" s="38"/>
      <c r="P460" s="15"/>
      <c r="Q460" s="304"/>
      <c r="R460" s="38"/>
      <c r="S460" s="38"/>
      <c r="T460" s="38"/>
      <c r="U460" s="38"/>
      <c r="V460" s="38"/>
      <c r="W460" s="38"/>
      <c r="X460" s="167"/>
      <c r="Y460" s="293" t="s">
        <v>735</v>
      </c>
      <c r="Z460" s="294"/>
      <c r="AA460" s="294"/>
      <c r="AB460" s="294"/>
      <c r="AC460" s="294"/>
      <c r="AD460" s="294"/>
      <c r="AE460">
        <v>10455</v>
      </c>
    </row>
    <row r="461" spans="1:31" ht="15.75" customHeight="1" x14ac:dyDescent="0.25">
      <c r="A461" s="12"/>
      <c r="B461" s="13"/>
      <c r="C461" s="37" t="s">
        <v>737</v>
      </c>
      <c r="D461" s="14"/>
      <c r="E461" s="14"/>
      <c r="F461" s="14"/>
      <c r="G461" s="61">
        <f>SUM(D461:F461)</f>
        <v>0</v>
      </c>
      <c r="H461" s="15"/>
      <c r="I461" s="14"/>
      <c r="J461" s="14"/>
      <c r="K461" s="14"/>
      <c r="L461" s="14">
        <f>SUM(I461:K461)</f>
        <v>0</v>
      </c>
      <c r="M461" s="62">
        <f>(L461-G461)</f>
        <v>0</v>
      </c>
      <c r="N461" s="14"/>
      <c r="O461" s="38"/>
      <c r="P461" s="15"/>
      <c r="Q461" s="304"/>
      <c r="R461" s="38"/>
      <c r="S461" s="38"/>
      <c r="T461" s="38"/>
      <c r="U461" s="38"/>
      <c r="V461" s="38"/>
      <c r="W461" s="38"/>
      <c r="X461" s="167"/>
      <c r="Y461" s="293" t="s">
        <v>735</v>
      </c>
      <c r="Z461" s="294"/>
      <c r="AA461" s="294"/>
      <c r="AB461" s="294"/>
      <c r="AC461" s="294"/>
      <c r="AD461" s="294"/>
      <c r="AE461">
        <v>1000</v>
      </c>
    </row>
    <row r="462" spans="1:31" ht="15.75" customHeight="1" x14ac:dyDescent="0.25">
      <c r="C462" s="26" t="s">
        <v>188</v>
      </c>
      <c r="D462" s="89">
        <f>SUM(D454:D461)</f>
        <v>0</v>
      </c>
      <c r="E462" s="89">
        <f>SUM(E454:E461)</f>
        <v>0</v>
      </c>
      <c r="F462" s="89">
        <f>SUM(F454:F461)</f>
        <v>0</v>
      </c>
      <c r="G462" s="27">
        <f t="shared" si="203"/>
        <v>0</v>
      </c>
      <c r="H462" s="89">
        <f>SUM(H454:H461)</f>
        <v>0</v>
      </c>
      <c r="I462" s="89">
        <f>SUM(I454:I461)</f>
        <v>0</v>
      </c>
      <c r="J462" s="89">
        <f>SUM(J454:J461)</f>
        <v>0</v>
      </c>
      <c r="K462" s="89">
        <f>SUM(K454:K461)</f>
        <v>0</v>
      </c>
      <c r="L462" s="89">
        <f t="shared" ref="L462:L465" si="204">SUM(I462:K462)</f>
        <v>0</v>
      </c>
      <c r="M462" s="60">
        <f t="shared" ref="M462:M473" si="205">(L462-G462)</f>
        <v>0</v>
      </c>
      <c r="N462" s="89">
        <f t="shared" ref="N462:X462" si="206">SUM(N454:N461)</f>
        <v>1348643</v>
      </c>
      <c r="O462" s="107">
        <f t="shared" si="206"/>
        <v>0</v>
      </c>
      <c r="P462" s="210">
        <f t="shared" si="206"/>
        <v>0</v>
      </c>
      <c r="Q462" s="246">
        <f t="shared" si="206"/>
        <v>0</v>
      </c>
      <c r="R462" s="107">
        <f t="shared" si="206"/>
        <v>0</v>
      </c>
      <c r="S462" s="107">
        <f t="shared" si="206"/>
        <v>0</v>
      </c>
      <c r="T462" s="107">
        <f t="shared" si="206"/>
        <v>0</v>
      </c>
      <c r="U462" s="107">
        <f t="shared" si="206"/>
        <v>267871</v>
      </c>
      <c r="V462" s="107">
        <f t="shared" si="206"/>
        <v>35647</v>
      </c>
      <c r="W462" s="107">
        <f t="shared" si="206"/>
        <v>0</v>
      </c>
      <c r="X462" s="107">
        <f t="shared" si="206"/>
        <v>232224</v>
      </c>
    </row>
    <row r="463" spans="1:31" ht="15.75" customHeight="1" x14ac:dyDescent="0.25">
      <c r="A463" s="32" t="s">
        <v>104</v>
      </c>
      <c r="B463" s="32" t="s">
        <v>104</v>
      </c>
      <c r="C463" s="32" t="s">
        <v>104</v>
      </c>
      <c r="D463" s="74">
        <v>60618</v>
      </c>
      <c r="E463" s="74">
        <v>14135</v>
      </c>
      <c r="F463" s="74"/>
      <c r="G463" s="61">
        <f t="shared" si="203"/>
        <v>74753</v>
      </c>
      <c r="H463" s="15">
        <v>20947</v>
      </c>
      <c r="I463" s="74">
        <v>60953</v>
      </c>
      <c r="J463" s="74">
        <v>12459</v>
      </c>
      <c r="K463" s="74"/>
      <c r="L463" s="14">
        <f t="shared" si="204"/>
        <v>73412</v>
      </c>
      <c r="M463" s="62">
        <f t="shared" si="205"/>
        <v>-1341</v>
      </c>
      <c r="N463" s="74"/>
      <c r="O463" s="102"/>
      <c r="P463" s="90"/>
      <c r="Q463" s="247"/>
      <c r="R463" s="102"/>
      <c r="S463" s="102"/>
      <c r="T463" s="102"/>
      <c r="U463" s="102"/>
      <c r="V463" s="102"/>
      <c r="W463" s="102"/>
      <c r="X463" s="179"/>
      <c r="Y463" s="279"/>
      <c r="Z463" s="3"/>
      <c r="AA463" s="3"/>
      <c r="AB463" s="3"/>
      <c r="AC463" s="3"/>
      <c r="AD463" s="3"/>
      <c r="AE463" s="3"/>
    </row>
    <row r="464" spans="1:31" ht="15.75" customHeight="1" x14ac:dyDescent="0.25">
      <c r="A464" s="32" t="s">
        <v>104</v>
      </c>
      <c r="B464" s="32" t="s">
        <v>104</v>
      </c>
      <c r="C464" s="17" t="s">
        <v>738</v>
      </c>
      <c r="D464" s="14"/>
      <c r="E464" s="14">
        <v>2945</v>
      </c>
      <c r="F464" s="14"/>
      <c r="G464" s="61">
        <f t="shared" si="203"/>
        <v>2945</v>
      </c>
      <c r="H464" s="15"/>
      <c r="I464" s="14"/>
      <c r="J464" s="14">
        <v>2945</v>
      </c>
      <c r="K464" s="14"/>
      <c r="L464" s="14">
        <f t="shared" si="204"/>
        <v>2945</v>
      </c>
      <c r="M464" s="62">
        <f t="shared" si="205"/>
        <v>0</v>
      </c>
      <c r="N464" s="51"/>
      <c r="O464" s="194"/>
      <c r="P464" s="216"/>
      <c r="Q464" s="255"/>
      <c r="R464" s="194"/>
      <c r="S464" s="194"/>
      <c r="T464" s="194"/>
      <c r="U464" s="194"/>
      <c r="V464" s="194"/>
      <c r="W464" s="194"/>
      <c r="X464" s="195"/>
      <c r="Y464" s="278"/>
      <c r="Z464" s="49"/>
      <c r="AA464" s="49"/>
      <c r="AB464" s="49"/>
      <c r="AC464" s="49"/>
      <c r="AD464" s="49"/>
      <c r="AE464" s="49"/>
    </row>
    <row r="465" spans="1:31" ht="15.75" customHeight="1" x14ac:dyDescent="0.25">
      <c r="A465" s="32" t="s">
        <v>104</v>
      </c>
      <c r="B465" s="32" t="s">
        <v>104</v>
      </c>
      <c r="C465" s="17" t="s">
        <v>739</v>
      </c>
      <c r="D465" s="15"/>
      <c r="E465" s="15"/>
      <c r="F465" s="15"/>
      <c r="G465" s="61">
        <f t="shared" si="203"/>
        <v>0</v>
      </c>
      <c r="H465" s="15"/>
      <c r="I465" s="15"/>
      <c r="J465" s="15"/>
      <c r="K465" s="15"/>
      <c r="L465" s="14">
        <f t="shared" si="204"/>
        <v>0</v>
      </c>
      <c r="M465" s="62">
        <f t="shared" si="205"/>
        <v>0</v>
      </c>
      <c r="N465" s="15"/>
      <c r="O465" s="38"/>
      <c r="P465" s="15"/>
      <c r="Q465" s="241"/>
      <c r="R465" s="38"/>
      <c r="S465" s="38"/>
      <c r="T465" s="38"/>
      <c r="U465" s="38"/>
      <c r="V465" s="38"/>
      <c r="W465" s="38"/>
      <c r="X465" s="167"/>
    </row>
    <row r="466" spans="1:31" ht="15.75" customHeight="1" x14ac:dyDescent="0.25">
      <c r="A466" s="32" t="s">
        <v>104</v>
      </c>
      <c r="B466" s="32" t="s">
        <v>104</v>
      </c>
      <c r="C466" s="17" t="s">
        <v>740</v>
      </c>
      <c r="D466" s="15"/>
      <c r="E466" s="15"/>
      <c r="F466" s="14"/>
      <c r="G466" s="61">
        <f t="shared" ref="G466" si="207">SUM(D466:F466)</f>
        <v>0</v>
      </c>
      <c r="H466" s="15"/>
      <c r="I466" s="15"/>
      <c r="J466" s="15"/>
      <c r="K466" s="15"/>
      <c r="L466" s="14">
        <f t="shared" ref="L466" si="208">SUM(I466:K466)</f>
        <v>0</v>
      </c>
      <c r="M466" s="62">
        <f t="shared" si="205"/>
        <v>0</v>
      </c>
      <c r="N466" s="15"/>
      <c r="O466" s="38"/>
      <c r="P466" s="15"/>
      <c r="Q466" s="241"/>
      <c r="R466" s="38"/>
      <c r="S466" s="38"/>
      <c r="T466" s="38"/>
      <c r="U466" s="38">
        <f>SUM(V466:X466)</f>
        <v>0</v>
      </c>
      <c r="V466" s="38"/>
      <c r="W466" s="38"/>
      <c r="X466" s="167"/>
    </row>
    <row r="467" spans="1:31" ht="15.75" customHeight="1" x14ac:dyDescent="0.25">
      <c r="A467" s="32" t="s">
        <v>104</v>
      </c>
      <c r="B467" s="32" t="s">
        <v>104</v>
      </c>
      <c r="C467" s="17" t="s">
        <v>741</v>
      </c>
      <c r="D467" s="15"/>
      <c r="E467" s="15"/>
      <c r="F467" s="14"/>
      <c r="G467" s="61">
        <f t="shared" ref="G467:G473" si="209">SUM(D467:F467)</f>
        <v>0</v>
      </c>
      <c r="H467" s="15"/>
      <c r="I467" s="15"/>
      <c r="J467" s="15"/>
      <c r="K467" s="15"/>
      <c r="L467" s="14">
        <f t="shared" ref="L467:L473" si="210">SUM(I467:K467)</f>
        <v>0</v>
      </c>
      <c r="M467" s="62">
        <f t="shared" si="205"/>
        <v>0</v>
      </c>
      <c r="N467" s="15"/>
      <c r="O467" s="38">
        <v>800</v>
      </c>
      <c r="P467" s="15"/>
      <c r="Q467" s="241"/>
      <c r="R467" s="38"/>
      <c r="S467" s="38"/>
      <c r="T467" s="38"/>
      <c r="U467" s="38"/>
      <c r="V467" s="38"/>
      <c r="W467" s="38"/>
      <c r="X467" s="167"/>
    </row>
    <row r="468" spans="1:31" ht="15.75" customHeight="1" x14ac:dyDescent="0.25">
      <c r="A468" s="32"/>
      <c r="B468" s="32" t="s">
        <v>104</v>
      </c>
      <c r="C468" s="17" t="s">
        <v>742</v>
      </c>
      <c r="D468" s="15"/>
      <c r="E468" s="15"/>
      <c r="F468" s="15"/>
      <c r="G468" s="61">
        <f t="shared" si="209"/>
        <v>0</v>
      </c>
      <c r="H468" s="15"/>
      <c r="I468" s="15"/>
      <c r="J468" s="15"/>
      <c r="K468" s="15"/>
      <c r="L468" s="14">
        <f t="shared" si="210"/>
        <v>0</v>
      </c>
      <c r="M468" s="62">
        <f t="shared" si="205"/>
        <v>0</v>
      </c>
      <c r="N468" s="15"/>
      <c r="O468" s="38">
        <v>5233</v>
      </c>
      <c r="P468" s="15"/>
      <c r="Q468" s="241"/>
      <c r="R468" s="38"/>
      <c r="S468" s="38"/>
      <c r="T468" s="38"/>
      <c r="U468" s="38"/>
      <c r="V468" s="38"/>
      <c r="W468" s="38"/>
      <c r="X468" s="167"/>
    </row>
    <row r="469" spans="1:31" ht="15.75" customHeight="1" x14ac:dyDescent="0.25">
      <c r="A469" s="3"/>
      <c r="B469" s="3"/>
      <c r="C469" s="13" t="s">
        <v>743</v>
      </c>
      <c r="D469" s="14"/>
      <c r="E469" s="14"/>
      <c r="F469" s="14"/>
      <c r="G469" s="61">
        <f>SUM(D469:F469)</f>
        <v>0</v>
      </c>
      <c r="H469" s="15"/>
      <c r="I469" s="14"/>
      <c r="J469" s="14"/>
      <c r="K469" s="14"/>
      <c r="L469" s="14">
        <f t="shared" si="210"/>
        <v>0</v>
      </c>
      <c r="M469" s="62">
        <f>(L469-G469)</f>
        <v>0</v>
      </c>
      <c r="N469" s="14"/>
      <c r="O469" s="38"/>
      <c r="P469" s="15"/>
      <c r="Q469" s="241">
        <v>3000</v>
      </c>
      <c r="R469" s="38"/>
      <c r="S469" s="38"/>
      <c r="T469" s="38"/>
      <c r="U469" s="38"/>
      <c r="V469" s="38"/>
      <c r="W469" s="38"/>
      <c r="X469" s="167"/>
      <c r="Y469" s="277" t="s">
        <v>744</v>
      </c>
    </row>
    <row r="470" spans="1:31" ht="15.75" customHeight="1" x14ac:dyDescent="0.25">
      <c r="A470" s="3"/>
      <c r="B470" s="3"/>
      <c r="C470" s="13"/>
      <c r="D470" s="14"/>
      <c r="E470" s="14"/>
      <c r="F470" s="14"/>
      <c r="G470" s="61">
        <f>SUM(D470:F470)</f>
        <v>0</v>
      </c>
      <c r="H470" s="15"/>
      <c r="I470" s="14"/>
      <c r="J470" s="14"/>
      <c r="K470" s="14"/>
      <c r="L470" s="14">
        <f t="shared" si="210"/>
        <v>0</v>
      </c>
      <c r="M470" s="62">
        <f>(L470-G470)</f>
        <v>0</v>
      </c>
      <c r="N470" s="14"/>
      <c r="O470" s="38"/>
      <c r="P470" s="15"/>
      <c r="Q470" s="241"/>
      <c r="R470" s="38"/>
      <c r="S470" s="38"/>
      <c r="T470" s="38"/>
      <c r="U470" s="38"/>
      <c r="V470" s="38"/>
      <c r="W470" s="38"/>
      <c r="X470" s="167"/>
    </row>
    <row r="471" spans="1:31" ht="15.75" customHeight="1" x14ac:dyDescent="0.25">
      <c r="A471" s="3"/>
      <c r="B471" s="3"/>
      <c r="C471" s="29" t="s">
        <v>231</v>
      </c>
      <c r="D471" s="14"/>
      <c r="E471" s="14"/>
      <c r="F471" s="14"/>
      <c r="G471" s="61">
        <f>SUM(D471:F471)</f>
        <v>0</v>
      </c>
      <c r="H471" s="15"/>
      <c r="I471" s="14"/>
      <c r="J471" s="14"/>
      <c r="K471" s="14"/>
      <c r="L471" s="14">
        <f t="shared" si="210"/>
        <v>0</v>
      </c>
      <c r="M471" s="62">
        <f>(L471-G471)</f>
        <v>0</v>
      </c>
      <c r="N471" s="14"/>
      <c r="O471" s="38"/>
      <c r="P471" s="15"/>
      <c r="Q471" s="241"/>
      <c r="R471" s="38"/>
      <c r="S471" s="38"/>
      <c r="T471" s="38"/>
      <c r="U471" s="38"/>
      <c r="V471" s="38"/>
      <c r="W471" s="38"/>
      <c r="X471" s="167"/>
    </row>
    <row r="472" spans="1:31" ht="15.75" customHeight="1" x14ac:dyDescent="0.25">
      <c r="A472" s="3"/>
      <c r="B472" s="3"/>
      <c r="C472" s="13" t="s">
        <v>745</v>
      </c>
      <c r="D472" s="14"/>
      <c r="E472" s="14"/>
      <c r="F472" s="14"/>
      <c r="G472" s="61">
        <f>SUM(D472:F472)</f>
        <v>0</v>
      </c>
      <c r="H472" s="15"/>
      <c r="I472" s="14"/>
      <c r="J472" s="14"/>
      <c r="K472" s="14"/>
      <c r="L472" s="14">
        <f t="shared" si="210"/>
        <v>0</v>
      </c>
      <c r="M472" s="62">
        <f>(L472-G472)</f>
        <v>0</v>
      </c>
      <c r="N472" s="14"/>
      <c r="O472" s="38"/>
      <c r="P472" s="15"/>
      <c r="Q472" s="241">
        <v>1500</v>
      </c>
      <c r="R472" s="38"/>
      <c r="S472" s="38"/>
      <c r="T472" s="38"/>
      <c r="U472" s="38"/>
      <c r="V472" s="38"/>
      <c r="W472" s="38"/>
      <c r="X472" s="167"/>
    </row>
    <row r="473" spans="1:31" ht="15.75" customHeight="1" x14ac:dyDescent="0.25">
      <c r="C473" s="26" t="s">
        <v>188</v>
      </c>
      <c r="D473" s="89">
        <f>SUM(D463:D468)</f>
        <v>60618</v>
      </c>
      <c r="E473" s="89">
        <f>SUM(E463:E468)</f>
        <v>17080</v>
      </c>
      <c r="F473" s="89">
        <f>SUM(F463:F468)</f>
        <v>0</v>
      </c>
      <c r="G473" s="27">
        <f t="shared" si="209"/>
        <v>77698</v>
      </c>
      <c r="H473" s="89">
        <f>SUM(H463:H468)</f>
        <v>20947</v>
      </c>
      <c r="I473" s="89">
        <f>SUM(I463:I472)</f>
        <v>60953</v>
      </c>
      <c r="J473" s="89">
        <f>SUM(J463:J472)</f>
        <v>15404</v>
      </c>
      <c r="K473" s="89">
        <f>SUM(K463:K472)</f>
        <v>0</v>
      </c>
      <c r="L473" s="74">
        <f t="shared" si="210"/>
        <v>76357</v>
      </c>
      <c r="M473" s="28">
        <f t="shared" si="205"/>
        <v>-1341</v>
      </c>
      <c r="N473" s="89">
        <f t="shared" ref="N473:X473" si="211">SUM(N463:N472)</f>
        <v>0</v>
      </c>
      <c r="O473" s="89">
        <f t="shared" si="211"/>
        <v>6033</v>
      </c>
      <c r="P473" s="89">
        <f t="shared" si="211"/>
        <v>0</v>
      </c>
      <c r="Q473" s="246">
        <f t="shared" si="211"/>
        <v>4500</v>
      </c>
      <c r="R473" s="89">
        <f t="shared" si="211"/>
        <v>0</v>
      </c>
      <c r="S473" s="89">
        <f t="shared" si="211"/>
        <v>0</v>
      </c>
      <c r="T473" s="89">
        <f t="shared" si="211"/>
        <v>0</v>
      </c>
      <c r="U473" s="89">
        <f t="shared" si="211"/>
        <v>0</v>
      </c>
      <c r="V473" s="89">
        <f t="shared" si="211"/>
        <v>0</v>
      </c>
      <c r="W473" s="89">
        <f t="shared" si="211"/>
        <v>0</v>
      </c>
      <c r="X473" s="89">
        <f t="shared" si="211"/>
        <v>0</v>
      </c>
    </row>
    <row r="474" spans="1:31" ht="15.75" customHeight="1" x14ac:dyDescent="0.25">
      <c r="A474" s="16"/>
      <c r="B474" s="16"/>
      <c r="C474" s="22"/>
      <c r="D474" s="18"/>
      <c r="E474" s="18"/>
      <c r="F474" s="18"/>
      <c r="G474" s="94"/>
      <c r="H474" s="19"/>
      <c r="I474" s="18"/>
      <c r="J474" s="18"/>
      <c r="K474" s="18"/>
      <c r="L474" s="74"/>
      <c r="M474" s="28"/>
      <c r="N474" s="18"/>
      <c r="O474" s="168"/>
      <c r="P474" s="19"/>
      <c r="Q474" s="242"/>
      <c r="R474" s="168"/>
      <c r="S474" s="168"/>
      <c r="T474" s="168"/>
      <c r="U474" s="168"/>
      <c r="V474" s="168"/>
      <c r="W474" s="168"/>
      <c r="X474" s="169"/>
      <c r="Y474" s="280"/>
      <c r="Z474" s="16"/>
      <c r="AA474" s="16"/>
      <c r="AB474" s="16"/>
      <c r="AC474" s="16"/>
      <c r="AD474" s="16"/>
      <c r="AE474" s="16"/>
    </row>
    <row r="475" spans="1:31" ht="15.75" customHeight="1" x14ac:dyDescent="0.25">
      <c r="A475" s="32" t="s">
        <v>106</v>
      </c>
      <c r="B475" s="32" t="s">
        <v>106</v>
      </c>
      <c r="C475" s="13" t="s">
        <v>746</v>
      </c>
      <c r="D475" s="14"/>
      <c r="E475" s="14">
        <v>24000</v>
      </c>
      <c r="F475" s="14"/>
      <c r="G475" s="61">
        <f t="shared" ref="G475:G478" si="212">SUM(D475:F475)</f>
        <v>24000</v>
      </c>
      <c r="H475" s="15"/>
      <c r="I475" s="14"/>
      <c r="J475" s="14">
        <v>9047</v>
      </c>
      <c r="K475" s="14"/>
      <c r="L475" s="14">
        <f t="shared" ref="L475:L480" si="213">SUM(I475:K475)</f>
        <v>9047</v>
      </c>
      <c r="M475" s="62">
        <f t="shared" ref="M475:M480" si="214">(L475-G475)</f>
        <v>-14953</v>
      </c>
      <c r="N475" s="15"/>
      <c r="O475" s="38"/>
      <c r="P475" s="15"/>
      <c r="Q475" s="241"/>
      <c r="R475" s="38"/>
      <c r="S475" s="38"/>
      <c r="T475" s="38"/>
      <c r="U475" s="38"/>
      <c r="V475" s="38"/>
      <c r="W475" s="38"/>
      <c r="X475" s="167"/>
      <c r="Y475" s="279"/>
    </row>
    <row r="476" spans="1:31" ht="15.75" customHeight="1" x14ac:dyDescent="0.25">
      <c r="A476" s="32" t="s">
        <v>106</v>
      </c>
      <c r="B476" s="32" t="s">
        <v>106</v>
      </c>
      <c r="C476" s="13" t="s">
        <v>747</v>
      </c>
      <c r="D476" s="14"/>
      <c r="E476" s="14">
        <v>1500</v>
      </c>
      <c r="F476" s="14"/>
      <c r="G476" s="61">
        <f t="shared" si="212"/>
        <v>1500</v>
      </c>
      <c r="H476" s="15"/>
      <c r="I476" s="14"/>
      <c r="J476" s="14"/>
      <c r="K476" s="14"/>
      <c r="L476" s="14">
        <f t="shared" si="213"/>
        <v>0</v>
      </c>
      <c r="M476" s="62">
        <f t="shared" si="214"/>
        <v>-1500</v>
      </c>
      <c r="N476" s="15"/>
      <c r="O476" s="38"/>
      <c r="P476" s="15"/>
      <c r="Q476" s="241"/>
      <c r="R476" s="38"/>
      <c r="S476" s="38"/>
      <c r="T476" s="38"/>
      <c r="U476" s="38"/>
      <c r="V476" s="38"/>
      <c r="W476" s="38"/>
      <c r="X476" s="167"/>
      <c r="Y476" s="279"/>
    </row>
    <row r="477" spans="1:31" ht="15.75" customHeight="1" x14ac:dyDescent="0.25">
      <c r="A477" s="32" t="s">
        <v>106</v>
      </c>
      <c r="B477" s="32" t="s">
        <v>106</v>
      </c>
      <c r="C477" s="13" t="s">
        <v>748</v>
      </c>
      <c r="D477" s="14"/>
      <c r="E477" s="14">
        <v>2470</v>
      </c>
      <c r="F477" s="14"/>
      <c r="G477" s="61">
        <f t="shared" si="212"/>
        <v>2470</v>
      </c>
      <c r="H477" s="15"/>
      <c r="I477" s="14"/>
      <c r="J477" s="14">
        <v>2470</v>
      </c>
      <c r="K477" s="14"/>
      <c r="L477" s="14">
        <f t="shared" si="213"/>
        <v>2470</v>
      </c>
      <c r="M477" s="62">
        <f t="shared" si="214"/>
        <v>0</v>
      </c>
      <c r="N477" s="15"/>
      <c r="O477" s="38"/>
      <c r="P477" s="15"/>
      <c r="Q477" s="241"/>
      <c r="R477" s="38"/>
      <c r="S477" s="38"/>
      <c r="T477" s="38"/>
      <c r="U477" s="38"/>
      <c r="V477" s="38"/>
      <c r="W477" s="38"/>
      <c r="X477" s="167"/>
      <c r="Y477" s="279"/>
    </row>
    <row r="478" spans="1:31" ht="15.75" customHeight="1" x14ac:dyDescent="0.25">
      <c r="A478" s="32" t="s">
        <v>106</v>
      </c>
      <c r="B478" s="32" t="s">
        <v>106</v>
      </c>
      <c r="C478" s="13" t="s">
        <v>749</v>
      </c>
      <c r="D478" s="14"/>
      <c r="E478" s="14">
        <v>11030</v>
      </c>
      <c r="F478" s="14"/>
      <c r="G478" s="61">
        <f t="shared" si="212"/>
        <v>11030</v>
      </c>
      <c r="H478" s="15"/>
      <c r="I478" s="14"/>
      <c r="J478" s="14">
        <v>3030</v>
      </c>
      <c r="K478" s="14"/>
      <c r="L478" s="14">
        <f t="shared" si="213"/>
        <v>3030</v>
      </c>
      <c r="M478" s="62">
        <f t="shared" si="214"/>
        <v>-8000</v>
      </c>
      <c r="N478" s="15"/>
      <c r="O478" s="38"/>
      <c r="P478" s="15"/>
      <c r="Q478" s="241"/>
      <c r="R478" s="38"/>
      <c r="S478" s="38"/>
      <c r="T478" s="38"/>
      <c r="U478" s="38"/>
      <c r="V478" s="38"/>
      <c r="W478" s="38"/>
      <c r="X478" s="167"/>
      <c r="Y478" s="279"/>
    </row>
    <row r="479" spans="1:31" ht="15.75" customHeight="1" x14ac:dyDescent="0.25">
      <c r="A479" s="16"/>
      <c r="B479" s="16"/>
      <c r="C479" s="40" t="s">
        <v>188</v>
      </c>
      <c r="D479" s="96">
        <f>SUM(D475:D478)</f>
        <v>0</v>
      </c>
      <c r="E479" s="96">
        <f>SUM(E475:E478)</f>
        <v>39000</v>
      </c>
      <c r="F479" s="96">
        <f>SUM(F475:F478)</f>
        <v>0</v>
      </c>
      <c r="G479" s="59">
        <f>SUM(D479:F479)</f>
        <v>39000</v>
      </c>
      <c r="H479" s="96">
        <f>SUM(H475:H478)</f>
        <v>0</v>
      </c>
      <c r="I479" s="96">
        <f>SUM(I475:I478)</f>
        <v>0</v>
      </c>
      <c r="J479" s="96">
        <f>SUM(J475:J478)</f>
        <v>14547</v>
      </c>
      <c r="K479" s="96">
        <f>SUM(K475:K478)</f>
        <v>0</v>
      </c>
      <c r="L479" s="89">
        <f t="shared" si="213"/>
        <v>14547</v>
      </c>
      <c r="M479" s="28">
        <f t="shared" si="214"/>
        <v>-24453</v>
      </c>
      <c r="N479" s="96">
        <f t="shared" ref="N479:X479" si="215">SUM(N475:N478)</f>
        <v>0</v>
      </c>
      <c r="O479" s="187">
        <f t="shared" si="215"/>
        <v>0</v>
      </c>
      <c r="P479" s="212">
        <f t="shared" si="215"/>
        <v>0</v>
      </c>
      <c r="Q479" s="260">
        <f>SUM(Q475:Q478)</f>
        <v>0</v>
      </c>
      <c r="R479" s="187">
        <f t="shared" si="215"/>
        <v>0</v>
      </c>
      <c r="S479" s="187">
        <f t="shared" si="215"/>
        <v>0</v>
      </c>
      <c r="T479" s="187">
        <f t="shared" si="215"/>
        <v>0</v>
      </c>
      <c r="U479" s="187">
        <f t="shared" si="215"/>
        <v>0</v>
      </c>
      <c r="V479" s="187">
        <f t="shared" si="215"/>
        <v>0</v>
      </c>
      <c r="W479" s="187">
        <f t="shared" si="215"/>
        <v>0</v>
      </c>
      <c r="X479" s="187">
        <f t="shared" si="215"/>
        <v>0</v>
      </c>
      <c r="Y479" s="280"/>
      <c r="Z479" s="16"/>
      <c r="AA479" s="16"/>
      <c r="AB479" s="16"/>
      <c r="AC479" s="16"/>
      <c r="AD479" s="16"/>
      <c r="AE479" s="16"/>
    </row>
    <row r="480" spans="1:31" ht="15.75" customHeight="1" x14ac:dyDescent="0.25">
      <c r="A480" s="32" t="s">
        <v>82</v>
      </c>
      <c r="B480" s="32" t="s">
        <v>82</v>
      </c>
      <c r="C480" s="17" t="s">
        <v>322</v>
      </c>
      <c r="D480" s="18"/>
      <c r="E480" s="18"/>
      <c r="F480" s="18"/>
      <c r="G480" s="94">
        <f>SUM(D480:F480)</f>
        <v>0</v>
      </c>
      <c r="H480" s="19"/>
      <c r="I480" s="18"/>
      <c r="J480" s="18"/>
      <c r="K480" s="18"/>
      <c r="L480" s="14">
        <f t="shared" si="213"/>
        <v>0</v>
      </c>
      <c r="M480" s="62">
        <f t="shared" si="214"/>
        <v>0</v>
      </c>
      <c r="N480" s="18"/>
      <c r="O480" s="168"/>
      <c r="P480" s="19"/>
      <c r="Q480" s="242"/>
      <c r="R480" s="168">
        <v>78950</v>
      </c>
      <c r="S480" s="38"/>
      <c r="T480" s="38"/>
      <c r="U480" s="38"/>
      <c r="V480" s="38"/>
      <c r="W480" s="38"/>
      <c r="X480" s="167"/>
      <c r="Y480" s="279"/>
    </row>
    <row r="481" spans="1:31" ht="15.75" customHeight="1" x14ac:dyDescent="0.25">
      <c r="A481" s="32" t="s">
        <v>82</v>
      </c>
      <c r="B481" s="32" t="s">
        <v>82</v>
      </c>
      <c r="C481" s="17" t="s">
        <v>750</v>
      </c>
      <c r="D481" s="18"/>
      <c r="E481" s="18"/>
      <c r="F481" s="18"/>
      <c r="G481" s="61">
        <f t="shared" ref="G481" si="216">SUM(D481:F481)</f>
        <v>0</v>
      </c>
      <c r="H481" s="15"/>
      <c r="I481" s="18"/>
      <c r="J481" s="18"/>
      <c r="K481" s="18"/>
      <c r="L481" s="14">
        <f t="shared" ref="L481" si="217">SUM(I481:K481)</f>
        <v>0</v>
      </c>
      <c r="M481" s="62">
        <f t="shared" ref="M481" si="218">(L481-G481)</f>
        <v>0</v>
      </c>
      <c r="N481" s="19"/>
      <c r="O481" s="168"/>
      <c r="P481" s="19"/>
      <c r="Q481" s="242"/>
      <c r="R481" s="168"/>
      <c r="S481" s="168"/>
      <c r="T481" s="168"/>
      <c r="U481" s="168"/>
      <c r="V481" s="168"/>
      <c r="W481" s="168"/>
      <c r="X481" s="169"/>
      <c r="Y481" s="280" t="s">
        <v>751</v>
      </c>
      <c r="Z481" s="16"/>
      <c r="AA481" s="16"/>
      <c r="AB481" s="16"/>
      <c r="AC481" s="16"/>
      <c r="AD481" s="16"/>
      <c r="AE481" s="16"/>
    </row>
    <row r="482" spans="1:31" ht="15.75" customHeight="1" x14ac:dyDescent="0.25">
      <c r="A482" s="32" t="s">
        <v>82</v>
      </c>
      <c r="B482" s="32" t="s">
        <v>82</v>
      </c>
      <c r="C482" s="17" t="s">
        <v>752</v>
      </c>
      <c r="D482" s="18"/>
      <c r="E482" s="18">
        <v>2523</v>
      </c>
      <c r="F482" s="18"/>
      <c r="G482" s="94">
        <f>SUM(D482:F482)</f>
        <v>2523</v>
      </c>
      <c r="H482" s="19"/>
      <c r="I482" s="18"/>
      <c r="J482" s="18">
        <v>1452</v>
      </c>
      <c r="K482" s="18"/>
      <c r="L482" s="14">
        <f>SUM(I482:K482)</f>
        <v>1452</v>
      </c>
      <c r="M482" s="62">
        <f>(L482-G482)</f>
        <v>-1071</v>
      </c>
      <c r="N482" s="19"/>
      <c r="O482" s="168"/>
      <c r="P482" s="19"/>
      <c r="Q482" s="242"/>
      <c r="R482" s="168"/>
      <c r="S482" s="168"/>
      <c r="T482" s="168"/>
      <c r="U482" s="168"/>
      <c r="V482" s="168"/>
      <c r="W482" s="168"/>
      <c r="X482" s="169"/>
      <c r="Y482" s="280"/>
      <c r="Z482" s="16"/>
      <c r="AA482" s="16"/>
      <c r="AB482" s="16"/>
      <c r="AC482" s="16"/>
      <c r="AD482" s="16"/>
      <c r="AE482" s="16"/>
    </row>
    <row r="483" spans="1:31" ht="15.75" customHeight="1" x14ac:dyDescent="0.25">
      <c r="A483" s="32" t="s">
        <v>82</v>
      </c>
      <c r="B483" s="32" t="s">
        <v>82</v>
      </c>
      <c r="C483" s="17" t="s">
        <v>753</v>
      </c>
      <c r="D483" s="18"/>
      <c r="E483" s="18"/>
      <c r="F483" s="18"/>
      <c r="G483" s="61">
        <f t="shared" ref="G483" si="219">SUM(D483:F483)</f>
        <v>0</v>
      </c>
      <c r="H483" s="15"/>
      <c r="I483" s="18"/>
      <c r="J483" s="18"/>
      <c r="K483" s="18"/>
      <c r="L483" s="14">
        <f>SUM(I483:K483)</f>
        <v>0</v>
      </c>
      <c r="M483" s="62">
        <f>(L483-G483)</f>
        <v>0</v>
      </c>
      <c r="N483" s="18"/>
      <c r="O483" s="168"/>
      <c r="P483" s="19"/>
      <c r="Q483" s="242"/>
      <c r="R483" s="168"/>
      <c r="S483" s="168"/>
      <c r="T483" s="168">
        <v>110000</v>
      </c>
      <c r="U483" s="168"/>
      <c r="V483" s="168"/>
      <c r="W483" s="168"/>
      <c r="X483" s="169"/>
      <c r="Y483" s="280" t="s">
        <v>754</v>
      </c>
      <c r="Z483" s="16"/>
      <c r="AA483" s="16"/>
      <c r="AB483" s="16"/>
      <c r="AC483" s="16"/>
      <c r="AD483" s="16"/>
      <c r="AE483" s="16"/>
    </row>
    <row r="484" spans="1:31" ht="15.75" customHeight="1" x14ac:dyDescent="0.25">
      <c r="A484" s="16"/>
      <c r="B484" s="16"/>
      <c r="C484" s="40" t="s">
        <v>188</v>
      </c>
      <c r="D484" s="96">
        <f>SUM(D480:D483)</f>
        <v>0</v>
      </c>
      <c r="E484" s="96">
        <f>SUM(E480:E483)</f>
        <v>2523</v>
      </c>
      <c r="F484" s="96">
        <f>SUM(F480:F483)</f>
        <v>0</v>
      </c>
      <c r="G484" s="42">
        <f>SUM(D484:F484)</f>
        <v>2523</v>
      </c>
      <c r="H484" s="96">
        <f>SUM(H480:H483)</f>
        <v>0</v>
      </c>
      <c r="I484" s="96">
        <f>SUM(I480:I483)</f>
        <v>0</v>
      </c>
      <c r="J484" s="96">
        <f>SUM(J480:J483)</f>
        <v>1452</v>
      </c>
      <c r="K484" s="96">
        <f>SUM(K480:K483)</f>
        <v>0</v>
      </c>
      <c r="L484" s="89">
        <f>SUM(I484:K484)</f>
        <v>1452</v>
      </c>
      <c r="M484" s="28">
        <f>(L484-G484)</f>
        <v>-1071</v>
      </c>
      <c r="N484" s="96">
        <f t="shared" ref="N484:X484" si="220">SUM(N480:N483)</f>
        <v>0</v>
      </c>
      <c r="O484" s="187">
        <f t="shared" si="220"/>
        <v>0</v>
      </c>
      <c r="P484" s="212">
        <f t="shared" si="220"/>
        <v>0</v>
      </c>
      <c r="Q484" s="260">
        <f>SUM(Q480:Q483)</f>
        <v>0</v>
      </c>
      <c r="R484" s="187">
        <f t="shared" si="220"/>
        <v>78950</v>
      </c>
      <c r="S484" s="187">
        <f t="shared" si="220"/>
        <v>0</v>
      </c>
      <c r="T484" s="187">
        <f t="shared" si="220"/>
        <v>110000</v>
      </c>
      <c r="U484" s="187">
        <f t="shared" si="220"/>
        <v>0</v>
      </c>
      <c r="V484" s="187">
        <f t="shared" si="220"/>
        <v>0</v>
      </c>
      <c r="W484" s="187">
        <f t="shared" si="220"/>
        <v>0</v>
      </c>
      <c r="X484" s="187">
        <f t="shared" si="220"/>
        <v>0</v>
      </c>
      <c r="Y484" s="280"/>
      <c r="Z484" s="16"/>
      <c r="AA484" s="16"/>
      <c r="AB484" s="16"/>
      <c r="AC484" s="16"/>
      <c r="AD484" s="16"/>
      <c r="AE484" s="16"/>
    </row>
    <row r="485" spans="1:31" ht="15.75" customHeight="1" x14ac:dyDescent="0.25">
      <c r="D485" s="14"/>
      <c r="E485" s="14"/>
      <c r="F485" s="14"/>
      <c r="G485" s="104"/>
      <c r="H485" s="19"/>
      <c r="I485" s="14"/>
      <c r="J485" s="14"/>
      <c r="K485" s="14"/>
      <c r="L485" s="14">
        <f>SUM(I485:K485)</f>
        <v>0</v>
      </c>
      <c r="M485" s="60"/>
      <c r="N485" s="14"/>
      <c r="O485" s="38"/>
      <c r="P485" s="15"/>
      <c r="Q485" s="241"/>
      <c r="R485" s="38"/>
      <c r="S485" s="38"/>
      <c r="T485" s="38"/>
      <c r="U485" s="38"/>
      <c r="V485" s="38"/>
      <c r="W485" s="38"/>
      <c r="X485" s="38"/>
    </row>
    <row r="486" spans="1:31" ht="15.75" customHeight="1" x14ac:dyDescent="0.25">
      <c r="C486" s="6" t="s">
        <v>102</v>
      </c>
      <c r="D486" s="14"/>
      <c r="E486" s="14"/>
      <c r="F486" s="14"/>
      <c r="G486" s="61"/>
      <c r="H486" s="15"/>
      <c r="I486" s="14"/>
      <c r="J486" s="14"/>
      <c r="K486" s="14"/>
      <c r="L486" s="14"/>
      <c r="M486" s="62"/>
      <c r="N486" s="14"/>
      <c r="O486" s="38"/>
      <c r="P486" s="15"/>
      <c r="Q486" s="241"/>
      <c r="R486" s="38"/>
      <c r="S486" s="38"/>
      <c r="T486" s="38"/>
      <c r="U486" s="38"/>
      <c r="V486" s="38"/>
      <c r="W486" s="38"/>
      <c r="X486" s="38"/>
    </row>
    <row r="487" spans="1:31" ht="15.75" customHeight="1" x14ac:dyDescent="0.25">
      <c r="A487" s="6"/>
      <c r="B487" s="6"/>
      <c r="C487" s="32" t="s">
        <v>103</v>
      </c>
      <c r="D487" s="74"/>
      <c r="E487" s="74"/>
      <c r="F487" s="74"/>
      <c r="G487" s="59"/>
      <c r="H487" s="90"/>
      <c r="I487" s="74"/>
      <c r="J487" s="74"/>
      <c r="K487" s="74"/>
      <c r="L487" s="74"/>
      <c r="M487" s="60"/>
      <c r="N487" s="74"/>
      <c r="O487" s="102"/>
      <c r="P487" s="90"/>
      <c r="Q487" s="247"/>
      <c r="R487" s="102"/>
      <c r="S487" s="102"/>
      <c r="T487" s="102"/>
      <c r="U487" s="102"/>
      <c r="V487" s="102"/>
      <c r="W487" s="102"/>
      <c r="X487" s="179"/>
    </row>
    <row r="488" spans="1:31" ht="15.75" customHeight="1" x14ac:dyDescent="0.25">
      <c r="A488" s="6" t="s">
        <v>102</v>
      </c>
      <c r="B488" s="32" t="s">
        <v>103</v>
      </c>
      <c r="C488" s="17" t="s">
        <v>325</v>
      </c>
      <c r="D488" s="14"/>
      <c r="E488" s="14">
        <v>14016</v>
      </c>
      <c r="F488" s="14"/>
      <c r="G488" s="61">
        <f t="shared" ref="G488:G500" si="221">SUM(D488:F488)</f>
        <v>14016</v>
      </c>
      <c r="H488" s="15"/>
      <c r="I488" s="14"/>
      <c r="J488" s="14">
        <v>27970</v>
      </c>
      <c r="K488" s="14"/>
      <c r="L488" s="14">
        <f t="shared" ref="L488:L519" si="222">SUM(I488:K488)</f>
        <v>27970</v>
      </c>
      <c r="M488" s="62">
        <f t="shared" ref="M488:M513" si="223">(L488-G488)</f>
        <v>13954</v>
      </c>
      <c r="N488" s="15"/>
      <c r="O488" s="38"/>
      <c r="P488" s="15"/>
      <c r="Q488" s="241"/>
      <c r="R488" s="38"/>
      <c r="S488" s="38"/>
      <c r="T488" s="38"/>
      <c r="U488" s="38"/>
      <c r="V488" s="38"/>
      <c r="W488" s="38"/>
      <c r="X488" s="167"/>
      <c r="Y488" s="278"/>
      <c r="Z488" s="49"/>
      <c r="AA488" s="49"/>
      <c r="AB488" s="49"/>
      <c r="AC488" s="49"/>
      <c r="AD488" s="49"/>
      <c r="AE488" s="49"/>
    </row>
    <row r="489" spans="1:31" ht="15.75" customHeight="1" x14ac:dyDescent="0.25">
      <c r="A489" s="6" t="s">
        <v>102</v>
      </c>
      <c r="B489" s="32" t="s">
        <v>103</v>
      </c>
      <c r="C489" s="17" t="s">
        <v>755</v>
      </c>
      <c r="D489" s="14"/>
      <c r="E489" s="14">
        <v>13805</v>
      </c>
      <c r="F489" s="14"/>
      <c r="G489" s="61">
        <f t="shared" si="221"/>
        <v>13805</v>
      </c>
      <c r="H489" s="15"/>
      <c r="I489" s="14"/>
      <c r="J489" s="14"/>
      <c r="K489" s="14"/>
      <c r="L489" s="14">
        <f t="shared" si="222"/>
        <v>0</v>
      </c>
      <c r="M489" s="62">
        <f t="shared" si="223"/>
        <v>-13805</v>
      </c>
      <c r="N489" s="15"/>
      <c r="O489" s="38"/>
      <c r="P489" s="15"/>
      <c r="Q489" s="241"/>
      <c r="R489" s="38"/>
      <c r="S489" s="38"/>
      <c r="T489" s="38"/>
      <c r="U489" s="38"/>
      <c r="V489" s="38"/>
      <c r="W489" s="38"/>
      <c r="X489" s="167"/>
      <c r="Y489" s="278"/>
      <c r="Z489" s="49"/>
      <c r="AA489" s="49"/>
      <c r="AB489" s="49"/>
      <c r="AC489" s="49"/>
      <c r="AD489" s="49"/>
      <c r="AE489" s="49"/>
    </row>
    <row r="490" spans="1:31" ht="15.75" customHeight="1" x14ac:dyDescent="0.25">
      <c r="A490" s="6" t="s">
        <v>102</v>
      </c>
      <c r="B490" s="32" t="s">
        <v>103</v>
      </c>
      <c r="C490" s="17" t="s">
        <v>326</v>
      </c>
      <c r="D490" s="14"/>
      <c r="E490" s="14">
        <v>15000</v>
      </c>
      <c r="F490" s="14"/>
      <c r="G490" s="61">
        <f t="shared" si="221"/>
        <v>15000</v>
      </c>
      <c r="H490" s="15"/>
      <c r="I490" s="14"/>
      <c r="J490" s="14">
        <v>15000</v>
      </c>
      <c r="K490" s="14"/>
      <c r="L490" s="14">
        <f t="shared" si="222"/>
        <v>15000</v>
      </c>
      <c r="M490" s="62">
        <f t="shared" si="223"/>
        <v>0</v>
      </c>
      <c r="N490" s="15"/>
      <c r="O490" s="38"/>
      <c r="P490" s="15"/>
      <c r="Q490" s="241"/>
      <c r="R490" s="38"/>
      <c r="S490" s="38"/>
      <c r="T490" s="38"/>
      <c r="U490" s="38"/>
      <c r="V490" s="38"/>
      <c r="W490" s="38"/>
      <c r="X490" s="167"/>
      <c r="Y490" s="278"/>
      <c r="Z490" s="49"/>
      <c r="AA490" s="49"/>
      <c r="AB490" s="49"/>
      <c r="AC490" s="49"/>
      <c r="AD490" s="49"/>
      <c r="AE490" s="49"/>
    </row>
    <row r="491" spans="1:31" ht="15.75" customHeight="1" x14ac:dyDescent="0.25">
      <c r="A491" s="6" t="s">
        <v>102</v>
      </c>
      <c r="B491" s="32" t="s">
        <v>103</v>
      </c>
      <c r="C491" s="17" t="s">
        <v>327</v>
      </c>
      <c r="D491" s="14"/>
      <c r="E491" s="14">
        <v>20000</v>
      </c>
      <c r="F491" s="14"/>
      <c r="G491" s="61">
        <f t="shared" si="221"/>
        <v>20000</v>
      </c>
      <c r="H491" s="15"/>
      <c r="I491" s="14"/>
      <c r="J491" s="14">
        <v>15000</v>
      </c>
      <c r="K491" s="14"/>
      <c r="L491" s="14">
        <f t="shared" si="222"/>
        <v>15000</v>
      </c>
      <c r="M491" s="62">
        <f t="shared" si="223"/>
        <v>-5000</v>
      </c>
      <c r="N491" s="15"/>
      <c r="O491" s="38"/>
      <c r="P491" s="15"/>
      <c r="Q491" s="241"/>
      <c r="R491" s="38"/>
      <c r="S491" s="38"/>
      <c r="T491" s="38"/>
      <c r="U491" s="38"/>
      <c r="V491" s="38"/>
      <c r="W491" s="38"/>
      <c r="X491" s="167"/>
      <c r="Y491" s="278"/>
      <c r="Z491" s="49"/>
      <c r="AA491" s="49"/>
      <c r="AB491" s="49"/>
      <c r="AC491" s="49"/>
      <c r="AD491" s="49"/>
      <c r="AE491" s="49"/>
    </row>
    <row r="492" spans="1:31" ht="15.75" customHeight="1" x14ac:dyDescent="0.25">
      <c r="A492" s="6" t="s">
        <v>102</v>
      </c>
      <c r="B492" s="32" t="s">
        <v>103</v>
      </c>
      <c r="C492" s="17" t="s">
        <v>756</v>
      </c>
      <c r="D492" s="14"/>
      <c r="E492" s="14">
        <v>36658</v>
      </c>
      <c r="F492" s="14"/>
      <c r="G492" s="61">
        <f t="shared" si="221"/>
        <v>36658</v>
      </c>
      <c r="H492" s="15"/>
      <c r="I492" s="14"/>
      <c r="J492" s="14"/>
      <c r="K492" s="14"/>
      <c r="L492" s="14">
        <f t="shared" si="222"/>
        <v>0</v>
      </c>
      <c r="M492" s="62">
        <f t="shared" si="223"/>
        <v>-36658</v>
      </c>
      <c r="N492" s="15"/>
      <c r="O492" s="38"/>
      <c r="P492" s="15"/>
      <c r="Q492" s="241"/>
      <c r="R492" s="38"/>
      <c r="S492" s="38"/>
      <c r="T492" s="38"/>
      <c r="U492" s="38"/>
      <c r="V492" s="38"/>
      <c r="W492" s="38"/>
      <c r="X492" s="167"/>
      <c r="Y492" s="278"/>
      <c r="Z492" s="49"/>
      <c r="AA492" s="49"/>
      <c r="AB492" s="49"/>
      <c r="AC492" s="49"/>
      <c r="AD492" s="49"/>
      <c r="AE492" s="49"/>
    </row>
    <row r="493" spans="1:31" ht="15.75" customHeight="1" x14ac:dyDescent="0.25">
      <c r="A493" s="6" t="s">
        <v>102</v>
      </c>
      <c r="B493" s="32" t="s">
        <v>103</v>
      </c>
      <c r="C493" s="17" t="s">
        <v>329</v>
      </c>
      <c r="D493" s="14"/>
      <c r="E493" s="14">
        <v>56000</v>
      </c>
      <c r="F493" s="14"/>
      <c r="G493" s="61">
        <f t="shared" si="221"/>
        <v>56000</v>
      </c>
      <c r="H493" s="15"/>
      <c r="I493" s="14"/>
      <c r="J493" s="14">
        <v>59400</v>
      </c>
      <c r="K493" s="14"/>
      <c r="L493" s="14">
        <f t="shared" si="222"/>
        <v>59400</v>
      </c>
      <c r="M493" s="62">
        <f t="shared" si="223"/>
        <v>3400</v>
      </c>
      <c r="N493" s="15"/>
      <c r="O493" s="38"/>
      <c r="P493" s="15"/>
      <c r="Q493" s="241"/>
      <c r="R493" s="38"/>
      <c r="S493" s="38"/>
      <c r="T493" s="38"/>
      <c r="U493" s="38"/>
      <c r="V493" s="38"/>
      <c r="W493" s="38"/>
      <c r="X493" s="167"/>
      <c r="Y493" s="278"/>
      <c r="Z493" s="49"/>
      <c r="AA493" s="49"/>
      <c r="AB493" s="49"/>
      <c r="AC493" s="49"/>
      <c r="AD493" s="49"/>
      <c r="AE493" s="49"/>
    </row>
    <row r="494" spans="1:31" ht="15.75" customHeight="1" x14ac:dyDescent="0.25">
      <c r="A494" s="109"/>
      <c r="B494" s="12"/>
      <c r="C494" s="13" t="s">
        <v>757</v>
      </c>
      <c r="D494" s="14"/>
      <c r="E494" s="14"/>
      <c r="F494" s="14"/>
      <c r="G494" s="61">
        <f>SUM(D494:F494)</f>
        <v>0</v>
      </c>
      <c r="H494" s="15"/>
      <c r="I494" s="14"/>
      <c r="J494" s="14"/>
      <c r="K494" s="14"/>
      <c r="L494" s="14">
        <f>SUM(I494:K494)</f>
        <v>0</v>
      </c>
      <c r="M494" s="62">
        <f>(L494-G494)</f>
        <v>0</v>
      </c>
      <c r="N494" s="14"/>
      <c r="O494" s="38"/>
      <c r="P494" s="15"/>
      <c r="Q494" s="241"/>
      <c r="R494" s="38">
        <v>25201</v>
      </c>
      <c r="S494" s="38"/>
      <c r="T494" s="38"/>
      <c r="U494" s="38"/>
      <c r="V494" s="38"/>
      <c r="W494" s="38"/>
      <c r="X494" s="167"/>
      <c r="Y494" s="278"/>
      <c r="Z494" s="49"/>
      <c r="AA494" s="49"/>
      <c r="AB494" s="49"/>
      <c r="AC494" s="49"/>
      <c r="AD494" s="49"/>
      <c r="AE494" s="49"/>
    </row>
    <row r="495" spans="1:31" ht="15.75" customHeight="1" x14ac:dyDescent="0.25">
      <c r="A495" s="6" t="s">
        <v>102</v>
      </c>
      <c r="B495" s="32" t="s">
        <v>103</v>
      </c>
      <c r="C495" s="17" t="s">
        <v>758</v>
      </c>
      <c r="D495" s="14"/>
      <c r="E495" s="14"/>
      <c r="F495" s="14"/>
      <c r="G495" s="61">
        <f t="shared" si="221"/>
        <v>0</v>
      </c>
      <c r="H495" s="15"/>
      <c r="I495" s="14"/>
      <c r="J495" s="14"/>
      <c r="K495" s="14"/>
      <c r="L495" s="14">
        <f t="shared" si="222"/>
        <v>0</v>
      </c>
      <c r="M495" s="62">
        <f t="shared" si="223"/>
        <v>0</v>
      </c>
      <c r="N495" s="15"/>
      <c r="O495" s="38"/>
      <c r="P495" s="15"/>
      <c r="Q495" s="241"/>
      <c r="R495" s="38"/>
      <c r="S495" s="38"/>
      <c r="T495" s="38"/>
      <c r="U495" s="38"/>
      <c r="V495" s="38"/>
      <c r="W495" s="38"/>
      <c r="X495" s="167"/>
      <c r="Y495" s="278"/>
      <c r="Z495" s="49"/>
      <c r="AA495" s="49"/>
      <c r="AB495" s="49"/>
      <c r="AC495" s="49"/>
      <c r="AD495" s="49"/>
      <c r="AE495" s="49"/>
    </row>
    <row r="496" spans="1:31" ht="15.75" customHeight="1" x14ac:dyDescent="0.25">
      <c r="A496" s="6" t="s">
        <v>102</v>
      </c>
      <c r="B496" s="32" t="s">
        <v>103</v>
      </c>
      <c r="C496" s="17" t="s">
        <v>213</v>
      </c>
      <c r="D496" s="14"/>
      <c r="E496" s="14"/>
      <c r="F496" s="14"/>
      <c r="G496" s="61">
        <f t="shared" si="221"/>
        <v>0</v>
      </c>
      <c r="H496" s="15"/>
      <c r="I496" s="14"/>
      <c r="J496" s="30"/>
      <c r="K496" s="14"/>
      <c r="L496" s="14">
        <f t="shared" si="222"/>
        <v>0</v>
      </c>
      <c r="M496" s="62">
        <f t="shared" si="223"/>
        <v>0</v>
      </c>
      <c r="N496" s="15"/>
      <c r="O496" s="38"/>
      <c r="P496" s="15"/>
      <c r="Q496" s="241"/>
      <c r="R496" s="38"/>
      <c r="S496" s="38"/>
      <c r="T496" s="38"/>
      <c r="U496" s="38"/>
      <c r="V496" s="38"/>
      <c r="W496" s="38"/>
      <c r="X496" s="167"/>
      <c r="Y496" s="278"/>
      <c r="Z496" s="49"/>
      <c r="AA496" s="49"/>
      <c r="AB496" s="49"/>
      <c r="AC496" s="49"/>
      <c r="AD496" s="49"/>
      <c r="AE496" s="49"/>
    </row>
    <row r="497" spans="1:25" ht="15.75" customHeight="1" x14ac:dyDescent="0.25">
      <c r="A497" s="6" t="s">
        <v>102</v>
      </c>
      <c r="B497" s="32" t="s">
        <v>103</v>
      </c>
      <c r="C497" s="17" t="s">
        <v>759</v>
      </c>
      <c r="D497" s="14"/>
      <c r="E497" s="14">
        <v>3000</v>
      </c>
      <c r="F497" s="14"/>
      <c r="G497" s="61">
        <f t="shared" si="221"/>
        <v>3000</v>
      </c>
      <c r="H497" s="15"/>
      <c r="I497" s="14"/>
      <c r="J497" s="14"/>
      <c r="K497" s="14"/>
      <c r="L497" s="14">
        <f t="shared" si="222"/>
        <v>0</v>
      </c>
      <c r="M497" s="62">
        <f t="shared" si="223"/>
        <v>-3000</v>
      </c>
      <c r="N497" s="15"/>
      <c r="O497" s="38"/>
      <c r="P497" s="15"/>
      <c r="Q497" s="241"/>
      <c r="R497" s="38"/>
      <c r="S497" s="38"/>
      <c r="T497" s="38"/>
      <c r="U497" s="38"/>
      <c r="V497" s="38"/>
      <c r="W497" s="38"/>
      <c r="X497" s="167"/>
    </row>
    <row r="498" spans="1:25" ht="15.75" customHeight="1" x14ac:dyDescent="0.25">
      <c r="A498" s="6" t="s">
        <v>102</v>
      </c>
      <c r="B498" s="32" t="s">
        <v>103</v>
      </c>
      <c r="C498" s="17" t="s">
        <v>760</v>
      </c>
      <c r="D498" s="14"/>
      <c r="E498" s="14"/>
      <c r="F498" s="14"/>
      <c r="G498" s="61">
        <f t="shared" si="221"/>
        <v>0</v>
      </c>
      <c r="H498" s="15"/>
      <c r="I498" s="14"/>
      <c r="J498" s="14"/>
      <c r="K498" s="14"/>
      <c r="L498" s="14">
        <f t="shared" si="222"/>
        <v>0</v>
      </c>
      <c r="M498" s="62">
        <f t="shared" si="223"/>
        <v>0</v>
      </c>
      <c r="N498" s="15"/>
      <c r="O498" s="38"/>
      <c r="P498" s="15"/>
      <c r="Q498" s="241"/>
      <c r="R498" s="38"/>
      <c r="S498" s="38"/>
      <c r="T498" s="38"/>
      <c r="U498" s="38"/>
      <c r="V498" s="38"/>
      <c r="W498" s="38"/>
      <c r="X498" s="167"/>
    </row>
    <row r="499" spans="1:25" ht="15.75" customHeight="1" x14ac:dyDescent="0.25">
      <c r="A499" s="6" t="s">
        <v>102</v>
      </c>
      <c r="B499" s="32" t="s">
        <v>103</v>
      </c>
      <c r="C499" s="17" t="s">
        <v>761</v>
      </c>
      <c r="D499" s="14"/>
      <c r="E499" s="14"/>
      <c r="F499" s="14"/>
      <c r="G499" s="61">
        <f t="shared" si="221"/>
        <v>0</v>
      </c>
      <c r="H499" s="15"/>
      <c r="I499" s="14"/>
      <c r="J499" s="14"/>
      <c r="K499" s="14"/>
      <c r="L499" s="14">
        <f t="shared" si="222"/>
        <v>0</v>
      </c>
      <c r="M499" s="62">
        <f t="shared" si="223"/>
        <v>0</v>
      </c>
      <c r="N499" s="15"/>
      <c r="O499" s="38"/>
      <c r="P499" s="15"/>
      <c r="Q499" s="241"/>
      <c r="R499" s="38"/>
      <c r="S499" s="38"/>
      <c r="T499" s="38"/>
      <c r="U499" s="38"/>
      <c r="V499" s="38"/>
      <c r="W499" s="38"/>
      <c r="X499" s="167"/>
      <c r="Y499" s="279"/>
    </row>
    <row r="500" spans="1:25" ht="15.75" customHeight="1" x14ac:dyDescent="0.25">
      <c r="A500" s="6" t="s">
        <v>102</v>
      </c>
      <c r="B500" s="32" t="s">
        <v>103</v>
      </c>
      <c r="C500" s="17" t="s">
        <v>335</v>
      </c>
      <c r="D500" s="14"/>
      <c r="E500" s="14"/>
      <c r="F500" s="14"/>
      <c r="G500" s="61">
        <f t="shared" si="221"/>
        <v>0</v>
      </c>
      <c r="H500" s="15"/>
      <c r="I500" s="14"/>
      <c r="J500" s="14"/>
      <c r="K500" s="14"/>
      <c r="L500" s="14">
        <f t="shared" si="222"/>
        <v>0</v>
      </c>
      <c r="M500" s="62">
        <f t="shared" si="223"/>
        <v>0</v>
      </c>
      <c r="N500" s="15"/>
      <c r="O500" s="38"/>
      <c r="P500" s="15"/>
      <c r="Q500" s="241"/>
      <c r="R500" s="38">
        <v>100000</v>
      </c>
      <c r="S500" s="38"/>
      <c r="T500" s="38"/>
      <c r="U500" s="38"/>
      <c r="V500" s="38"/>
      <c r="W500" s="38"/>
      <c r="X500" s="167"/>
    </row>
    <row r="501" spans="1:25" ht="15.75" customHeight="1" x14ac:dyDescent="0.25">
      <c r="A501" s="6" t="s">
        <v>102</v>
      </c>
      <c r="B501" s="32" t="s">
        <v>103</v>
      </c>
      <c r="C501" s="17" t="s">
        <v>762</v>
      </c>
      <c r="D501" s="14"/>
      <c r="E501" s="14"/>
      <c r="F501" s="14"/>
      <c r="G501" s="61">
        <f t="shared" ref="G501:G502" si="224">SUM(D501:F501)</f>
        <v>0</v>
      </c>
      <c r="H501" s="15"/>
      <c r="I501" s="14"/>
      <c r="J501" s="14"/>
      <c r="K501" s="14"/>
      <c r="L501" s="14">
        <f t="shared" si="222"/>
        <v>0</v>
      </c>
      <c r="M501" s="62">
        <f t="shared" si="223"/>
        <v>0</v>
      </c>
      <c r="N501" s="15"/>
      <c r="O501" s="38"/>
      <c r="P501" s="15"/>
      <c r="Q501" s="241"/>
      <c r="R501" s="38"/>
      <c r="S501" s="38"/>
      <c r="T501" s="38">
        <v>85000</v>
      </c>
      <c r="U501" s="38"/>
      <c r="V501" s="38"/>
      <c r="W501" s="38"/>
      <c r="X501" s="167"/>
    </row>
    <row r="502" spans="1:25" ht="15.75" customHeight="1" x14ac:dyDescent="0.25">
      <c r="A502" s="6" t="s">
        <v>102</v>
      </c>
      <c r="B502" s="32" t="s">
        <v>103</v>
      </c>
      <c r="C502" s="17" t="s">
        <v>763</v>
      </c>
      <c r="D502" s="14"/>
      <c r="E502" s="14"/>
      <c r="F502" s="14"/>
      <c r="G502" s="61">
        <f t="shared" si="224"/>
        <v>0</v>
      </c>
      <c r="H502" s="15"/>
      <c r="I502" s="14"/>
      <c r="J502" s="14"/>
      <c r="K502" s="14"/>
      <c r="L502" s="14">
        <f t="shared" si="222"/>
        <v>0</v>
      </c>
      <c r="M502" s="62">
        <f t="shared" si="223"/>
        <v>0</v>
      </c>
      <c r="N502" s="15"/>
      <c r="O502" s="38"/>
      <c r="P502" s="15"/>
      <c r="Q502" s="241"/>
      <c r="R502" s="38"/>
      <c r="S502" s="38"/>
      <c r="T502" s="38">
        <v>15000</v>
      </c>
      <c r="U502" s="38"/>
      <c r="V502" s="38"/>
      <c r="W502" s="38"/>
      <c r="X502" s="167"/>
    </row>
    <row r="503" spans="1:25" ht="15.75" customHeight="1" x14ac:dyDescent="0.25">
      <c r="A503" s="6" t="s">
        <v>102</v>
      </c>
      <c r="B503" s="32" t="s">
        <v>103</v>
      </c>
      <c r="C503" s="17" t="s">
        <v>336</v>
      </c>
      <c r="D503" s="14"/>
      <c r="E503" s="14"/>
      <c r="F503" s="14"/>
      <c r="G503" s="61">
        <f t="shared" ref="G503:G505" si="225">SUM(D503:F503)</f>
        <v>0</v>
      </c>
      <c r="H503" s="15"/>
      <c r="I503" s="14"/>
      <c r="J503" s="14"/>
      <c r="K503" s="14"/>
      <c r="L503" s="14">
        <f t="shared" si="222"/>
        <v>0</v>
      </c>
      <c r="M503" s="62">
        <f t="shared" si="223"/>
        <v>0</v>
      </c>
      <c r="N503" s="15"/>
      <c r="O503" s="38"/>
      <c r="P503" s="15"/>
      <c r="Q503" s="241"/>
      <c r="R503" s="38"/>
      <c r="S503" s="38"/>
      <c r="T503" s="38"/>
      <c r="U503" s="38"/>
      <c r="V503" s="38"/>
      <c r="W503" s="38"/>
      <c r="X503" s="167"/>
    </row>
    <row r="504" spans="1:25" ht="15.75" customHeight="1" x14ac:dyDescent="0.25">
      <c r="A504" s="6" t="s">
        <v>102</v>
      </c>
      <c r="B504" s="32" t="s">
        <v>103</v>
      </c>
      <c r="C504" s="17" t="s">
        <v>337</v>
      </c>
      <c r="D504" s="14"/>
      <c r="E504" s="14"/>
      <c r="F504" s="14"/>
      <c r="G504" s="61">
        <f t="shared" si="225"/>
        <v>0</v>
      </c>
      <c r="H504" s="15"/>
      <c r="I504" s="14"/>
      <c r="J504" s="14"/>
      <c r="K504" s="14"/>
      <c r="L504" s="14">
        <f t="shared" si="222"/>
        <v>0</v>
      </c>
      <c r="M504" s="62">
        <f t="shared" si="223"/>
        <v>0</v>
      </c>
      <c r="N504" s="15"/>
      <c r="O504" s="38"/>
      <c r="P504" s="15"/>
      <c r="Q504" s="241"/>
      <c r="R504" s="38">
        <v>20000</v>
      </c>
      <c r="S504" s="38"/>
      <c r="T504" s="38"/>
      <c r="U504" s="38"/>
      <c r="V504" s="38"/>
      <c r="W504" s="38"/>
      <c r="X504" s="167"/>
    </row>
    <row r="505" spans="1:25" ht="15.75" customHeight="1" x14ac:dyDescent="0.25">
      <c r="A505" s="6" t="s">
        <v>102</v>
      </c>
      <c r="B505" s="32" t="s">
        <v>103</v>
      </c>
      <c r="C505" s="17" t="s">
        <v>764</v>
      </c>
      <c r="D505" s="14"/>
      <c r="E505" s="14"/>
      <c r="F505" s="14"/>
      <c r="G505" s="61">
        <f t="shared" si="225"/>
        <v>0</v>
      </c>
      <c r="H505" s="15"/>
      <c r="I505" s="14"/>
      <c r="J505" s="30"/>
      <c r="K505" s="14"/>
      <c r="L505" s="14">
        <f t="shared" si="222"/>
        <v>0</v>
      </c>
      <c r="M505" s="62">
        <f t="shared" si="223"/>
        <v>0</v>
      </c>
      <c r="N505" s="15"/>
      <c r="O505" s="38"/>
      <c r="P505" s="15"/>
      <c r="Q505" s="241">
        <v>14000</v>
      </c>
      <c r="R505" s="38"/>
      <c r="S505" s="38"/>
      <c r="T505" s="38">
        <v>20000</v>
      </c>
      <c r="U505" s="38"/>
      <c r="V505" s="38"/>
      <c r="W505" s="38"/>
      <c r="X505" s="167"/>
    </row>
    <row r="506" spans="1:25" ht="15.75" customHeight="1" x14ac:dyDescent="0.25">
      <c r="A506" s="6"/>
      <c r="B506" s="6"/>
      <c r="C506" s="17" t="s">
        <v>338</v>
      </c>
      <c r="D506" s="14"/>
      <c r="E506" s="14"/>
      <c r="F506" s="14"/>
      <c r="G506" s="61">
        <f t="shared" ref="G506" si="226">SUM(D506:F506)</f>
        <v>0</v>
      </c>
      <c r="H506" s="15"/>
      <c r="I506" s="14"/>
      <c r="J506" s="14"/>
      <c r="K506" s="14"/>
      <c r="L506" s="14">
        <f t="shared" si="222"/>
        <v>0</v>
      </c>
      <c r="M506" s="62">
        <f t="shared" si="223"/>
        <v>0</v>
      </c>
      <c r="N506" s="14"/>
      <c r="O506" s="38"/>
      <c r="P506" s="15"/>
      <c r="Q506" s="241">
        <v>6000</v>
      </c>
      <c r="R506" s="38"/>
      <c r="S506" s="38"/>
      <c r="T506" s="38"/>
      <c r="U506" s="38"/>
      <c r="V506" s="38"/>
      <c r="W506" s="38"/>
      <c r="X506" s="167"/>
    </row>
    <row r="507" spans="1:25" ht="15.75" customHeight="1" x14ac:dyDescent="0.25">
      <c r="A507" s="6"/>
      <c r="B507" s="6"/>
      <c r="C507" s="17" t="s">
        <v>765</v>
      </c>
      <c r="D507" s="14"/>
      <c r="E507" s="14"/>
      <c r="F507" s="14"/>
      <c r="G507" s="61">
        <f t="shared" ref="G507:G513" si="227">SUM(D507:F507)</f>
        <v>0</v>
      </c>
      <c r="H507" s="15"/>
      <c r="I507" s="14"/>
      <c r="J507" s="14"/>
      <c r="K507" s="14"/>
      <c r="L507" s="14">
        <f t="shared" si="222"/>
        <v>0</v>
      </c>
      <c r="M507" s="62">
        <f t="shared" si="223"/>
        <v>0</v>
      </c>
      <c r="N507" s="14"/>
      <c r="O507" s="38"/>
      <c r="P507" s="15">
        <v>20000</v>
      </c>
      <c r="Q507" s="241"/>
      <c r="R507" s="38"/>
      <c r="S507" s="38"/>
      <c r="T507" s="38"/>
      <c r="U507" s="38"/>
      <c r="V507" s="38"/>
      <c r="W507" s="38"/>
      <c r="X507" s="167"/>
    </row>
    <row r="508" spans="1:25" ht="15.75" customHeight="1" x14ac:dyDescent="0.25">
      <c r="A508" s="109"/>
      <c r="B508" s="109"/>
      <c r="C508" s="17" t="s">
        <v>766</v>
      </c>
      <c r="D508" s="14"/>
      <c r="E508" s="14"/>
      <c r="F508" s="14"/>
      <c r="G508" s="61">
        <f>SUM(D508:F508)</f>
        <v>0</v>
      </c>
      <c r="H508" s="15"/>
      <c r="I508" s="14"/>
      <c r="J508" s="14"/>
      <c r="K508" s="14"/>
      <c r="L508" s="14">
        <f>SUM(I508:K508)</f>
        <v>0</v>
      </c>
      <c r="M508" s="62">
        <f>(L508-G508)</f>
        <v>0</v>
      </c>
      <c r="N508" s="14"/>
      <c r="O508" s="38"/>
      <c r="P508" s="15">
        <v>4000</v>
      </c>
      <c r="Q508" s="241"/>
      <c r="R508" s="38"/>
      <c r="S508" s="38"/>
      <c r="T508" s="38"/>
      <c r="U508" s="38"/>
      <c r="V508" s="38"/>
      <c r="W508" s="38"/>
      <c r="X508" s="167"/>
      <c r="Y508" s="277" t="s">
        <v>332</v>
      </c>
    </row>
    <row r="509" spans="1:25" ht="15.75" customHeight="1" x14ac:dyDescent="0.25">
      <c r="A509" s="109"/>
      <c r="B509" s="109"/>
      <c r="C509" s="13" t="s">
        <v>767</v>
      </c>
      <c r="D509" s="14"/>
      <c r="E509" s="14"/>
      <c r="F509" s="14"/>
      <c r="G509" s="61">
        <f>SUM(D509:F509)</f>
        <v>0</v>
      </c>
      <c r="H509" s="15"/>
      <c r="I509" s="14"/>
      <c r="J509" s="14"/>
      <c r="K509" s="14"/>
      <c r="L509" s="14">
        <f>SUM(I509:K509)</f>
        <v>0</v>
      </c>
      <c r="M509" s="62">
        <f>(L509-G509)</f>
        <v>0</v>
      </c>
      <c r="N509" s="14"/>
      <c r="O509" s="38"/>
      <c r="P509" s="15">
        <v>23136</v>
      </c>
      <c r="Q509" s="241"/>
      <c r="R509" s="38"/>
      <c r="S509" s="38"/>
      <c r="T509" s="38"/>
      <c r="U509" s="38"/>
      <c r="V509" s="38"/>
      <c r="W509" s="38"/>
      <c r="X509" s="167"/>
    </row>
    <row r="510" spans="1:25" ht="15.75" customHeight="1" x14ac:dyDescent="0.25">
      <c r="A510" s="109"/>
      <c r="B510" s="109"/>
      <c r="C510" s="13" t="s">
        <v>768</v>
      </c>
      <c r="D510" s="14"/>
      <c r="E510" s="14"/>
      <c r="F510" s="14"/>
      <c r="G510" s="61">
        <f>SUM(D510:F510)</f>
        <v>0</v>
      </c>
      <c r="H510" s="15"/>
      <c r="I510" s="14"/>
      <c r="J510" s="14"/>
      <c r="K510" s="14"/>
      <c r="L510" s="14">
        <f>SUM(I510:K510)</f>
        <v>0</v>
      </c>
      <c r="M510" s="62">
        <f>(L510-G510)</f>
        <v>0</v>
      </c>
      <c r="N510" s="14"/>
      <c r="O510" s="38"/>
      <c r="P510" s="15">
        <v>7701</v>
      </c>
      <c r="Q510" s="241"/>
      <c r="R510" s="38"/>
      <c r="S510" s="38"/>
      <c r="T510" s="38"/>
      <c r="U510" s="38"/>
      <c r="V510" s="38"/>
      <c r="W510" s="38"/>
      <c r="X510" s="167"/>
    </row>
    <row r="511" spans="1:25" ht="15.75" customHeight="1" x14ac:dyDescent="0.25">
      <c r="A511" s="109"/>
      <c r="B511" s="109"/>
      <c r="C511" s="13" t="s">
        <v>769</v>
      </c>
      <c r="D511" s="14"/>
      <c r="E511" s="14"/>
      <c r="F511" s="14"/>
      <c r="G511" s="61">
        <f>SUM(D511:F511)</f>
        <v>0</v>
      </c>
      <c r="H511" s="15"/>
      <c r="I511" s="14"/>
      <c r="J511" s="14"/>
      <c r="K511" s="14"/>
      <c r="L511" s="14">
        <f>SUM(I511:K511)</f>
        <v>0</v>
      </c>
      <c r="M511" s="62">
        <f>(L511-G511)</f>
        <v>0</v>
      </c>
      <c r="N511" s="14"/>
      <c r="O511" s="38"/>
      <c r="P511" s="15">
        <v>7763</v>
      </c>
      <c r="Q511" s="241"/>
      <c r="R511" s="38"/>
      <c r="S511" s="38"/>
      <c r="T511" s="38"/>
      <c r="U511" s="38"/>
      <c r="V511" s="38"/>
      <c r="W511" s="38"/>
      <c r="X511" s="167"/>
    </row>
    <row r="512" spans="1:25" ht="15.75" customHeight="1" x14ac:dyDescent="0.25">
      <c r="A512" s="109"/>
      <c r="B512" s="109"/>
      <c r="C512" s="13" t="s">
        <v>770</v>
      </c>
      <c r="D512" s="14"/>
      <c r="E512" s="14"/>
      <c r="F512" s="14"/>
      <c r="G512" s="61">
        <f>SUM(D512:F512)</f>
        <v>0</v>
      </c>
      <c r="H512" s="15"/>
      <c r="I512" s="14"/>
      <c r="J512" s="14"/>
      <c r="K512" s="14"/>
      <c r="L512" s="14">
        <f>SUM(I512:K512)</f>
        <v>0</v>
      </c>
      <c r="M512" s="62">
        <f>(L512-G512)</f>
        <v>0</v>
      </c>
      <c r="N512" s="14"/>
      <c r="O512" s="38"/>
      <c r="P512" s="15">
        <v>5560.68</v>
      </c>
      <c r="Q512" s="241"/>
      <c r="R512" s="38"/>
      <c r="S512" s="38"/>
      <c r="T512" s="38"/>
      <c r="U512" s="38"/>
      <c r="V512" s="38"/>
      <c r="W512" s="38"/>
      <c r="X512" s="167"/>
    </row>
    <row r="513" spans="1:24" ht="15.75" customHeight="1" x14ac:dyDescent="0.25">
      <c r="C513" s="26" t="s">
        <v>188</v>
      </c>
      <c r="D513" s="89">
        <f>SUM(D487:D507)</f>
        <v>0</v>
      </c>
      <c r="E513" s="89">
        <f t="shared" ref="E513:F513" si="228">SUM(E488:E507)</f>
        <v>158479</v>
      </c>
      <c r="F513" s="89">
        <f t="shared" si="228"/>
        <v>0</v>
      </c>
      <c r="G513" s="27">
        <f t="shared" si="227"/>
        <v>158479</v>
      </c>
      <c r="H513" s="89">
        <f>SUM(H487:H512)</f>
        <v>0</v>
      </c>
      <c r="I513" s="89">
        <f>SUM(I487:I512)</f>
        <v>0</v>
      </c>
      <c r="J513" s="89">
        <f>SUM(J487:J512)</f>
        <v>117370</v>
      </c>
      <c r="K513" s="89">
        <f>SUM(K487:K512)</f>
        <v>0</v>
      </c>
      <c r="L513" s="89">
        <f t="shared" si="222"/>
        <v>117370</v>
      </c>
      <c r="M513" s="28">
        <f t="shared" si="223"/>
        <v>-41109</v>
      </c>
      <c r="N513" s="89">
        <f t="shared" ref="N513:X513" si="229">SUM(N488:N512)</f>
        <v>0</v>
      </c>
      <c r="O513" s="89">
        <f t="shared" si="229"/>
        <v>0</v>
      </c>
      <c r="P513" s="89">
        <f t="shared" si="229"/>
        <v>68160.679999999993</v>
      </c>
      <c r="Q513" s="246">
        <f t="shared" si="229"/>
        <v>20000</v>
      </c>
      <c r="R513" s="89">
        <f t="shared" si="229"/>
        <v>145201</v>
      </c>
      <c r="S513" s="89">
        <f t="shared" si="229"/>
        <v>0</v>
      </c>
      <c r="T513" s="89">
        <f t="shared" si="229"/>
        <v>120000</v>
      </c>
      <c r="U513" s="89">
        <f t="shared" si="229"/>
        <v>0</v>
      </c>
      <c r="V513" s="89">
        <f t="shared" si="229"/>
        <v>0</v>
      </c>
      <c r="W513" s="89">
        <f t="shared" si="229"/>
        <v>0</v>
      </c>
      <c r="X513" s="89">
        <f t="shared" si="229"/>
        <v>0</v>
      </c>
    </row>
    <row r="514" spans="1:24" ht="15.75" customHeight="1" x14ac:dyDescent="0.25">
      <c r="C514" s="32" t="s">
        <v>97</v>
      </c>
      <c r="D514" s="14"/>
      <c r="E514" s="14"/>
      <c r="F514" s="14"/>
      <c r="G514" s="61"/>
      <c r="H514" s="15"/>
      <c r="I514" s="14"/>
      <c r="J514" s="14"/>
      <c r="K514" s="14"/>
      <c r="L514" s="14">
        <f t="shared" si="222"/>
        <v>0</v>
      </c>
      <c r="M514" s="62">
        <f t="shared" ref="M514:M522" si="230">(L514-G514)</f>
        <v>0</v>
      </c>
      <c r="N514" s="14"/>
      <c r="O514" s="38"/>
      <c r="P514" s="15"/>
      <c r="Q514" s="241"/>
      <c r="R514" s="38"/>
      <c r="S514" s="38"/>
      <c r="T514" s="38"/>
      <c r="U514" s="38"/>
      <c r="V514" s="38"/>
      <c r="W514" s="38"/>
      <c r="X514" s="179"/>
    </row>
    <row r="515" spans="1:24" ht="15.75" customHeight="1" x14ac:dyDescent="0.25">
      <c r="A515" s="32" t="s">
        <v>97</v>
      </c>
      <c r="B515" s="32" t="s">
        <v>97</v>
      </c>
      <c r="C515" s="17" t="s">
        <v>771</v>
      </c>
      <c r="D515" s="14"/>
      <c r="E515" s="14"/>
      <c r="F515" s="14">
        <v>4866</v>
      </c>
      <c r="G515" s="61">
        <f t="shared" ref="G515:G518" si="231">SUM(D515:F515)</f>
        <v>4866</v>
      </c>
      <c r="H515" s="15"/>
      <c r="I515" s="14"/>
      <c r="J515" s="30"/>
      <c r="K515" s="14"/>
      <c r="L515" s="14">
        <f t="shared" si="222"/>
        <v>0</v>
      </c>
      <c r="M515" s="62">
        <f t="shared" si="230"/>
        <v>-4866</v>
      </c>
      <c r="N515" s="15"/>
      <c r="O515" s="38"/>
      <c r="P515" s="15"/>
      <c r="Q515" s="241"/>
      <c r="R515" s="38"/>
      <c r="S515" s="38"/>
      <c r="T515" s="38"/>
      <c r="U515" s="38"/>
      <c r="V515" s="38"/>
      <c r="W515" s="38"/>
      <c r="X515" s="167"/>
    </row>
    <row r="516" spans="1:24" ht="15.75" customHeight="1" x14ac:dyDescent="0.25">
      <c r="A516" s="32" t="s">
        <v>97</v>
      </c>
      <c r="B516" s="29"/>
      <c r="C516" s="17"/>
      <c r="D516" s="14"/>
      <c r="E516" s="14"/>
      <c r="F516" s="14"/>
      <c r="G516" s="61">
        <f t="shared" si="231"/>
        <v>0</v>
      </c>
      <c r="H516" s="15"/>
      <c r="I516" s="14"/>
      <c r="J516" s="14"/>
      <c r="K516" s="14"/>
      <c r="L516" s="14">
        <f t="shared" si="222"/>
        <v>0</v>
      </c>
      <c r="M516" s="62">
        <f t="shared" si="230"/>
        <v>0</v>
      </c>
      <c r="N516" s="15"/>
      <c r="O516" s="38"/>
      <c r="P516" s="15"/>
      <c r="Q516" s="241"/>
      <c r="R516" s="38"/>
      <c r="S516" s="38"/>
      <c r="T516" s="38"/>
      <c r="U516" s="38"/>
      <c r="V516" s="38"/>
      <c r="W516" s="38"/>
      <c r="X516" s="167"/>
    </row>
    <row r="517" spans="1:24" ht="15.75" customHeight="1" x14ac:dyDescent="0.25">
      <c r="A517" s="32" t="s">
        <v>97</v>
      </c>
      <c r="B517" s="29"/>
      <c r="C517" s="34"/>
      <c r="D517" s="14"/>
      <c r="E517" s="14"/>
      <c r="F517" s="14"/>
      <c r="G517" s="61">
        <f t="shared" si="231"/>
        <v>0</v>
      </c>
      <c r="H517" s="15"/>
      <c r="I517" s="14"/>
      <c r="J517" s="14"/>
      <c r="K517" s="14"/>
      <c r="L517" s="14">
        <f t="shared" si="222"/>
        <v>0</v>
      </c>
      <c r="M517" s="39">
        <f t="shared" si="230"/>
        <v>0</v>
      </c>
      <c r="N517" s="14"/>
      <c r="O517" s="38"/>
      <c r="P517" s="15"/>
      <c r="Q517" s="241"/>
      <c r="R517" s="38"/>
      <c r="S517" s="38"/>
      <c r="T517" s="38"/>
      <c r="U517" s="38"/>
      <c r="V517" s="38"/>
      <c r="W517" s="38"/>
      <c r="X517" s="189"/>
    </row>
    <row r="518" spans="1:24" ht="15.75" customHeight="1" x14ac:dyDescent="0.25">
      <c r="C518" s="26" t="s">
        <v>188</v>
      </c>
      <c r="D518" s="89">
        <f t="shared" ref="D518:F518" si="232">SUM(D515:D517)</f>
        <v>0</v>
      </c>
      <c r="E518" s="89">
        <f t="shared" si="232"/>
        <v>0</v>
      </c>
      <c r="F518" s="89">
        <f t="shared" si="232"/>
        <v>4866</v>
      </c>
      <c r="G518" s="59">
        <f t="shared" si="231"/>
        <v>4866</v>
      </c>
      <c r="H518" s="90"/>
      <c r="I518" s="89">
        <f t="shared" ref="I518:K518" si="233">SUM(I515:I517)</f>
        <v>0</v>
      </c>
      <c r="J518" s="89">
        <f t="shared" si="233"/>
        <v>0</v>
      </c>
      <c r="K518" s="89">
        <f t="shared" si="233"/>
        <v>0</v>
      </c>
      <c r="L518" s="89">
        <f t="shared" si="222"/>
        <v>0</v>
      </c>
      <c r="M518" s="28">
        <f t="shared" si="230"/>
        <v>-4866</v>
      </c>
      <c r="N518" s="89">
        <f t="shared" ref="N518:X518" si="234">SUM(N514:N517)</f>
        <v>0</v>
      </c>
      <c r="O518" s="107">
        <f t="shared" si="234"/>
        <v>0</v>
      </c>
      <c r="P518" s="210"/>
      <c r="Q518" s="246"/>
      <c r="R518" s="107">
        <f t="shared" si="234"/>
        <v>0</v>
      </c>
      <c r="S518" s="107">
        <f t="shared" si="234"/>
        <v>0</v>
      </c>
      <c r="T518" s="107">
        <f t="shared" si="234"/>
        <v>0</v>
      </c>
      <c r="U518" s="107">
        <f t="shared" si="234"/>
        <v>0</v>
      </c>
      <c r="V518" s="107">
        <f t="shared" si="234"/>
        <v>0</v>
      </c>
      <c r="W518" s="107">
        <f t="shared" si="234"/>
        <v>0</v>
      </c>
      <c r="X518" s="107">
        <f t="shared" si="234"/>
        <v>0</v>
      </c>
    </row>
    <row r="519" spans="1:24" ht="15.75" customHeight="1" x14ac:dyDescent="0.25">
      <c r="C519" s="32" t="s">
        <v>105</v>
      </c>
      <c r="D519" s="74"/>
      <c r="E519" s="74"/>
      <c r="F519" s="74"/>
      <c r="G519" s="59"/>
      <c r="H519" s="90"/>
      <c r="I519" s="74"/>
      <c r="J519" s="74"/>
      <c r="K519" s="74"/>
      <c r="L519" s="14">
        <f t="shared" si="222"/>
        <v>0</v>
      </c>
      <c r="M519" s="60">
        <f t="shared" si="230"/>
        <v>0</v>
      </c>
      <c r="N519" s="74"/>
      <c r="O519" s="102"/>
      <c r="P519" s="90"/>
      <c r="Q519" s="247"/>
      <c r="R519" s="102"/>
      <c r="S519" s="102"/>
      <c r="T519" s="102"/>
      <c r="U519" s="102"/>
      <c r="V519" s="102"/>
      <c r="W519" s="102"/>
      <c r="X519" s="179"/>
    </row>
    <row r="520" spans="1:24" ht="15.75" customHeight="1" x14ac:dyDescent="0.25">
      <c r="A520" s="32" t="s">
        <v>105</v>
      </c>
      <c r="B520" s="29"/>
      <c r="C520" s="13"/>
      <c r="D520" s="14"/>
      <c r="E520" s="14"/>
      <c r="F520" s="14"/>
      <c r="G520" s="61">
        <f t="shared" ref="G520:G522" si="235">SUM(D520:F520)</f>
        <v>0</v>
      </c>
      <c r="H520" s="15"/>
      <c r="I520" s="14"/>
      <c r="J520" s="14"/>
      <c r="K520" s="14"/>
      <c r="L520" s="14">
        <f t="shared" ref="L520:L548" si="236">SUM(I520:K520)</f>
        <v>0</v>
      </c>
      <c r="M520" s="62">
        <f t="shared" si="230"/>
        <v>0</v>
      </c>
      <c r="N520" s="15"/>
      <c r="O520" s="38"/>
      <c r="P520" s="15"/>
      <c r="Q520" s="241"/>
      <c r="R520" s="38"/>
      <c r="S520" s="38"/>
      <c r="T520" s="38"/>
      <c r="U520" s="38"/>
      <c r="V520" s="38"/>
      <c r="W520" s="38"/>
      <c r="X520" s="167"/>
    </row>
    <row r="521" spans="1:24" ht="15.75" customHeight="1" x14ac:dyDescent="0.25">
      <c r="A521" s="32" t="s">
        <v>105</v>
      </c>
      <c r="B521" s="32" t="s">
        <v>105</v>
      </c>
      <c r="C521" s="13" t="s">
        <v>345</v>
      </c>
      <c r="D521" s="14"/>
      <c r="E521" s="14"/>
      <c r="F521" s="14"/>
      <c r="G521" s="61">
        <f t="shared" si="235"/>
        <v>0</v>
      </c>
      <c r="H521" s="15"/>
      <c r="I521" s="14"/>
      <c r="J521" s="14"/>
      <c r="K521" s="14"/>
      <c r="L521" s="14">
        <f t="shared" si="236"/>
        <v>0</v>
      </c>
      <c r="M521" s="39">
        <f t="shared" si="230"/>
        <v>0</v>
      </c>
      <c r="N521" s="15"/>
      <c r="O521" s="38"/>
      <c r="P521" s="15"/>
      <c r="Q521" s="241"/>
      <c r="R521" s="38">
        <v>20000</v>
      </c>
      <c r="S521" s="38"/>
      <c r="T521" s="38"/>
      <c r="U521" s="38"/>
      <c r="V521" s="38"/>
      <c r="W521" s="38"/>
      <c r="X521" s="167"/>
    </row>
    <row r="522" spans="1:24" ht="15.75" customHeight="1" x14ac:dyDescent="0.25">
      <c r="C522" s="26" t="s">
        <v>188</v>
      </c>
      <c r="D522" s="89">
        <f t="shared" ref="D522:F522" si="237">SUM(D519:D521)</f>
        <v>0</v>
      </c>
      <c r="E522" s="89">
        <f t="shared" si="237"/>
        <v>0</v>
      </c>
      <c r="F522" s="89">
        <f t="shared" si="237"/>
        <v>0</v>
      </c>
      <c r="G522" s="59">
        <f t="shared" si="235"/>
        <v>0</v>
      </c>
      <c r="H522" s="89">
        <f t="shared" ref="H522:K522" si="238">SUM(H519:H521)</f>
        <v>0</v>
      </c>
      <c r="I522" s="89">
        <f t="shared" si="238"/>
        <v>0</v>
      </c>
      <c r="J522" s="89">
        <f t="shared" si="238"/>
        <v>0</v>
      </c>
      <c r="K522" s="89">
        <f t="shared" si="238"/>
        <v>0</v>
      </c>
      <c r="L522" s="89">
        <f t="shared" si="236"/>
        <v>0</v>
      </c>
      <c r="M522" s="28">
        <f t="shared" si="230"/>
        <v>0</v>
      </c>
      <c r="N522" s="89">
        <f t="shared" ref="N522:X522" si="239">SUM(N519:N521)</f>
        <v>0</v>
      </c>
      <c r="O522" s="107">
        <f t="shared" si="239"/>
        <v>0</v>
      </c>
      <c r="P522" s="210">
        <f t="shared" si="239"/>
        <v>0</v>
      </c>
      <c r="Q522" s="246">
        <f>SUM(Q519:Q521)</f>
        <v>0</v>
      </c>
      <c r="R522" s="107">
        <f t="shared" si="239"/>
        <v>20000</v>
      </c>
      <c r="S522" s="107">
        <f t="shared" si="239"/>
        <v>0</v>
      </c>
      <c r="T522" s="107">
        <f t="shared" si="239"/>
        <v>0</v>
      </c>
      <c r="U522" s="107">
        <f t="shared" si="239"/>
        <v>0</v>
      </c>
      <c r="V522" s="107">
        <f t="shared" si="239"/>
        <v>0</v>
      </c>
      <c r="W522" s="107">
        <f t="shared" si="239"/>
        <v>0</v>
      </c>
      <c r="X522" s="107">
        <f t="shared" si="239"/>
        <v>0</v>
      </c>
    </row>
    <row r="523" spans="1:24" ht="15.75" customHeight="1" x14ac:dyDescent="0.25">
      <c r="C523" s="32" t="s">
        <v>346</v>
      </c>
      <c r="D523" s="74"/>
      <c r="E523" s="74"/>
      <c r="F523" s="74"/>
      <c r="G523" s="59"/>
      <c r="H523" s="90"/>
      <c r="I523" s="74"/>
      <c r="J523" s="74"/>
      <c r="K523" s="74"/>
      <c r="L523" s="14">
        <f t="shared" si="236"/>
        <v>0</v>
      </c>
      <c r="M523" s="62">
        <f t="shared" ref="M523:M532" si="240">(L523-G523)</f>
        <v>0</v>
      </c>
      <c r="N523" s="90"/>
      <c r="O523" s="102"/>
      <c r="P523" s="90"/>
      <c r="Q523" s="247"/>
      <c r="R523" s="102"/>
      <c r="S523" s="102"/>
      <c r="T523" s="102"/>
      <c r="U523" s="102"/>
      <c r="V523" s="102"/>
      <c r="W523" s="102"/>
      <c r="X523" s="179"/>
    </row>
    <row r="524" spans="1:24" ht="15.75" customHeight="1" x14ac:dyDescent="0.25">
      <c r="A524" s="32" t="s">
        <v>64</v>
      </c>
      <c r="B524" s="32" t="s">
        <v>65</v>
      </c>
      <c r="C524" s="17" t="s">
        <v>347</v>
      </c>
      <c r="D524" s="14"/>
      <c r="E524" s="14">
        <v>113953</v>
      </c>
      <c r="F524" s="14"/>
      <c r="G524" s="61">
        <f t="shared" ref="G524:G528" si="241">SUM(D524:F524)</f>
        <v>113953</v>
      </c>
      <c r="H524" s="15"/>
      <c r="I524" s="14"/>
      <c r="J524" s="14">
        <v>206370</v>
      </c>
      <c r="K524" s="14"/>
      <c r="L524" s="14">
        <f t="shared" si="236"/>
        <v>206370</v>
      </c>
      <c r="M524" s="62">
        <f t="shared" si="240"/>
        <v>92417</v>
      </c>
      <c r="N524" s="15"/>
      <c r="O524" s="38"/>
      <c r="P524" s="15"/>
      <c r="Q524" s="241"/>
      <c r="R524" s="38"/>
      <c r="S524" s="38"/>
      <c r="T524" s="38"/>
      <c r="U524" s="38"/>
      <c r="V524" s="38"/>
      <c r="W524" s="38"/>
      <c r="X524" s="167"/>
    </row>
    <row r="525" spans="1:24" ht="15.75" customHeight="1" x14ac:dyDescent="0.25">
      <c r="A525" s="32" t="s">
        <v>64</v>
      </c>
      <c r="B525" s="32" t="s">
        <v>65</v>
      </c>
      <c r="C525" s="17" t="s">
        <v>348</v>
      </c>
      <c r="D525" s="14"/>
      <c r="E525" s="14">
        <v>35000</v>
      </c>
      <c r="F525" s="14"/>
      <c r="G525" s="61">
        <f t="shared" si="241"/>
        <v>35000</v>
      </c>
      <c r="H525" s="15"/>
      <c r="I525" s="14"/>
      <c r="J525" s="14">
        <v>15000</v>
      </c>
      <c r="K525" s="14"/>
      <c r="L525" s="14">
        <f t="shared" si="236"/>
        <v>15000</v>
      </c>
      <c r="M525" s="62">
        <f t="shared" si="240"/>
        <v>-20000</v>
      </c>
      <c r="N525" s="15"/>
      <c r="O525" s="38"/>
      <c r="P525" s="15"/>
      <c r="Q525" s="241"/>
      <c r="R525" s="38"/>
      <c r="S525" s="38"/>
      <c r="T525" s="38"/>
      <c r="U525" s="38"/>
      <c r="V525" s="38"/>
      <c r="W525" s="38"/>
      <c r="X525" s="167"/>
    </row>
    <row r="526" spans="1:24" ht="15.75" customHeight="1" x14ac:dyDescent="0.25">
      <c r="A526" s="12"/>
      <c r="B526" s="12"/>
      <c r="C526" s="113" t="s">
        <v>349</v>
      </c>
      <c r="D526" s="14"/>
      <c r="E526" s="14"/>
      <c r="F526" s="14"/>
      <c r="G526" s="61">
        <f>SUM(D526:F526)</f>
        <v>0</v>
      </c>
      <c r="H526" s="15"/>
      <c r="I526" s="14"/>
      <c r="J526" s="14">
        <v>20000</v>
      </c>
      <c r="K526" s="14"/>
      <c r="L526" s="14">
        <f>SUM(I526:K526)</f>
        <v>20000</v>
      </c>
      <c r="M526" s="62">
        <f>(L526-G526)</f>
        <v>20000</v>
      </c>
      <c r="N526" s="14"/>
      <c r="O526" s="38"/>
      <c r="P526" s="15"/>
      <c r="Q526" s="241"/>
      <c r="R526" s="38"/>
      <c r="S526" s="38"/>
      <c r="T526" s="38"/>
      <c r="U526" s="38"/>
      <c r="V526" s="38"/>
      <c r="W526" s="38"/>
      <c r="X526" s="167"/>
    </row>
    <row r="527" spans="1:24" ht="15.75" customHeight="1" x14ac:dyDescent="0.25">
      <c r="A527" s="32" t="s">
        <v>64</v>
      </c>
      <c r="B527" s="32" t="s">
        <v>65</v>
      </c>
      <c r="C527" s="17" t="s">
        <v>772</v>
      </c>
      <c r="D527" s="14"/>
      <c r="E527" s="14"/>
      <c r="F527" s="14"/>
      <c r="G527" s="61">
        <f t="shared" si="241"/>
        <v>0</v>
      </c>
      <c r="H527" s="15"/>
      <c r="I527" s="14"/>
      <c r="J527" s="14"/>
      <c r="K527" s="14"/>
      <c r="L527" s="14">
        <f t="shared" si="236"/>
        <v>0</v>
      </c>
      <c r="M527" s="62">
        <f t="shared" si="240"/>
        <v>0</v>
      </c>
      <c r="N527" s="15"/>
      <c r="O527" s="38"/>
      <c r="P527" s="15"/>
      <c r="Q527" s="241"/>
      <c r="R527" s="38"/>
      <c r="S527" s="38"/>
      <c r="T527" s="38"/>
      <c r="U527" s="38"/>
      <c r="V527" s="38"/>
      <c r="W527" s="38"/>
      <c r="X527" s="167"/>
    </row>
    <row r="528" spans="1:24" ht="15.75" customHeight="1" x14ac:dyDescent="0.25">
      <c r="A528" s="32" t="s">
        <v>64</v>
      </c>
      <c r="B528" s="29"/>
      <c r="C528" s="113" t="s">
        <v>773</v>
      </c>
      <c r="D528" s="14"/>
      <c r="E528" s="14"/>
      <c r="F528" s="14"/>
      <c r="G528" s="61">
        <f t="shared" si="241"/>
        <v>0</v>
      </c>
      <c r="H528" s="15"/>
      <c r="I528" s="14"/>
      <c r="J528" s="14"/>
      <c r="K528" s="14"/>
      <c r="L528" s="14">
        <f t="shared" si="236"/>
        <v>0</v>
      </c>
      <c r="M528" s="62">
        <f t="shared" si="240"/>
        <v>0</v>
      </c>
      <c r="N528" s="15"/>
      <c r="O528" s="38"/>
      <c r="P528" s="15"/>
      <c r="Q528" s="241"/>
      <c r="R528" s="292">
        <v>140000</v>
      </c>
      <c r="S528" s="38"/>
      <c r="T528" s="38"/>
      <c r="U528" s="38"/>
      <c r="V528" s="38"/>
      <c r="W528" s="38"/>
      <c r="X528" s="167"/>
    </row>
    <row r="529" spans="1:31" ht="15.75" customHeight="1" x14ac:dyDescent="0.25">
      <c r="A529" s="32" t="s">
        <v>64</v>
      </c>
      <c r="B529" s="32" t="s">
        <v>67</v>
      </c>
      <c r="C529" s="29" t="s">
        <v>350</v>
      </c>
      <c r="D529" s="14"/>
      <c r="E529" s="14"/>
      <c r="F529" s="14"/>
      <c r="G529" s="61">
        <f t="shared" ref="G529" si="242">SUM(D529:F529)</f>
        <v>0</v>
      </c>
      <c r="H529" s="15"/>
      <c r="I529" s="14"/>
      <c r="J529" s="14"/>
      <c r="K529" s="14"/>
      <c r="L529" s="14">
        <f t="shared" si="236"/>
        <v>0</v>
      </c>
      <c r="M529" s="62">
        <f t="shared" si="240"/>
        <v>0</v>
      </c>
      <c r="N529" s="14"/>
      <c r="O529" s="38"/>
      <c r="P529" s="15"/>
      <c r="Q529" s="241"/>
      <c r="R529" s="38"/>
      <c r="S529" s="38"/>
      <c r="T529" s="38"/>
      <c r="U529" s="38"/>
      <c r="V529" s="38"/>
      <c r="W529" s="38"/>
      <c r="X529" s="167"/>
    </row>
    <row r="530" spans="1:31" ht="15.75" customHeight="1" x14ac:dyDescent="0.25">
      <c r="A530" s="32" t="s">
        <v>64</v>
      </c>
      <c r="B530" s="32" t="s">
        <v>67</v>
      </c>
      <c r="C530" s="17" t="s">
        <v>347</v>
      </c>
      <c r="D530" s="14"/>
      <c r="E530" s="14">
        <v>20085</v>
      </c>
      <c r="F530" s="14"/>
      <c r="G530" s="61">
        <f t="shared" ref="G530:G531" si="243">SUM(D530:F530)</f>
        <v>20085</v>
      </c>
      <c r="H530" s="15"/>
      <c r="I530" s="14"/>
      <c r="J530" s="14">
        <v>33353</v>
      </c>
      <c r="K530" s="14"/>
      <c r="L530" s="14">
        <f t="shared" si="236"/>
        <v>33353</v>
      </c>
      <c r="M530" s="62">
        <f t="shared" si="240"/>
        <v>13268</v>
      </c>
      <c r="N530" s="14"/>
      <c r="O530" s="38"/>
      <c r="P530" s="15"/>
      <c r="Q530" s="241"/>
      <c r="R530" s="38"/>
      <c r="S530" s="38"/>
      <c r="T530" s="38"/>
      <c r="U530" s="38"/>
      <c r="V530" s="38"/>
      <c r="W530" s="38"/>
      <c r="X530" s="167"/>
    </row>
    <row r="531" spans="1:31" ht="15.75" customHeight="1" x14ac:dyDescent="0.25">
      <c r="A531" s="32" t="s">
        <v>64</v>
      </c>
      <c r="B531" s="32" t="s">
        <v>67</v>
      </c>
      <c r="C531" s="17" t="s">
        <v>774</v>
      </c>
      <c r="D531" s="14"/>
      <c r="E531" s="14">
        <v>10920</v>
      </c>
      <c r="F531" s="14"/>
      <c r="G531" s="61">
        <f t="shared" si="243"/>
        <v>10920</v>
      </c>
      <c r="H531" s="15"/>
      <c r="I531" s="14"/>
      <c r="J531" s="14">
        <v>1000</v>
      </c>
      <c r="K531" s="14"/>
      <c r="L531" s="14">
        <f t="shared" si="236"/>
        <v>1000</v>
      </c>
      <c r="M531" s="62">
        <f t="shared" si="240"/>
        <v>-9920</v>
      </c>
      <c r="N531" s="14"/>
      <c r="O531" s="38"/>
      <c r="P531" s="15"/>
      <c r="Q531" s="241"/>
      <c r="R531" s="38"/>
      <c r="S531" s="38"/>
      <c r="T531" s="38"/>
      <c r="U531" s="38"/>
      <c r="V531" s="38"/>
      <c r="W531" s="38"/>
      <c r="X531" s="167"/>
    </row>
    <row r="532" spans="1:31" ht="15.75" customHeight="1" x14ac:dyDescent="0.25">
      <c r="A532" s="32" t="s">
        <v>64</v>
      </c>
      <c r="B532" s="32" t="s">
        <v>66</v>
      </c>
      <c r="C532" s="29" t="s">
        <v>352</v>
      </c>
      <c r="D532" s="14"/>
      <c r="E532" s="14"/>
      <c r="F532" s="14"/>
      <c r="G532" s="61">
        <f t="shared" ref="G532" si="244">SUM(D532:F532)</f>
        <v>0</v>
      </c>
      <c r="H532" s="15"/>
      <c r="I532" s="14"/>
      <c r="J532" s="14"/>
      <c r="K532" s="14"/>
      <c r="L532" s="14">
        <f t="shared" si="236"/>
        <v>0</v>
      </c>
      <c r="M532" s="62">
        <f t="shared" si="240"/>
        <v>0</v>
      </c>
      <c r="N532" s="14"/>
      <c r="O532" s="38"/>
      <c r="P532" s="15"/>
      <c r="Q532" s="241"/>
      <c r="R532" s="38"/>
      <c r="S532" s="38"/>
      <c r="T532" s="38"/>
      <c r="U532" s="38"/>
      <c r="V532" s="38"/>
      <c r="W532" s="38"/>
      <c r="X532" s="167"/>
    </row>
    <row r="533" spans="1:31" ht="15.75" customHeight="1" x14ac:dyDescent="0.25">
      <c r="A533" s="32" t="s">
        <v>64</v>
      </c>
      <c r="B533" s="32" t="s">
        <v>66</v>
      </c>
      <c r="C533" s="13" t="s">
        <v>347</v>
      </c>
      <c r="D533" s="14"/>
      <c r="E533" s="14">
        <v>42278</v>
      </c>
      <c r="F533" s="14"/>
      <c r="G533" s="61">
        <f t="shared" ref="G533:G548" si="245">SUM(D533:F533)</f>
        <v>42278</v>
      </c>
      <c r="H533" s="15">
        <f>6018-5408</f>
        <v>610</v>
      </c>
      <c r="I533" s="14">
        <v>5408</v>
      </c>
      <c r="J533" s="14">
        <v>67178</v>
      </c>
      <c r="K533" s="14"/>
      <c r="L533" s="14">
        <f t="shared" si="236"/>
        <v>72586</v>
      </c>
      <c r="M533" s="62">
        <f t="shared" ref="M533:M548" si="246">(L533-G533)</f>
        <v>30308</v>
      </c>
      <c r="N533" s="14"/>
      <c r="O533" s="38"/>
      <c r="P533" s="15"/>
      <c r="Q533" s="241"/>
      <c r="R533" s="38"/>
      <c r="S533" s="38"/>
      <c r="T533" s="38"/>
      <c r="U533" s="38"/>
      <c r="V533" s="38"/>
      <c r="W533" s="38"/>
      <c r="X533" s="167"/>
    </row>
    <row r="534" spans="1:31" ht="15.75" customHeight="1" x14ac:dyDescent="0.25">
      <c r="A534" s="32" t="s">
        <v>64</v>
      </c>
      <c r="B534" s="32" t="s">
        <v>66</v>
      </c>
      <c r="C534" s="13" t="s">
        <v>775</v>
      </c>
      <c r="D534" s="14"/>
      <c r="E534" s="14">
        <v>6000</v>
      </c>
      <c r="F534" s="14"/>
      <c r="G534" s="61">
        <f t="shared" si="245"/>
        <v>6000</v>
      </c>
      <c r="H534" s="15"/>
      <c r="I534" s="14"/>
      <c r="J534" s="14">
        <v>1000</v>
      </c>
      <c r="K534" s="14"/>
      <c r="L534" s="14">
        <f t="shared" si="236"/>
        <v>1000</v>
      </c>
      <c r="M534" s="62">
        <f t="shared" si="246"/>
        <v>-5000</v>
      </c>
      <c r="N534" s="14"/>
      <c r="O534" s="38"/>
      <c r="P534" s="15"/>
      <c r="Q534" s="241"/>
      <c r="R534" s="38"/>
      <c r="S534" s="38"/>
      <c r="T534" s="38"/>
      <c r="U534" s="38"/>
      <c r="V534" s="38"/>
      <c r="W534" s="38"/>
      <c r="X534" s="167"/>
    </row>
    <row r="535" spans="1:31" ht="15.75" customHeight="1" x14ac:dyDescent="0.25">
      <c r="A535" s="32" t="s">
        <v>64</v>
      </c>
      <c r="B535" s="32" t="s">
        <v>66</v>
      </c>
      <c r="C535" s="13" t="s">
        <v>776</v>
      </c>
      <c r="D535" s="14"/>
      <c r="E535" s="14"/>
      <c r="F535" s="14"/>
      <c r="G535" s="61">
        <f t="shared" si="245"/>
        <v>0</v>
      </c>
      <c r="H535" s="15"/>
      <c r="I535" s="14"/>
      <c r="J535" s="14"/>
      <c r="K535" s="14"/>
      <c r="L535" s="14">
        <f t="shared" si="236"/>
        <v>0</v>
      </c>
      <c r="M535" s="39">
        <f t="shared" si="246"/>
        <v>0</v>
      </c>
      <c r="N535" s="14"/>
      <c r="O535" s="38"/>
      <c r="P535" s="15"/>
      <c r="Q535" s="241"/>
      <c r="R535" s="38"/>
      <c r="S535" s="38"/>
      <c r="T535" s="38"/>
      <c r="U535" s="38"/>
      <c r="V535" s="38"/>
      <c r="W535" s="38"/>
      <c r="X535" s="167"/>
    </row>
    <row r="536" spans="1:31" ht="15.75" customHeight="1" x14ac:dyDescent="0.25">
      <c r="C536" s="26" t="s">
        <v>188</v>
      </c>
      <c r="D536" s="89">
        <f t="shared" ref="D536:F536" si="247">SUM(D523:D535)</f>
        <v>0</v>
      </c>
      <c r="E536" s="89">
        <f t="shared" si="247"/>
        <v>228236</v>
      </c>
      <c r="F536" s="89">
        <f t="shared" si="247"/>
        <v>0</v>
      </c>
      <c r="G536" s="27">
        <f t="shared" si="245"/>
        <v>228236</v>
      </c>
      <c r="H536" s="89">
        <f t="shared" ref="H536:K536" si="248">SUM(H523:H535)</f>
        <v>610</v>
      </c>
      <c r="I536" s="89">
        <f t="shared" si="248"/>
        <v>5408</v>
      </c>
      <c r="J536" s="89">
        <f t="shared" si="248"/>
        <v>343901</v>
      </c>
      <c r="K536" s="89">
        <f t="shared" si="248"/>
        <v>0</v>
      </c>
      <c r="L536" s="89">
        <f t="shared" si="236"/>
        <v>349309</v>
      </c>
      <c r="M536" s="28">
        <f t="shared" si="246"/>
        <v>121073</v>
      </c>
      <c r="N536" s="89">
        <f t="shared" ref="N536:X536" si="249">SUM(N523:N535)</f>
        <v>0</v>
      </c>
      <c r="O536" s="107">
        <f t="shared" si="249"/>
        <v>0</v>
      </c>
      <c r="P536" s="210">
        <f t="shared" si="249"/>
        <v>0</v>
      </c>
      <c r="Q536" s="246">
        <f>SUM(Q523:Q535)</f>
        <v>0</v>
      </c>
      <c r="R536" s="107">
        <f t="shared" si="249"/>
        <v>140000</v>
      </c>
      <c r="S536" s="107">
        <f t="shared" si="249"/>
        <v>0</v>
      </c>
      <c r="T536" s="107">
        <f t="shared" si="249"/>
        <v>0</v>
      </c>
      <c r="U536" s="107">
        <f t="shared" si="249"/>
        <v>0</v>
      </c>
      <c r="V536" s="107">
        <f t="shared" si="249"/>
        <v>0</v>
      </c>
      <c r="W536" s="107">
        <f t="shared" si="249"/>
        <v>0</v>
      </c>
      <c r="X536" s="107">
        <f t="shared" si="249"/>
        <v>0</v>
      </c>
    </row>
    <row r="537" spans="1:31" ht="15.75" customHeight="1" x14ac:dyDescent="0.25">
      <c r="A537" s="52" t="s">
        <v>98</v>
      </c>
      <c r="B537" s="52" t="s">
        <v>99</v>
      </c>
      <c r="C537" s="52" t="s">
        <v>99</v>
      </c>
      <c r="D537" s="99">
        <v>4734</v>
      </c>
      <c r="E537" s="99">
        <v>50627</v>
      </c>
      <c r="F537" s="99"/>
      <c r="G537" s="94">
        <f t="shared" si="245"/>
        <v>55361</v>
      </c>
      <c r="H537" s="19"/>
      <c r="I537" s="99">
        <v>9529</v>
      </c>
      <c r="J537" s="99">
        <v>75087</v>
      </c>
      <c r="K537" s="99"/>
      <c r="L537" s="14">
        <f t="shared" si="236"/>
        <v>84616</v>
      </c>
      <c r="M537" s="60">
        <f t="shared" si="246"/>
        <v>29255</v>
      </c>
      <c r="N537" s="100"/>
      <c r="O537" s="190"/>
      <c r="P537" s="100"/>
      <c r="Q537" s="250"/>
      <c r="R537" s="190"/>
      <c r="S537" s="190"/>
      <c r="T537" s="190"/>
      <c r="U537" s="190"/>
      <c r="V537" s="190"/>
      <c r="W537" s="190"/>
      <c r="X537" s="191"/>
    </row>
    <row r="538" spans="1:31" ht="14.25" customHeight="1" x14ac:dyDescent="0.25">
      <c r="A538" s="52" t="s">
        <v>98</v>
      </c>
      <c r="B538" s="52" t="s">
        <v>99</v>
      </c>
      <c r="C538" s="17" t="s">
        <v>777</v>
      </c>
      <c r="D538" s="18"/>
      <c r="E538" s="18">
        <v>556089</v>
      </c>
      <c r="F538" s="18"/>
      <c r="G538" s="94">
        <f t="shared" si="245"/>
        <v>556089</v>
      </c>
      <c r="H538" s="19"/>
      <c r="I538" s="18"/>
      <c r="J538" s="18">
        <v>732251</v>
      </c>
      <c r="K538" s="18"/>
      <c r="L538" s="14">
        <f t="shared" si="236"/>
        <v>732251</v>
      </c>
      <c r="M538" s="62">
        <f t="shared" si="246"/>
        <v>176162</v>
      </c>
      <c r="N538" s="19"/>
      <c r="O538" s="168"/>
      <c r="P538" s="19"/>
      <c r="Q538" s="242"/>
      <c r="R538" s="168"/>
      <c r="S538" s="168"/>
      <c r="T538" s="168"/>
      <c r="U538" s="168"/>
      <c r="V538" s="168"/>
      <c r="W538" s="168"/>
      <c r="X538" s="169"/>
    </row>
    <row r="539" spans="1:31" ht="15.75" customHeight="1" x14ac:dyDescent="0.25">
      <c r="A539" s="52" t="s">
        <v>98</v>
      </c>
      <c r="B539" s="52" t="s">
        <v>99</v>
      </c>
      <c r="C539" s="113" t="s">
        <v>354</v>
      </c>
      <c r="D539" s="18"/>
      <c r="E539" s="18">
        <v>25000</v>
      </c>
      <c r="F539" s="18"/>
      <c r="G539" s="94">
        <f t="shared" si="245"/>
        <v>25000</v>
      </c>
      <c r="H539" s="19"/>
      <c r="I539" s="18"/>
      <c r="J539" s="18">
        <v>30000</v>
      </c>
      <c r="K539" s="18"/>
      <c r="L539" s="14">
        <f t="shared" si="236"/>
        <v>30000</v>
      </c>
      <c r="M539" s="62">
        <f t="shared" si="246"/>
        <v>5000</v>
      </c>
      <c r="N539" s="19"/>
      <c r="O539" s="168"/>
      <c r="P539" s="19"/>
      <c r="Q539" s="242"/>
      <c r="R539" s="168"/>
      <c r="S539" s="168"/>
      <c r="T539" s="168"/>
      <c r="U539" s="168"/>
      <c r="V539" s="168"/>
      <c r="W539" s="168"/>
      <c r="X539" s="169"/>
      <c r="Y539" s="279"/>
      <c r="Z539" s="3"/>
      <c r="AA539" s="3"/>
      <c r="AB539" s="3"/>
      <c r="AC539" s="3"/>
      <c r="AD539" s="3"/>
      <c r="AE539" s="3"/>
    </row>
    <row r="540" spans="1:31" ht="15.75" customHeight="1" x14ac:dyDescent="0.25">
      <c r="A540" s="52" t="s">
        <v>98</v>
      </c>
      <c r="B540" s="52" t="s">
        <v>99</v>
      </c>
      <c r="C540" s="113" t="s">
        <v>355</v>
      </c>
      <c r="D540" s="18"/>
      <c r="E540" s="18">
        <v>10000</v>
      </c>
      <c r="F540" s="18"/>
      <c r="G540" s="94">
        <f t="shared" si="245"/>
        <v>10000</v>
      </c>
      <c r="H540" s="19"/>
      <c r="I540" s="18"/>
      <c r="J540" s="18">
        <v>15000</v>
      </c>
      <c r="K540" s="18"/>
      <c r="L540" s="14">
        <f t="shared" si="236"/>
        <v>15000</v>
      </c>
      <c r="M540" s="62">
        <f t="shared" si="246"/>
        <v>5000</v>
      </c>
      <c r="N540" s="19"/>
      <c r="O540" s="168"/>
      <c r="P540" s="19"/>
      <c r="Q540" s="242"/>
      <c r="R540" s="168"/>
      <c r="S540" s="168"/>
      <c r="T540" s="168"/>
      <c r="U540" s="168"/>
      <c r="V540" s="168"/>
      <c r="W540" s="168"/>
      <c r="X540" s="169"/>
      <c r="Y540" s="279"/>
      <c r="Z540" s="3"/>
      <c r="AA540" s="3"/>
      <c r="AB540" s="3"/>
      <c r="AC540" s="3"/>
      <c r="AD540" s="3"/>
      <c r="AE540" s="3"/>
    </row>
    <row r="541" spans="1:31" ht="15.75" customHeight="1" x14ac:dyDescent="0.25">
      <c r="A541" s="52" t="s">
        <v>98</v>
      </c>
      <c r="B541" s="52" t="s">
        <v>99</v>
      </c>
      <c r="C541" s="17" t="s">
        <v>356</v>
      </c>
      <c r="D541" s="18"/>
      <c r="E541" s="18">
        <v>5000</v>
      </c>
      <c r="F541" s="18"/>
      <c r="G541" s="94">
        <f t="shared" si="245"/>
        <v>5000</v>
      </c>
      <c r="H541" s="19"/>
      <c r="I541" s="18"/>
      <c r="J541" s="18"/>
      <c r="K541" s="18"/>
      <c r="L541" s="14">
        <f t="shared" si="236"/>
        <v>0</v>
      </c>
      <c r="M541" s="62">
        <f t="shared" si="246"/>
        <v>-5000</v>
      </c>
      <c r="N541" s="19"/>
      <c r="O541" s="168"/>
      <c r="P541" s="19"/>
      <c r="Q541" s="242"/>
      <c r="R541" s="168"/>
      <c r="S541" s="168"/>
      <c r="T541" s="168"/>
      <c r="U541" s="168"/>
      <c r="V541" s="168"/>
      <c r="W541" s="168"/>
      <c r="X541" s="169"/>
      <c r="Y541" s="279"/>
      <c r="Z541" s="3"/>
      <c r="AA541" s="3"/>
      <c r="AB541" s="3"/>
      <c r="AC541" s="3"/>
      <c r="AD541" s="3"/>
      <c r="AE541" s="3"/>
    </row>
    <row r="542" spans="1:31" ht="15.75" customHeight="1" x14ac:dyDescent="0.25">
      <c r="A542" s="52" t="s">
        <v>98</v>
      </c>
      <c r="B542" s="52" t="s">
        <v>99</v>
      </c>
      <c r="C542" s="17" t="s">
        <v>778</v>
      </c>
      <c r="D542" s="18"/>
      <c r="E542" s="18"/>
      <c r="F542" s="18"/>
      <c r="G542" s="94">
        <f t="shared" si="245"/>
        <v>0</v>
      </c>
      <c r="H542" s="19"/>
      <c r="I542" s="18"/>
      <c r="J542" s="18"/>
      <c r="K542" s="18"/>
      <c r="L542" s="14">
        <f t="shared" si="236"/>
        <v>0</v>
      </c>
      <c r="M542" s="62">
        <f t="shared" si="246"/>
        <v>0</v>
      </c>
      <c r="N542" s="19"/>
      <c r="O542" s="168"/>
      <c r="P542" s="19"/>
      <c r="Q542" s="242"/>
      <c r="R542" s="168"/>
      <c r="S542" s="168"/>
      <c r="T542" s="168"/>
      <c r="U542" s="168"/>
      <c r="V542" s="168"/>
      <c r="W542" s="168"/>
      <c r="X542" s="169"/>
      <c r="Y542" s="279"/>
      <c r="Z542" s="3"/>
      <c r="AA542" s="3"/>
      <c r="AB542" s="3"/>
      <c r="AC542" s="3"/>
      <c r="AD542" s="3"/>
      <c r="AE542" s="3"/>
    </row>
    <row r="543" spans="1:31" ht="15.75" customHeight="1" x14ac:dyDescent="0.25">
      <c r="A543" s="52" t="s">
        <v>98</v>
      </c>
      <c r="B543" s="52" t="s">
        <v>99</v>
      </c>
      <c r="C543" s="17" t="s">
        <v>779</v>
      </c>
      <c r="D543" s="18"/>
      <c r="E543" s="18"/>
      <c r="F543" s="18"/>
      <c r="G543" s="94">
        <f t="shared" si="245"/>
        <v>0</v>
      </c>
      <c r="H543" s="19"/>
      <c r="I543" s="18"/>
      <c r="J543" s="18"/>
      <c r="K543" s="18"/>
      <c r="L543" s="14">
        <f t="shared" si="236"/>
        <v>0</v>
      </c>
      <c r="M543" s="62">
        <f t="shared" si="246"/>
        <v>0</v>
      </c>
      <c r="N543" s="19"/>
      <c r="O543" s="168"/>
      <c r="P543" s="19"/>
      <c r="Q543" s="242"/>
      <c r="R543" s="168"/>
      <c r="S543" s="168"/>
      <c r="T543" s="168"/>
      <c r="U543" s="168"/>
      <c r="V543" s="168"/>
      <c r="W543" s="168"/>
      <c r="X543" s="169"/>
      <c r="Y543" s="279"/>
      <c r="Z543" s="3"/>
      <c r="AA543" s="3"/>
      <c r="AB543" s="3"/>
      <c r="AC543" s="3"/>
      <c r="AD543" s="3"/>
      <c r="AE543" s="3"/>
    </row>
    <row r="544" spans="1:31" ht="15.75" customHeight="1" x14ac:dyDescent="0.25">
      <c r="A544" s="52" t="s">
        <v>98</v>
      </c>
      <c r="B544" s="52" t="s">
        <v>99</v>
      </c>
      <c r="C544" s="17" t="s">
        <v>780</v>
      </c>
      <c r="D544" s="18"/>
      <c r="E544" s="18"/>
      <c r="F544" s="18"/>
      <c r="G544" s="94">
        <f t="shared" si="245"/>
        <v>0</v>
      </c>
      <c r="H544" s="19"/>
      <c r="I544" s="18"/>
      <c r="J544" s="18"/>
      <c r="K544" s="18"/>
      <c r="L544" s="14">
        <f t="shared" si="236"/>
        <v>0</v>
      </c>
      <c r="M544" s="62">
        <f t="shared" si="246"/>
        <v>0</v>
      </c>
      <c r="N544" s="19"/>
      <c r="O544" s="168"/>
      <c r="P544" s="19"/>
      <c r="Q544" s="242"/>
      <c r="R544" s="168">
        <v>7502</v>
      </c>
      <c r="S544" s="168"/>
      <c r="T544" s="168"/>
      <c r="U544" s="168"/>
      <c r="V544" s="168"/>
      <c r="W544" s="168"/>
      <c r="X544" s="169"/>
      <c r="Y544" s="279"/>
      <c r="Z544" s="3"/>
      <c r="AA544" s="3"/>
      <c r="AB544" s="3"/>
      <c r="AC544" s="3"/>
      <c r="AD544" s="3"/>
      <c r="AE544" s="3"/>
    </row>
    <row r="545" spans="1:31" ht="15.75" customHeight="1" x14ac:dyDescent="0.25">
      <c r="A545" s="12"/>
      <c r="B545" s="12"/>
      <c r="C545" s="17" t="s">
        <v>358</v>
      </c>
      <c r="D545" s="14"/>
      <c r="E545" s="14"/>
      <c r="F545" s="14"/>
      <c r="G545" s="61">
        <f>SUM(D545:F545)</f>
        <v>0</v>
      </c>
      <c r="H545" s="15"/>
      <c r="I545" s="14"/>
      <c r="J545" s="14"/>
      <c r="K545" s="14"/>
      <c r="L545" s="14">
        <f>SUM(I545:K545)</f>
        <v>0</v>
      </c>
      <c r="M545" s="62">
        <f>(L545-G545)</f>
        <v>0</v>
      </c>
      <c r="N545" s="14"/>
      <c r="O545" s="38"/>
      <c r="P545" s="15"/>
      <c r="Q545" s="241">
        <v>65600</v>
      </c>
      <c r="R545" s="38"/>
      <c r="S545" s="38"/>
      <c r="T545" s="38"/>
      <c r="U545" s="38"/>
      <c r="V545" s="38"/>
      <c r="W545" s="38"/>
      <c r="X545" s="167"/>
      <c r="Y545" s="279" t="s">
        <v>781</v>
      </c>
      <c r="Z545" s="3"/>
      <c r="AA545" s="3"/>
      <c r="AB545" s="3"/>
      <c r="AC545" s="3"/>
      <c r="AD545" s="3"/>
      <c r="AE545" s="3"/>
    </row>
    <row r="546" spans="1:31" ht="15.75" customHeight="1" x14ac:dyDescent="0.25">
      <c r="A546" s="12"/>
      <c r="B546" s="12"/>
      <c r="C546" s="17" t="s">
        <v>782</v>
      </c>
      <c r="D546" s="14"/>
      <c r="E546" s="14"/>
      <c r="F546" s="14"/>
      <c r="G546" s="61">
        <f>SUM(D546:F546)</f>
        <v>0</v>
      </c>
      <c r="H546" s="15"/>
      <c r="I546" s="14"/>
      <c r="J546" s="14"/>
      <c r="K546" s="14"/>
      <c r="L546" s="14">
        <f>SUM(I546:K546)</f>
        <v>0</v>
      </c>
      <c r="M546" s="62">
        <f>(L546-G546)</f>
        <v>0</v>
      </c>
      <c r="N546" s="14"/>
      <c r="O546" s="38"/>
      <c r="P546" s="15"/>
      <c r="Q546" s="241">
        <v>3377</v>
      </c>
      <c r="R546" s="38"/>
      <c r="S546" s="38"/>
      <c r="T546" s="38"/>
      <c r="U546" s="38"/>
      <c r="V546" s="38"/>
      <c r="W546" s="38"/>
      <c r="X546" s="167"/>
      <c r="Y546" s="280" t="s">
        <v>783</v>
      </c>
      <c r="Z546" s="3"/>
      <c r="AA546" s="3"/>
      <c r="AB546" s="3"/>
      <c r="AC546" s="3"/>
      <c r="AD546" s="3"/>
      <c r="AE546" s="3"/>
    </row>
    <row r="547" spans="1:31" s="274" customFormat="1" ht="15.75" customHeight="1" x14ac:dyDescent="0.25">
      <c r="A547" s="268" t="s">
        <v>98</v>
      </c>
      <c r="B547" s="268" t="s">
        <v>99</v>
      </c>
      <c r="C547" s="269" t="s">
        <v>784</v>
      </c>
      <c r="D547" s="20"/>
      <c r="E547" s="20"/>
      <c r="F547" s="20"/>
      <c r="G547" s="270">
        <f t="shared" si="245"/>
        <v>0</v>
      </c>
      <c r="H547" s="20"/>
      <c r="I547" s="20"/>
      <c r="J547" s="20"/>
      <c r="K547" s="20"/>
      <c r="L547" s="30">
        <f t="shared" si="236"/>
        <v>0</v>
      </c>
      <c r="M547" s="271">
        <f t="shared" si="246"/>
        <v>0</v>
      </c>
      <c r="N547" s="20"/>
      <c r="O547" s="20"/>
      <c r="P547" s="20"/>
      <c r="Q547" s="20"/>
      <c r="R547" s="20">
        <v>20000</v>
      </c>
      <c r="S547" s="20"/>
      <c r="T547" s="20"/>
      <c r="U547" s="20"/>
      <c r="V547" s="20"/>
      <c r="W547" s="20"/>
      <c r="X547" s="272"/>
      <c r="Y547" s="290" t="s">
        <v>785</v>
      </c>
      <c r="Z547" s="273"/>
      <c r="AA547" s="273"/>
      <c r="AB547" s="273"/>
      <c r="AC547" s="273"/>
      <c r="AD547" s="273"/>
      <c r="AE547" s="273"/>
    </row>
    <row r="548" spans="1:31" ht="15.75" customHeight="1" x14ac:dyDescent="0.25">
      <c r="A548" s="52" t="s">
        <v>98</v>
      </c>
      <c r="B548" s="52" t="s">
        <v>99</v>
      </c>
      <c r="C548" s="17" t="s">
        <v>362</v>
      </c>
      <c r="D548" s="18"/>
      <c r="E548" s="18"/>
      <c r="F548" s="18">
        <v>17900</v>
      </c>
      <c r="G548" s="94">
        <f t="shared" si="245"/>
        <v>17900</v>
      </c>
      <c r="H548" s="19"/>
      <c r="I548" s="18"/>
      <c r="J548" s="18"/>
      <c r="K548" s="18"/>
      <c r="L548" s="14">
        <f t="shared" si="236"/>
        <v>0</v>
      </c>
      <c r="M548" s="62">
        <f t="shared" si="246"/>
        <v>-17900</v>
      </c>
      <c r="N548" s="19"/>
      <c r="O548" s="168"/>
      <c r="P548" s="19"/>
      <c r="Q548" s="242">
        <v>5000</v>
      </c>
      <c r="R548" s="168"/>
      <c r="S548" s="168"/>
      <c r="T548" s="168"/>
      <c r="U548" s="168"/>
      <c r="V548" s="168"/>
      <c r="W548" s="168"/>
      <c r="X548" s="169"/>
      <c r="Y548" s="280" t="s">
        <v>363</v>
      </c>
      <c r="Z548" s="16"/>
      <c r="AA548" s="16"/>
      <c r="AB548" s="16"/>
      <c r="AC548" s="16"/>
      <c r="AD548" s="16"/>
      <c r="AE548" s="16"/>
    </row>
    <row r="549" spans="1:31" ht="15.75" customHeight="1" x14ac:dyDescent="0.25">
      <c r="A549" s="52" t="s">
        <v>98</v>
      </c>
      <c r="B549" s="52" t="s">
        <v>99</v>
      </c>
      <c r="C549" s="17" t="s">
        <v>364</v>
      </c>
      <c r="D549" s="18"/>
      <c r="E549" s="18"/>
      <c r="F549" s="18"/>
      <c r="G549" s="94">
        <f t="shared" ref="G549:G554" si="250">SUM(D549:F549)</f>
        <v>0</v>
      </c>
      <c r="H549" s="19"/>
      <c r="I549" s="18"/>
      <c r="J549" s="18"/>
      <c r="K549" s="18"/>
      <c r="L549" s="14">
        <f t="shared" ref="L549:L556" si="251">SUM(I549:K549)</f>
        <v>0</v>
      </c>
      <c r="M549" s="62">
        <f t="shared" ref="M549:M556" si="252">(L549-G549)</f>
        <v>0</v>
      </c>
      <c r="N549" s="19"/>
      <c r="O549" s="168"/>
      <c r="P549" s="19">
        <v>46585</v>
      </c>
      <c r="Q549" s="242"/>
      <c r="R549" s="168"/>
      <c r="S549" s="168"/>
      <c r="T549" s="168"/>
      <c r="U549" s="168"/>
      <c r="V549" s="168"/>
      <c r="W549" s="168"/>
      <c r="X549" s="169"/>
      <c r="Y549" s="280"/>
      <c r="Z549" s="16"/>
      <c r="AA549" s="16"/>
      <c r="AB549" s="16"/>
      <c r="AC549" s="16"/>
      <c r="AD549" s="16"/>
      <c r="AE549" s="16"/>
    </row>
    <row r="550" spans="1:31" ht="15.75" customHeight="1" x14ac:dyDescent="0.25">
      <c r="A550" s="52" t="s">
        <v>98</v>
      </c>
      <c r="B550" s="52" t="s">
        <v>99</v>
      </c>
      <c r="C550" s="17" t="s">
        <v>786</v>
      </c>
      <c r="D550" s="18"/>
      <c r="E550" s="18"/>
      <c r="F550" s="18"/>
      <c r="G550" s="94">
        <f t="shared" si="250"/>
        <v>0</v>
      </c>
      <c r="H550" s="19"/>
      <c r="I550" s="18"/>
      <c r="J550" s="18"/>
      <c r="K550" s="18"/>
      <c r="L550" s="14">
        <f t="shared" si="251"/>
        <v>0</v>
      </c>
      <c r="M550" s="62">
        <f t="shared" si="252"/>
        <v>0</v>
      </c>
      <c r="N550" s="19"/>
      <c r="O550" s="168"/>
      <c r="P550" s="19"/>
      <c r="Q550" s="242">
        <v>10000</v>
      </c>
      <c r="R550" s="168"/>
      <c r="S550" s="168"/>
      <c r="T550" s="168"/>
      <c r="U550" s="168"/>
      <c r="V550" s="168"/>
      <c r="W550" s="168"/>
      <c r="X550" s="169"/>
      <c r="Y550" s="279" t="s">
        <v>787</v>
      </c>
      <c r="Z550" s="3"/>
      <c r="AA550" s="3"/>
      <c r="AB550" s="3"/>
      <c r="AC550" s="3"/>
      <c r="AD550" s="3"/>
      <c r="AE550" s="3"/>
    </row>
    <row r="551" spans="1:31" ht="15.75" customHeight="1" x14ac:dyDescent="0.25">
      <c r="A551" s="52" t="s">
        <v>98</v>
      </c>
      <c r="B551" s="52" t="s">
        <v>99</v>
      </c>
      <c r="C551" s="17" t="s">
        <v>788</v>
      </c>
      <c r="D551" s="14"/>
      <c r="E551" s="14"/>
      <c r="F551" s="14"/>
      <c r="G551" s="94">
        <f t="shared" si="250"/>
        <v>0</v>
      </c>
      <c r="H551" s="19"/>
      <c r="I551" s="14"/>
      <c r="J551" s="14"/>
      <c r="K551" s="14"/>
      <c r="L551" s="14">
        <f t="shared" si="251"/>
        <v>0</v>
      </c>
      <c r="M551" s="62">
        <f t="shared" si="252"/>
        <v>0</v>
      </c>
      <c r="N551" s="15"/>
      <c r="O551" s="38"/>
      <c r="P551" s="15"/>
      <c r="Q551" s="241">
        <v>44294</v>
      </c>
      <c r="R551" s="38"/>
      <c r="S551" s="38"/>
      <c r="T551" s="38"/>
      <c r="U551" s="168"/>
      <c r="V551" s="38"/>
      <c r="W551" s="38"/>
      <c r="X551" s="167"/>
      <c r="Y551" s="277" t="s">
        <v>789</v>
      </c>
    </row>
    <row r="552" spans="1:31" ht="15.75" customHeight="1" x14ac:dyDescent="0.25">
      <c r="A552" s="52" t="s">
        <v>98</v>
      </c>
      <c r="B552" s="52" t="s">
        <v>99</v>
      </c>
      <c r="C552" s="17" t="s">
        <v>790</v>
      </c>
      <c r="D552" s="14"/>
      <c r="E552" s="14"/>
      <c r="F552" s="14"/>
      <c r="G552" s="94">
        <f t="shared" si="250"/>
        <v>0</v>
      </c>
      <c r="H552" s="19"/>
      <c r="I552" s="14"/>
      <c r="J552" s="14"/>
      <c r="K552" s="14"/>
      <c r="L552" s="14">
        <f t="shared" si="251"/>
        <v>0</v>
      </c>
      <c r="M552" s="62">
        <f t="shared" si="252"/>
        <v>0</v>
      </c>
      <c r="N552" s="15"/>
      <c r="O552" s="38"/>
      <c r="P552" s="15"/>
      <c r="Q552" s="241"/>
      <c r="R552" s="38"/>
      <c r="S552" s="38"/>
      <c r="T552" s="38"/>
      <c r="U552" s="168">
        <f t="shared" ref="U552:U557" si="253">SUM(V552:X552)</f>
        <v>33048</v>
      </c>
      <c r="V552" s="38">
        <v>15366</v>
      </c>
      <c r="W552" s="38">
        <v>17682</v>
      </c>
      <c r="X552" s="167"/>
    </row>
    <row r="553" spans="1:31" ht="15.75" customHeight="1" x14ac:dyDescent="0.25">
      <c r="A553" s="52" t="s">
        <v>98</v>
      </c>
      <c r="B553" s="50" t="s">
        <v>100</v>
      </c>
      <c r="C553" s="50" t="s">
        <v>100</v>
      </c>
      <c r="D553" s="14">
        <v>66904</v>
      </c>
      <c r="E553" s="14">
        <v>56534</v>
      </c>
      <c r="F553" s="14"/>
      <c r="G553" s="94">
        <f t="shared" si="250"/>
        <v>123438</v>
      </c>
      <c r="H553" s="19">
        <f>76464-68625</f>
        <v>7839</v>
      </c>
      <c r="I553" s="14">
        <v>68625</v>
      </c>
      <c r="J553" s="14">
        <v>74624</v>
      </c>
      <c r="K553" s="14"/>
      <c r="L553" s="14">
        <f t="shared" si="251"/>
        <v>143249</v>
      </c>
      <c r="M553" s="62">
        <f t="shared" si="252"/>
        <v>19811</v>
      </c>
      <c r="N553" s="14"/>
      <c r="O553" s="38"/>
      <c r="P553" s="15"/>
      <c r="Q553" s="241"/>
      <c r="R553" s="38"/>
      <c r="S553" s="38"/>
      <c r="T553" s="38"/>
      <c r="U553" s="168"/>
      <c r="V553" s="38"/>
      <c r="W553" s="38"/>
      <c r="X553" s="167"/>
    </row>
    <row r="554" spans="1:31" ht="15.75" customHeight="1" x14ac:dyDescent="0.25">
      <c r="A554" s="52" t="s">
        <v>98</v>
      </c>
      <c r="B554" s="50" t="s">
        <v>100</v>
      </c>
      <c r="C554" s="53" t="s">
        <v>365</v>
      </c>
      <c r="D554" s="14"/>
      <c r="E554" s="14">
        <v>149651</v>
      </c>
      <c r="F554" s="14"/>
      <c r="G554" s="94">
        <f t="shared" si="250"/>
        <v>149651</v>
      </c>
      <c r="H554" s="19"/>
      <c r="I554" s="30"/>
      <c r="J554" s="18">
        <v>162075</v>
      </c>
      <c r="K554" s="14"/>
      <c r="L554" s="14">
        <f t="shared" si="251"/>
        <v>162075</v>
      </c>
      <c r="M554" s="62">
        <f t="shared" si="252"/>
        <v>12424</v>
      </c>
      <c r="N554" s="14"/>
      <c r="O554" s="38"/>
      <c r="P554" s="15"/>
      <c r="Q554" s="241"/>
      <c r="R554" s="38"/>
      <c r="S554" s="38"/>
      <c r="T554" s="38"/>
      <c r="U554" s="168"/>
      <c r="V554" s="38"/>
      <c r="W554" s="38"/>
      <c r="X554" s="167"/>
    </row>
    <row r="555" spans="1:31" ht="15.75" customHeight="1" x14ac:dyDescent="0.25">
      <c r="A555" s="12"/>
      <c r="B555" s="37"/>
      <c r="C555" s="114"/>
      <c r="D555" s="14"/>
      <c r="E555" s="14"/>
      <c r="F555" s="14"/>
      <c r="G555" s="61">
        <f>SUM(D555:F555)</f>
        <v>0</v>
      </c>
      <c r="H555" s="15"/>
      <c r="I555" s="14"/>
      <c r="J555" s="14"/>
      <c r="K555" s="14"/>
      <c r="L555" s="14">
        <f>SUM(I555:K555)</f>
        <v>0</v>
      </c>
      <c r="M555" s="62">
        <f>(L555-G555)</f>
        <v>0</v>
      </c>
      <c r="N555" s="14"/>
      <c r="O555" s="38"/>
      <c r="P555" s="15"/>
      <c r="Q555" s="241"/>
      <c r="R555" s="38"/>
      <c r="S555" s="38"/>
      <c r="T555" s="38"/>
      <c r="U555" s="38"/>
      <c r="V555" s="38"/>
      <c r="W555" s="38"/>
      <c r="X555" s="167"/>
    </row>
    <row r="556" spans="1:31" ht="15.75" customHeight="1" x14ac:dyDescent="0.25">
      <c r="A556" s="52" t="s">
        <v>98</v>
      </c>
      <c r="B556" s="50" t="s">
        <v>100</v>
      </c>
      <c r="C556" s="21" t="s">
        <v>791</v>
      </c>
      <c r="D556" s="14"/>
      <c r="E556" s="14"/>
      <c r="F556" s="14"/>
      <c r="G556" s="61">
        <f t="shared" ref="G556" si="254">SUM(D556:F556)</f>
        <v>0</v>
      </c>
      <c r="H556" s="15"/>
      <c r="I556" s="14"/>
      <c r="J556" s="14"/>
      <c r="K556" s="14"/>
      <c r="L556" s="14">
        <f t="shared" si="251"/>
        <v>0</v>
      </c>
      <c r="M556" s="62">
        <f t="shared" si="252"/>
        <v>0</v>
      </c>
      <c r="N556" s="14"/>
      <c r="S556" s="38"/>
      <c r="T556" s="38"/>
      <c r="U556" s="168">
        <f t="shared" si="253"/>
        <v>57609</v>
      </c>
      <c r="V556" s="38">
        <v>12609</v>
      </c>
      <c r="W556" s="38">
        <v>45000</v>
      </c>
      <c r="X556" s="167"/>
    </row>
    <row r="557" spans="1:31" ht="15.75" customHeight="1" x14ac:dyDescent="0.25">
      <c r="A557" s="52" t="s">
        <v>98</v>
      </c>
      <c r="B557" s="50" t="s">
        <v>100</v>
      </c>
      <c r="C557" s="295" t="s">
        <v>792</v>
      </c>
      <c r="D557" s="14"/>
      <c r="E557" s="14"/>
      <c r="F557" s="14"/>
      <c r="G557" s="94">
        <f t="shared" ref="G557:G558" si="255">SUM(D557:F557)</f>
        <v>0</v>
      </c>
      <c r="H557" s="19"/>
      <c r="I557" s="14"/>
      <c r="J557" s="14"/>
      <c r="K557" s="14"/>
      <c r="L557" s="14">
        <f t="shared" ref="L557:L562" si="256">SUM(I557:K557)</f>
        <v>0</v>
      </c>
      <c r="M557" s="62">
        <f t="shared" ref="M557:M562" si="257">(L557-G557)</f>
        <v>0</v>
      </c>
      <c r="N557" s="14"/>
      <c r="P557" s="2"/>
      <c r="S557" s="38"/>
      <c r="T557" s="38"/>
      <c r="U557" s="168">
        <f t="shared" si="253"/>
        <v>0</v>
      </c>
      <c r="V557" s="38"/>
      <c r="W557" s="38"/>
      <c r="X557" s="167"/>
      <c r="Y557" s="296" t="s">
        <v>793</v>
      </c>
      <c r="Z557" s="297"/>
      <c r="AA557" s="297"/>
      <c r="AB557" s="297"/>
      <c r="AC557" s="297"/>
      <c r="AD557" s="297"/>
    </row>
    <row r="558" spans="1:31" ht="15.75" customHeight="1" x14ac:dyDescent="0.25">
      <c r="A558" s="52" t="s">
        <v>98</v>
      </c>
      <c r="B558" s="50" t="s">
        <v>100</v>
      </c>
      <c r="C558" s="21" t="s">
        <v>794</v>
      </c>
      <c r="D558" s="14"/>
      <c r="E558" s="14"/>
      <c r="F558" s="14"/>
      <c r="G558" s="94">
        <f t="shared" si="255"/>
        <v>0</v>
      </c>
      <c r="H558" s="19"/>
      <c r="I558" s="14"/>
      <c r="J558" s="14"/>
      <c r="K558" s="14"/>
      <c r="L558" s="14">
        <f t="shared" si="256"/>
        <v>0</v>
      </c>
      <c r="M558" s="62">
        <f t="shared" si="257"/>
        <v>0</v>
      </c>
      <c r="N558" s="14"/>
      <c r="O558" s="159"/>
      <c r="P558" s="2">
        <v>5000</v>
      </c>
      <c r="Q558" s="1"/>
      <c r="R558" s="159"/>
      <c r="S558" s="38"/>
      <c r="T558" s="38"/>
      <c r="U558" s="38"/>
      <c r="V558" s="38"/>
      <c r="W558" s="38"/>
      <c r="X558" s="167"/>
    </row>
    <row r="559" spans="1:31" ht="15.75" customHeight="1" x14ac:dyDescent="0.25">
      <c r="A559" s="12"/>
      <c r="B559" s="37"/>
      <c r="C559" s="37" t="s">
        <v>366</v>
      </c>
      <c r="D559" s="14"/>
      <c r="E559" s="14"/>
      <c r="F559" s="14"/>
      <c r="G559" s="61">
        <f>SUM(D559:F559)</f>
        <v>0</v>
      </c>
      <c r="H559" s="15"/>
      <c r="I559" s="14"/>
      <c r="J559" s="14"/>
      <c r="K559" s="14"/>
      <c r="L559" s="14">
        <f t="shared" si="256"/>
        <v>0</v>
      </c>
      <c r="M559" s="62">
        <f t="shared" si="257"/>
        <v>0</v>
      </c>
      <c r="N559" s="14"/>
      <c r="O559" s="38"/>
      <c r="P559" s="15">
        <v>14503.95</v>
      </c>
      <c r="Q559" s="241"/>
      <c r="R559" s="38"/>
      <c r="S559" s="38"/>
      <c r="T559" s="38"/>
      <c r="U559" s="38"/>
      <c r="V559" s="38"/>
      <c r="W559" s="38"/>
      <c r="X559" s="167"/>
    </row>
    <row r="560" spans="1:31" ht="15.75" customHeight="1" x14ac:dyDescent="0.25">
      <c r="A560" s="52" t="s">
        <v>98</v>
      </c>
      <c r="B560" s="50" t="s">
        <v>100</v>
      </c>
      <c r="C560" s="50"/>
      <c r="D560" s="14"/>
      <c r="E560" s="14"/>
      <c r="F560" s="14"/>
      <c r="G560" s="94">
        <f t="shared" ref="G560:G561" si="258">SUM(D560:F560)</f>
        <v>0</v>
      </c>
      <c r="H560" s="19"/>
      <c r="I560" s="14"/>
      <c r="J560" s="14"/>
      <c r="K560" s="14"/>
      <c r="L560" s="14">
        <f t="shared" si="256"/>
        <v>0</v>
      </c>
      <c r="M560" s="62">
        <f t="shared" si="257"/>
        <v>0</v>
      </c>
      <c r="N560" s="14"/>
      <c r="O560" s="38"/>
      <c r="P560" s="15"/>
      <c r="Q560" s="241"/>
      <c r="R560" s="38"/>
      <c r="S560" s="38"/>
      <c r="T560" s="38"/>
      <c r="U560" s="38"/>
      <c r="V560" s="38"/>
      <c r="W560" s="38"/>
      <c r="X560" s="167"/>
    </row>
    <row r="561" spans="1:31" ht="15.75" customHeight="1" x14ac:dyDescent="0.25">
      <c r="A561" s="52" t="s">
        <v>98</v>
      </c>
      <c r="B561" s="50" t="s">
        <v>101</v>
      </c>
      <c r="C561" s="50" t="s">
        <v>101</v>
      </c>
      <c r="D561" s="14">
        <v>114453</v>
      </c>
      <c r="E561" s="14">
        <v>83137</v>
      </c>
      <c r="F561" s="14"/>
      <c r="G561" s="94">
        <f t="shared" si="258"/>
        <v>197590</v>
      </c>
      <c r="H561" s="19">
        <f>131016-129792</f>
        <v>1224</v>
      </c>
      <c r="I561" s="14">
        <v>129792</v>
      </c>
      <c r="J561" s="14">
        <v>91044</v>
      </c>
      <c r="K561" s="45">
        <v>2000</v>
      </c>
      <c r="L561" s="14">
        <f t="shared" si="256"/>
        <v>222836</v>
      </c>
      <c r="M561" s="62">
        <f t="shared" si="257"/>
        <v>25246</v>
      </c>
      <c r="N561" s="14"/>
      <c r="O561" s="38"/>
      <c r="P561" s="15"/>
      <c r="Q561" s="241"/>
      <c r="R561" s="38"/>
      <c r="S561" s="38"/>
      <c r="T561" s="38"/>
      <c r="U561" s="38"/>
      <c r="V561" s="38"/>
      <c r="W561" s="38"/>
      <c r="X561" s="167"/>
    </row>
    <row r="562" spans="1:31" ht="15.75" customHeight="1" x14ac:dyDescent="0.25">
      <c r="A562" s="12"/>
      <c r="B562" s="37"/>
      <c r="C562" s="37" t="s">
        <v>795</v>
      </c>
      <c r="D562" s="14"/>
      <c r="E562" s="14"/>
      <c r="F562" s="14"/>
      <c r="G562" s="61">
        <f>SUM(D562:F562)</f>
        <v>0</v>
      </c>
      <c r="H562" s="15"/>
      <c r="I562" s="14"/>
      <c r="J562" s="14"/>
      <c r="K562" s="14"/>
      <c r="L562" s="14">
        <f t="shared" si="256"/>
        <v>0</v>
      </c>
      <c r="M562" s="62">
        <f t="shared" si="257"/>
        <v>0</v>
      </c>
      <c r="N562" s="14"/>
      <c r="O562" s="38"/>
      <c r="P562" s="15">
        <v>20000</v>
      </c>
      <c r="Q562" s="241"/>
      <c r="R562" s="38"/>
      <c r="S562" s="38"/>
      <c r="T562" s="38"/>
      <c r="U562" s="38"/>
      <c r="V562" s="38"/>
      <c r="W562" s="38"/>
      <c r="X562" s="167"/>
    </row>
    <row r="563" spans="1:31" ht="15.75" customHeight="1" x14ac:dyDescent="0.25">
      <c r="A563" s="52" t="s">
        <v>98</v>
      </c>
      <c r="B563" s="50" t="s">
        <v>101</v>
      </c>
      <c r="C563" s="21" t="s">
        <v>796</v>
      </c>
      <c r="D563" s="14"/>
      <c r="E563" s="14"/>
      <c r="F563" s="14"/>
      <c r="G563" s="61">
        <f t="shared" ref="G563:G565" si="259">SUM(D563:F563)</f>
        <v>0</v>
      </c>
      <c r="H563" s="15"/>
      <c r="I563" s="30"/>
      <c r="J563" s="30"/>
      <c r="K563" s="30"/>
      <c r="L563" s="14">
        <f t="shared" ref="L563:L564" si="260">SUM(I563:K563)</f>
        <v>0</v>
      </c>
      <c r="M563" s="62">
        <f t="shared" ref="M563:M564" si="261">(L563-G563)</f>
        <v>0</v>
      </c>
      <c r="N563" s="14"/>
      <c r="O563" s="38"/>
      <c r="P563" s="15"/>
      <c r="Q563" s="241"/>
      <c r="R563" s="38"/>
      <c r="S563" s="38"/>
      <c r="T563" s="38"/>
      <c r="U563" s="38">
        <f>SUM(V563:X563)</f>
        <v>0</v>
      </c>
      <c r="V563" s="38"/>
      <c r="W563" s="38"/>
      <c r="X563" s="167"/>
      <c r="Y563" s="279"/>
    </row>
    <row r="564" spans="1:31" ht="15.75" customHeight="1" x14ac:dyDescent="0.25">
      <c r="A564" s="52" t="s">
        <v>98</v>
      </c>
      <c r="B564" s="50" t="s">
        <v>101</v>
      </c>
      <c r="C564" s="21" t="s">
        <v>797</v>
      </c>
      <c r="D564" s="14"/>
      <c r="E564" s="14"/>
      <c r="F564" s="14"/>
      <c r="G564" s="61">
        <f t="shared" si="259"/>
        <v>0</v>
      </c>
      <c r="H564" s="15"/>
      <c r="I564" s="30"/>
      <c r="J564" s="30"/>
      <c r="K564" s="18"/>
      <c r="L564" s="14">
        <f t="shared" si="260"/>
        <v>0</v>
      </c>
      <c r="M564" s="62">
        <f t="shared" si="261"/>
        <v>0</v>
      </c>
      <c r="N564" s="14"/>
      <c r="O564" s="38"/>
      <c r="P564" s="15"/>
      <c r="Q564" s="241"/>
      <c r="R564" s="38"/>
      <c r="S564" s="38"/>
      <c r="T564" s="38"/>
      <c r="U564" s="38"/>
      <c r="V564" s="38"/>
      <c r="W564" s="38"/>
      <c r="X564" s="167"/>
    </row>
    <row r="565" spans="1:31" ht="15.75" customHeight="1" x14ac:dyDescent="0.25">
      <c r="A565" s="52" t="s">
        <v>98</v>
      </c>
      <c r="B565" s="50" t="s">
        <v>101</v>
      </c>
      <c r="C565" s="21" t="s">
        <v>798</v>
      </c>
      <c r="D565" s="14"/>
      <c r="E565" s="14"/>
      <c r="F565" s="14"/>
      <c r="G565" s="61">
        <f t="shared" si="259"/>
        <v>0</v>
      </c>
      <c r="H565" s="15"/>
      <c r="I565" s="30"/>
      <c r="J565" s="30"/>
      <c r="K565" s="14"/>
      <c r="L565" s="14">
        <f>SUM(I565:K565)</f>
        <v>0</v>
      </c>
      <c r="M565" s="62">
        <f>(L565-G565)</f>
        <v>0</v>
      </c>
      <c r="N565" s="14"/>
      <c r="O565" s="38"/>
      <c r="P565" s="15"/>
      <c r="Q565" s="241"/>
      <c r="R565" s="38"/>
      <c r="S565" s="38"/>
      <c r="T565" s="38"/>
      <c r="U565" s="38"/>
      <c r="V565" s="38"/>
      <c r="W565" s="38"/>
      <c r="X565" s="167"/>
    </row>
    <row r="566" spans="1:31" ht="15.75" customHeight="1" x14ac:dyDescent="0.25">
      <c r="A566" s="52" t="s">
        <v>98</v>
      </c>
      <c r="B566" s="50" t="s">
        <v>101</v>
      </c>
      <c r="C566" s="21" t="s">
        <v>799</v>
      </c>
      <c r="D566" s="14"/>
      <c r="E566" s="14"/>
      <c r="F566" s="14"/>
      <c r="G566" s="94">
        <f t="shared" ref="G566:G567" si="262">SUM(D566:F566)</f>
        <v>0</v>
      </c>
      <c r="H566" s="19"/>
      <c r="I566" s="30"/>
      <c r="J566" s="30"/>
      <c r="K566" s="14"/>
      <c r="L566" s="14">
        <f>SUM(I566:K566)</f>
        <v>0</v>
      </c>
      <c r="M566" s="62">
        <f>(L566-G566)</f>
        <v>0</v>
      </c>
      <c r="N566" s="14"/>
      <c r="O566" s="38"/>
      <c r="P566" s="15"/>
      <c r="Q566" s="241"/>
      <c r="R566" s="38"/>
      <c r="S566" s="38"/>
      <c r="T566" s="38"/>
      <c r="U566" s="38"/>
      <c r="V566" s="38"/>
      <c r="W566" s="38"/>
      <c r="X566" s="167"/>
    </row>
    <row r="567" spans="1:31" ht="15.75" customHeight="1" x14ac:dyDescent="0.25">
      <c r="C567" s="24" t="s">
        <v>188</v>
      </c>
      <c r="D567" s="74">
        <f t="shared" ref="D567:F567" si="263">SUM(D537:D566)</f>
        <v>186091</v>
      </c>
      <c r="E567" s="74">
        <f t="shared" si="263"/>
        <v>936038</v>
      </c>
      <c r="F567" s="74">
        <f t="shared" si="263"/>
        <v>17900</v>
      </c>
      <c r="G567" s="105">
        <f t="shared" si="262"/>
        <v>1140029</v>
      </c>
      <c r="H567" s="74">
        <f t="shared" ref="H567:K567" si="264">SUM(H537:H566)</f>
        <v>9063</v>
      </c>
      <c r="I567" s="74">
        <f t="shared" si="264"/>
        <v>207946</v>
      </c>
      <c r="J567" s="74">
        <f t="shared" si="264"/>
        <v>1180081</v>
      </c>
      <c r="K567" s="74">
        <f t="shared" si="264"/>
        <v>2000</v>
      </c>
      <c r="L567" s="74">
        <f>SUM(I567:K567)</f>
        <v>1390027</v>
      </c>
      <c r="M567" s="60">
        <f>(L567-G567)</f>
        <v>249998</v>
      </c>
      <c r="N567" s="74">
        <f t="shared" ref="N567:X567" si="265">SUM(N537:N566)</f>
        <v>0</v>
      </c>
      <c r="O567" s="102">
        <f t="shared" si="265"/>
        <v>0</v>
      </c>
      <c r="P567" s="90">
        <f t="shared" si="265"/>
        <v>86088.95</v>
      </c>
      <c r="Q567" s="247">
        <f>SUM(Q537:Q566)</f>
        <v>128271</v>
      </c>
      <c r="R567" s="102">
        <f t="shared" si="265"/>
        <v>27502</v>
      </c>
      <c r="S567" s="102">
        <f t="shared" si="265"/>
        <v>0</v>
      </c>
      <c r="T567" s="102">
        <f t="shared" si="265"/>
        <v>0</v>
      </c>
      <c r="U567" s="102">
        <f t="shared" si="265"/>
        <v>90657</v>
      </c>
      <c r="V567" s="102">
        <f t="shared" si="265"/>
        <v>27975</v>
      </c>
      <c r="W567" s="102">
        <f t="shared" si="265"/>
        <v>62682</v>
      </c>
      <c r="X567" s="102">
        <f t="shared" si="265"/>
        <v>0</v>
      </c>
    </row>
    <row r="568" spans="1:31" ht="15.75" customHeight="1" x14ac:dyDescent="0.25">
      <c r="C568" s="123"/>
      <c r="D568" s="126"/>
      <c r="E568" s="126"/>
      <c r="F568" s="126"/>
      <c r="G568" s="125"/>
      <c r="H568" s="137"/>
      <c r="I568" s="126"/>
      <c r="J568" s="126"/>
      <c r="K568" s="126"/>
      <c r="L568" s="126"/>
      <c r="M568" s="127"/>
      <c r="N568" s="126"/>
      <c r="O568" s="180"/>
      <c r="P568" s="137"/>
      <c r="Q568" s="248"/>
      <c r="R568" s="180"/>
      <c r="S568" s="180"/>
      <c r="T568" s="180"/>
      <c r="U568" s="180"/>
      <c r="V568" s="180"/>
      <c r="W568" s="180"/>
      <c r="X568" s="181"/>
    </row>
    <row r="569" spans="1:31" ht="15.75" customHeight="1" x14ac:dyDescent="0.25">
      <c r="A569" s="54" t="s">
        <v>95</v>
      </c>
      <c r="B569" s="54" t="s">
        <v>95</v>
      </c>
      <c r="C569" s="147" t="s">
        <v>95</v>
      </c>
      <c r="D569" s="15"/>
      <c r="E569" s="15"/>
      <c r="F569" s="15"/>
      <c r="G569" s="61">
        <f t="shared" ref="G569" si="266">SUM(D569:F569)</f>
        <v>0</v>
      </c>
      <c r="H569" s="15"/>
      <c r="I569" s="15"/>
      <c r="J569" s="15"/>
      <c r="K569" s="15"/>
      <c r="L569" s="14">
        <f t="shared" ref="L569" si="267">SUM(I569:K569)</f>
        <v>0</v>
      </c>
      <c r="M569" s="62">
        <f t="shared" ref="M569" si="268">(L569-G569)</f>
        <v>0</v>
      </c>
      <c r="N569" s="15"/>
      <c r="O569" s="38"/>
      <c r="P569" s="15"/>
      <c r="Q569" s="241"/>
      <c r="R569" s="38"/>
      <c r="S569" s="38"/>
      <c r="T569" s="38"/>
      <c r="U569" s="38">
        <f>SUM(V569:X569)</f>
        <v>82829</v>
      </c>
      <c r="V569" s="38"/>
      <c r="W569" s="38">
        <v>82829</v>
      </c>
      <c r="X569" s="176"/>
    </row>
    <row r="570" spans="1:31" ht="15.75" customHeight="1" x14ac:dyDescent="0.25">
      <c r="A570" s="6" t="s">
        <v>16</v>
      </c>
      <c r="B570" s="32" t="s">
        <v>21</v>
      </c>
      <c r="C570" s="138" t="s">
        <v>369</v>
      </c>
      <c r="D570" s="14"/>
      <c r="E570" s="14">
        <v>40000</v>
      </c>
      <c r="F570" s="14"/>
      <c r="G570" s="61">
        <f t="shared" ref="G570:G579" si="269">SUM(D570:F570)</f>
        <v>40000</v>
      </c>
      <c r="H570" s="15"/>
      <c r="I570" s="14">
        <v>1741</v>
      </c>
      <c r="J570" s="14">
        <v>28435</v>
      </c>
      <c r="K570" s="14"/>
      <c r="L570" s="14">
        <f t="shared" ref="L570:L579" si="270">SUM(I570:K570)</f>
        <v>30176</v>
      </c>
      <c r="M570" s="62">
        <f>SUM(L570-G570)</f>
        <v>-9824</v>
      </c>
      <c r="N570" s="15"/>
      <c r="O570" s="38"/>
      <c r="P570" s="15"/>
      <c r="Q570" s="241"/>
      <c r="R570" s="38"/>
      <c r="S570" s="38"/>
      <c r="T570" s="38"/>
      <c r="U570" s="38"/>
      <c r="V570" s="38"/>
      <c r="W570" s="38"/>
      <c r="X570" s="176"/>
    </row>
    <row r="571" spans="1:31" ht="15.75" customHeight="1" x14ac:dyDescent="0.25">
      <c r="A571" s="109"/>
      <c r="B571" s="12"/>
      <c r="C571" s="17" t="s">
        <v>800</v>
      </c>
      <c r="D571" s="14"/>
      <c r="E571" s="14"/>
      <c r="F571" s="14"/>
      <c r="G571" s="61">
        <f>SUM(D571:F571)</f>
        <v>0</v>
      </c>
      <c r="H571" s="15"/>
      <c r="I571" s="14"/>
      <c r="J571" s="14"/>
      <c r="K571" s="14"/>
      <c r="L571" s="14">
        <f>SUM(I571:K571)</f>
        <v>0</v>
      </c>
      <c r="M571" s="62">
        <f>(L571-G571)</f>
        <v>0</v>
      </c>
      <c r="N571" s="14"/>
      <c r="O571" s="38"/>
      <c r="P571" s="15">
        <v>9824</v>
      </c>
      <c r="Q571" s="241"/>
      <c r="R571" s="38"/>
      <c r="S571" s="38"/>
      <c r="T571" s="38"/>
      <c r="U571" s="38"/>
      <c r="V571" s="38"/>
      <c r="W571" s="38"/>
      <c r="X571" s="167"/>
    </row>
    <row r="572" spans="1:31" ht="15.75" customHeight="1" x14ac:dyDescent="0.25">
      <c r="A572" s="6" t="s">
        <v>16</v>
      </c>
      <c r="B572" s="32" t="s">
        <v>21</v>
      </c>
      <c r="C572" s="138" t="s">
        <v>370</v>
      </c>
      <c r="D572" s="14"/>
      <c r="E572" s="14">
        <v>70000</v>
      </c>
      <c r="F572" s="14"/>
      <c r="G572" s="61">
        <f t="shared" si="269"/>
        <v>70000</v>
      </c>
      <c r="H572" s="15"/>
      <c r="I572" s="14"/>
      <c r="J572" s="14">
        <v>78624</v>
      </c>
      <c r="K572" s="14"/>
      <c r="L572" s="14">
        <f t="shared" si="270"/>
        <v>78624</v>
      </c>
      <c r="M572" s="62">
        <f>SUM(L572-G572)</f>
        <v>8624</v>
      </c>
      <c r="N572" s="15"/>
      <c r="O572" s="38"/>
      <c r="P572" s="15"/>
      <c r="Q572" s="241"/>
      <c r="R572" s="38"/>
      <c r="S572" s="38"/>
      <c r="T572" s="38"/>
      <c r="U572" s="38"/>
      <c r="V572" s="38"/>
      <c r="W572" s="38"/>
      <c r="X572" s="176"/>
    </row>
    <row r="573" spans="1:31" ht="15.75" customHeight="1" x14ac:dyDescent="0.25">
      <c r="A573" s="6" t="s">
        <v>16</v>
      </c>
      <c r="B573" s="32" t="s">
        <v>21</v>
      </c>
      <c r="C573" s="138" t="s">
        <v>801</v>
      </c>
      <c r="D573" s="14"/>
      <c r="E573" s="14">
        <v>11000</v>
      </c>
      <c r="F573" s="14"/>
      <c r="G573" s="61">
        <f t="shared" si="269"/>
        <v>11000</v>
      </c>
      <c r="H573" s="15"/>
      <c r="I573" s="14"/>
      <c r="J573" s="14"/>
      <c r="K573" s="14"/>
      <c r="L573" s="14">
        <f t="shared" si="270"/>
        <v>0</v>
      </c>
      <c r="M573" s="62">
        <f>SUM(L573-G573)</f>
        <v>-11000</v>
      </c>
      <c r="N573" s="15"/>
      <c r="O573" s="38"/>
      <c r="P573" s="15"/>
      <c r="Q573" s="241"/>
      <c r="R573" s="38"/>
      <c r="S573" s="38"/>
      <c r="T573" s="38"/>
      <c r="U573" s="38"/>
      <c r="V573" s="38"/>
      <c r="W573" s="38"/>
      <c r="X573" s="176"/>
    </row>
    <row r="574" spans="1:31" ht="15.75" customHeight="1" x14ac:dyDescent="0.25">
      <c r="A574" s="6" t="s">
        <v>16</v>
      </c>
      <c r="B574" s="32" t="s">
        <v>21</v>
      </c>
      <c r="C574" s="138" t="s">
        <v>371</v>
      </c>
      <c r="D574" s="18">
        <v>14244</v>
      </c>
      <c r="E574" s="18">
        <v>10184</v>
      </c>
      <c r="F574" s="18"/>
      <c r="G574" s="61">
        <f t="shared" si="269"/>
        <v>24428</v>
      </c>
      <c r="H574" s="15">
        <f>16913-16561</f>
        <v>352</v>
      </c>
      <c r="I574" s="18">
        <v>16561</v>
      </c>
      <c r="J574" s="18">
        <v>15403</v>
      </c>
      <c r="K574" s="18"/>
      <c r="L574" s="14">
        <f t="shared" si="270"/>
        <v>31964</v>
      </c>
      <c r="M574" s="62">
        <f>SUM(L574-G574)</f>
        <v>7536</v>
      </c>
      <c r="N574" s="18"/>
      <c r="O574" s="168"/>
      <c r="P574" s="19"/>
      <c r="Q574" s="242"/>
      <c r="R574" s="168"/>
      <c r="S574" s="168"/>
      <c r="T574" s="168"/>
      <c r="U574" s="168"/>
      <c r="V574" s="168"/>
      <c r="W574" s="168"/>
      <c r="X574" s="196"/>
      <c r="Y574" s="280"/>
      <c r="Z574" s="16"/>
      <c r="AA574" s="16"/>
      <c r="AB574" s="16"/>
      <c r="AC574" s="16"/>
      <c r="AD574" s="16"/>
      <c r="AE574" s="16"/>
    </row>
    <row r="575" spans="1:31" ht="15.75" customHeight="1" x14ac:dyDescent="0.25">
      <c r="A575" s="6"/>
      <c r="B575" s="6"/>
      <c r="C575" s="146" t="s">
        <v>188</v>
      </c>
      <c r="D575" s="144">
        <f>SUM(D570:D574)</f>
        <v>14244</v>
      </c>
      <c r="E575" s="144">
        <f>SUM(E570:E574)</f>
        <v>131184</v>
      </c>
      <c r="F575" s="144">
        <f>SUM(F570:F574)</f>
        <v>0</v>
      </c>
      <c r="G575" s="143">
        <f t="shared" si="269"/>
        <v>145428</v>
      </c>
      <c r="H575" s="144">
        <f>SUM(H570:H574)</f>
        <v>352</v>
      </c>
      <c r="I575" s="144">
        <f>SUM(I570:I574)</f>
        <v>18302</v>
      </c>
      <c r="J575" s="144">
        <f>SUM(J570:J574)</f>
        <v>122462</v>
      </c>
      <c r="K575" s="144">
        <f>SUM(K570:K574)</f>
        <v>0</v>
      </c>
      <c r="L575" s="144">
        <f t="shared" si="270"/>
        <v>140764</v>
      </c>
      <c r="M575" s="145">
        <f>SUM(L575-G575)</f>
        <v>-4664</v>
      </c>
      <c r="N575" s="144">
        <f t="shared" ref="N575:P575" si="271">SUM(N570:N574)</f>
        <v>0</v>
      </c>
      <c r="O575" s="185">
        <f t="shared" si="271"/>
        <v>0</v>
      </c>
      <c r="P575" s="211">
        <f t="shared" si="271"/>
        <v>9824</v>
      </c>
      <c r="Q575" s="259">
        <f>SUM(Q570:Q574)</f>
        <v>0</v>
      </c>
      <c r="R575" s="185">
        <f t="shared" ref="R575:V575" si="272">SUM(R569:R574)</f>
        <v>0</v>
      </c>
      <c r="S575" s="185">
        <f t="shared" si="272"/>
        <v>0</v>
      </c>
      <c r="T575" s="185">
        <f t="shared" si="272"/>
        <v>0</v>
      </c>
      <c r="U575" s="185">
        <f t="shared" si="272"/>
        <v>82829</v>
      </c>
      <c r="V575" s="185">
        <f t="shared" si="272"/>
        <v>0</v>
      </c>
      <c r="W575" s="185">
        <f>SUM(W569:W574)</f>
        <v>82829</v>
      </c>
      <c r="X575" s="186">
        <f>SUM(X569:X574)</f>
        <v>0</v>
      </c>
    </row>
    <row r="576" spans="1:31" ht="15.75" customHeight="1" x14ac:dyDescent="0.25">
      <c r="A576" s="6" t="s">
        <v>16</v>
      </c>
      <c r="B576" s="49" t="s">
        <v>18</v>
      </c>
      <c r="C576" s="49" t="s">
        <v>18</v>
      </c>
      <c r="D576" s="14">
        <v>170992</v>
      </c>
      <c r="E576" s="14">
        <v>25315</v>
      </c>
      <c r="F576" s="14">
        <v>10000</v>
      </c>
      <c r="G576" s="61">
        <f t="shared" si="269"/>
        <v>206307</v>
      </c>
      <c r="H576" s="15">
        <v>42168</v>
      </c>
      <c r="I576" s="45">
        <v>172458</v>
      </c>
      <c r="J576" s="45">
        <v>26393</v>
      </c>
      <c r="K576" s="45">
        <v>9000</v>
      </c>
      <c r="L576" s="45">
        <f t="shared" si="270"/>
        <v>207851</v>
      </c>
      <c r="M576" s="115">
        <f>L576-G576</f>
        <v>1544</v>
      </c>
      <c r="N576" s="45"/>
      <c r="O576" s="38"/>
      <c r="P576" s="15"/>
      <c r="Q576" s="241"/>
      <c r="R576" s="38"/>
      <c r="S576" s="38"/>
      <c r="T576" s="38"/>
      <c r="U576" s="38"/>
      <c r="V576" s="38"/>
      <c r="W576" s="38"/>
      <c r="X576" s="167"/>
      <c r="Y576" s="279"/>
    </row>
    <row r="577" spans="1:25" ht="15.75" customHeight="1" x14ac:dyDescent="0.25">
      <c r="A577" s="109"/>
      <c r="B577" s="3"/>
      <c r="C577" s="13" t="s">
        <v>372</v>
      </c>
      <c r="D577" s="14"/>
      <c r="E577" s="14"/>
      <c r="F577" s="14"/>
      <c r="G577" s="61">
        <f>SUM(D577:F577)</f>
        <v>0</v>
      </c>
      <c r="H577" s="15"/>
      <c r="I577" s="45"/>
      <c r="J577" s="45"/>
      <c r="K577" s="45"/>
      <c r="L577" s="45">
        <f>SUM(I577:K577)</f>
        <v>0</v>
      </c>
      <c r="M577" s="115">
        <f>(L577-G577)</f>
        <v>0</v>
      </c>
      <c r="N577" s="45"/>
      <c r="O577" s="38"/>
      <c r="P577" s="15"/>
      <c r="Q577" s="241"/>
      <c r="R577" s="38">
        <v>14823</v>
      </c>
      <c r="S577" s="38"/>
      <c r="T577" s="38"/>
      <c r="U577" s="38"/>
      <c r="V577" s="38"/>
      <c r="W577" s="38"/>
      <c r="X577" s="167"/>
      <c r="Y577" s="279"/>
    </row>
    <row r="578" spans="1:25" ht="15.75" customHeight="1" x14ac:dyDescent="0.25">
      <c r="A578" s="6" t="s">
        <v>16</v>
      </c>
      <c r="B578" s="49" t="s">
        <v>18</v>
      </c>
      <c r="C578" s="16" t="s">
        <v>802</v>
      </c>
      <c r="D578" s="14"/>
      <c r="E578" s="14"/>
      <c r="F578" s="14"/>
      <c r="G578" s="61">
        <f t="shared" si="269"/>
        <v>0</v>
      </c>
      <c r="H578" s="15"/>
      <c r="I578" s="45"/>
      <c r="J578" s="45"/>
      <c r="K578" s="45"/>
      <c r="L578" s="45">
        <f t="shared" si="270"/>
        <v>0</v>
      </c>
      <c r="M578" s="115">
        <f>L578-G578</f>
        <v>0</v>
      </c>
      <c r="N578" s="45"/>
      <c r="O578" s="38"/>
      <c r="P578" s="15"/>
      <c r="Q578" s="241">
        <v>7236</v>
      </c>
      <c r="R578" s="38"/>
      <c r="S578" s="38"/>
      <c r="T578" s="38"/>
      <c r="U578" s="38"/>
      <c r="V578" s="38"/>
      <c r="W578" s="38"/>
      <c r="X578" s="167"/>
    </row>
    <row r="579" spans="1:25" ht="15.75" customHeight="1" x14ac:dyDescent="0.25">
      <c r="A579" s="6" t="s">
        <v>16</v>
      </c>
      <c r="B579" s="49" t="s">
        <v>18</v>
      </c>
      <c r="C579" s="16" t="s">
        <v>803</v>
      </c>
      <c r="D579" s="14"/>
      <c r="E579" s="14"/>
      <c r="F579" s="14"/>
      <c r="G579" s="61">
        <f t="shared" si="269"/>
        <v>0</v>
      </c>
      <c r="H579" s="15"/>
      <c r="I579" s="45"/>
      <c r="J579" s="45"/>
      <c r="K579" s="45"/>
      <c r="L579" s="45">
        <f t="shared" si="270"/>
        <v>0</v>
      </c>
      <c r="M579" s="115">
        <f>L579-G579</f>
        <v>0</v>
      </c>
      <c r="N579" s="45"/>
      <c r="O579" s="38"/>
      <c r="P579" s="15"/>
      <c r="Q579" s="241">
        <v>3994</v>
      </c>
      <c r="R579" s="38"/>
      <c r="S579" s="38"/>
      <c r="T579" s="38"/>
      <c r="U579" s="38"/>
      <c r="V579" s="38"/>
      <c r="W579" s="38"/>
      <c r="X579" s="167"/>
    </row>
    <row r="580" spans="1:25" ht="15.75" customHeight="1" x14ac:dyDescent="0.25">
      <c r="A580" s="6" t="s">
        <v>16</v>
      </c>
      <c r="B580" s="49" t="s">
        <v>18</v>
      </c>
      <c r="C580" s="3" t="s">
        <v>804</v>
      </c>
      <c r="D580" s="14"/>
      <c r="E580" s="14"/>
      <c r="F580" s="14"/>
      <c r="G580" s="61">
        <f t="shared" ref="G580:G587" si="273">SUM(D580:F580)</f>
        <v>0</v>
      </c>
      <c r="H580" s="15"/>
      <c r="I580" s="45"/>
      <c r="J580" s="45"/>
      <c r="K580" s="45"/>
      <c r="L580" s="45">
        <f t="shared" ref="L580:L586" si="274">SUM(I580:K580)</f>
        <v>0</v>
      </c>
      <c r="M580" s="115">
        <f>L580-G580</f>
        <v>0</v>
      </c>
      <c r="N580" s="45"/>
      <c r="O580" s="38"/>
      <c r="P580" s="15"/>
      <c r="Q580" s="241"/>
      <c r="R580" s="38"/>
      <c r="S580" s="38"/>
      <c r="T580" s="38"/>
      <c r="U580" s="38">
        <f>SUM(V580:X580)</f>
        <v>11277</v>
      </c>
      <c r="V580" s="38"/>
      <c r="W580" s="38">
        <v>11277</v>
      </c>
      <c r="X580" s="167"/>
    </row>
    <row r="581" spans="1:25" ht="15.75" customHeight="1" x14ac:dyDescent="0.25">
      <c r="A581" s="109"/>
      <c r="B581" s="3"/>
      <c r="C581" s="29" t="s">
        <v>231</v>
      </c>
      <c r="D581" s="14"/>
      <c r="E581" s="14"/>
      <c r="F581" s="14"/>
      <c r="G581" s="61">
        <f>SUM(D581:F581)</f>
        <v>0</v>
      </c>
      <c r="H581" s="15"/>
      <c r="I581" s="14"/>
      <c r="J581" s="14"/>
      <c r="K581" s="14"/>
      <c r="L581" s="14">
        <f t="shared" si="274"/>
        <v>0</v>
      </c>
      <c r="M581" s="62">
        <f>(L581-G581)</f>
        <v>0</v>
      </c>
      <c r="N581" s="14"/>
      <c r="O581" s="38"/>
      <c r="P581" s="15"/>
      <c r="Q581" s="241"/>
      <c r="R581" s="38"/>
      <c r="S581" s="38"/>
      <c r="T581" s="38"/>
      <c r="U581" s="38"/>
      <c r="V581" s="38"/>
      <c r="W581" s="38"/>
      <c r="X581" s="167"/>
    </row>
    <row r="582" spans="1:25" ht="15.75" customHeight="1" x14ac:dyDescent="0.25">
      <c r="A582" s="109"/>
      <c r="B582" s="3"/>
      <c r="C582" s="13" t="s">
        <v>805</v>
      </c>
      <c r="D582" s="14"/>
      <c r="E582" s="14"/>
      <c r="F582" s="14"/>
      <c r="G582" s="61">
        <f>SUM(D582:F582)</f>
        <v>0</v>
      </c>
      <c r="H582" s="15"/>
      <c r="I582" s="14"/>
      <c r="J582" s="14"/>
      <c r="K582" s="14"/>
      <c r="L582" s="14">
        <f t="shared" si="274"/>
        <v>0</v>
      </c>
      <c r="M582" s="62">
        <f>(L582-G582)</f>
        <v>0</v>
      </c>
      <c r="N582" s="14"/>
      <c r="O582" s="38"/>
      <c r="P582" s="15">
        <v>1200</v>
      </c>
      <c r="Q582" s="241"/>
      <c r="R582" s="38"/>
      <c r="S582" s="38"/>
      <c r="T582" s="38"/>
      <c r="U582" s="38"/>
      <c r="V582" s="38"/>
      <c r="W582" s="38"/>
      <c r="X582" s="167"/>
    </row>
    <row r="583" spans="1:25" ht="15.75" customHeight="1" x14ac:dyDescent="0.25">
      <c r="A583" s="109"/>
      <c r="B583" s="3"/>
      <c r="C583" s="13" t="s">
        <v>806</v>
      </c>
      <c r="D583" s="14"/>
      <c r="E583" s="14"/>
      <c r="F583" s="14"/>
      <c r="G583" s="61">
        <f>SUM(D583:F583)</f>
        <v>0</v>
      </c>
      <c r="H583" s="15"/>
      <c r="I583" s="14"/>
      <c r="J583" s="14"/>
      <c r="K583" s="14"/>
      <c r="L583" s="14">
        <f t="shared" si="274"/>
        <v>0</v>
      </c>
      <c r="M583" s="62">
        <f>(L583-G583)</f>
        <v>0</v>
      </c>
      <c r="N583" s="14"/>
      <c r="O583" s="38"/>
      <c r="P583" s="15">
        <v>400</v>
      </c>
      <c r="Q583" s="241"/>
      <c r="R583" s="38"/>
      <c r="S583" s="38"/>
      <c r="T583" s="38"/>
      <c r="U583" s="38"/>
      <c r="V583" s="38"/>
      <c r="W583" s="38"/>
      <c r="X583" s="167"/>
    </row>
    <row r="584" spans="1:25" ht="15.75" customHeight="1" x14ac:dyDescent="0.25">
      <c r="A584" s="109"/>
      <c r="B584" s="3"/>
      <c r="C584" s="13" t="s">
        <v>807</v>
      </c>
      <c r="D584" s="14"/>
      <c r="E584" s="14"/>
      <c r="F584" s="14"/>
      <c r="G584" s="61">
        <f>SUM(D584:F584)</f>
        <v>0</v>
      </c>
      <c r="H584" s="15"/>
      <c r="I584" s="14"/>
      <c r="J584" s="14"/>
      <c r="K584" s="14"/>
      <c r="L584" s="14">
        <f t="shared" si="274"/>
        <v>0</v>
      </c>
      <c r="M584" s="62">
        <f>(L584-G584)</f>
        <v>0</v>
      </c>
      <c r="N584" s="14"/>
      <c r="O584" s="38"/>
      <c r="P584" s="15">
        <v>900</v>
      </c>
      <c r="Q584" s="241"/>
      <c r="R584" s="38"/>
      <c r="S584" s="38"/>
      <c r="T584" s="38"/>
      <c r="U584" s="38"/>
      <c r="V584" s="38"/>
      <c r="W584" s="38"/>
      <c r="X584" s="167"/>
    </row>
    <row r="585" spans="1:25" ht="15.75" customHeight="1" x14ac:dyDescent="0.25">
      <c r="A585" s="109"/>
      <c r="B585" s="3"/>
      <c r="C585" s="13" t="s">
        <v>808</v>
      </c>
      <c r="D585" s="14"/>
      <c r="E585" s="14"/>
      <c r="F585" s="14"/>
      <c r="G585" s="61">
        <f>SUM(D585:F585)</f>
        <v>0</v>
      </c>
      <c r="H585" s="15"/>
      <c r="I585" s="14"/>
      <c r="J585" s="14"/>
      <c r="K585" s="14"/>
      <c r="L585" s="14">
        <f t="shared" si="274"/>
        <v>0</v>
      </c>
      <c r="M585" s="62">
        <f>(L585-G585)</f>
        <v>0</v>
      </c>
      <c r="N585" s="14"/>
      <c r="O585" s="38"/>
      <c r="P585" s="15">
        <v>400</v>
      </c>
      <c r="Q585" s="241"/>
      <c r="R585" s="38"/>
      <c r="S585" s="38"/>
      <c r="T585" s="38"/>
      <c r="U585" s="38"/>
      <c r="V585" s="38"/>
      <c r="W585" s="38"/>
      <c r="X585" s="167"/>
    </row>
    <row r="586" spans="1:25" ht="15.75" customHeight="1" x14ac:dyDescent="0.25">
      <c r="A586" s="6" t="s">
        <v>16</v>
      </c>
      <c r="B586" s="49" t="s">
        <v>27</v>
      </c>
      <c r="C586" s="49" t="s">
        <v>27</v>
      </c>
      <c r="D586" s="14">
        <v>36961</v>
      </c>
      <c r="E586" s="14">
        <v>3484</v>
      </c>
      <c r="F586" s="14">
        <v>2160</v>
      </c>
      <c r="G586" s="61">
        <f t="shared" si="273"/>
        <v>42605</v>
      </c>
      <c r="H586" s="15">
        <f>43693-37865</f>
        <v>5828</v>
      </c>
      <c r="I586" s="45">
        <v>37865</v>
      </c>
      <c r="J586" s="45">
        <v>3836</v>
      </c>
      <c r="K586" s="45">
        <v>2000</v>
      </c>
      <c r="L586" s="45">
        <f t="shared" si="274"/>
        <v>43701</v>
      </c>
      <c r="M586" s="115">
        <f>L586-G586</f>
        <v>1096</v>
      </c>
      <c r="N586" s="45"/>
      <c r="O586" s="38"/>
      <c r="P586" s="15"/>
      <c r="Q586" s="241"/>
      <c r="R586" s="38"/>
      <c r="S586" s="38"/>
      <c r="T586" s="38"/>
      <c r="U586" s="38">
        <f t="shared" ref="U586:U591" si="275">SUM(V586:X586)</f>
        <v>0</v>
      </c>
      <c r="V586" s="38"/>
      <c r="W586" s="38"/>
      <c r="X586" s="167"/>
    </row>
    <row r="587" spans="1:25" ht="15.75" customHeight="1" x14ac:dyDescent="0.25">
      <c r="A587" s="6" t="s">
        <v>16</v>
      </c>
      <c r="B587" s="49" t="s">
        <v>27</v>
      </c>
      <c r="C587" s="16" t="s">
        <v>700</v>
      </c>
      <c r="D587" s="14"/>
      <c r="E587" s="14"/>
      <c r="F587" s="14"/>
      <c r="G587" s="61">
        <f t="shared" si="273"/>
        <v>0</v>
      </c>
      <c r="H587" s="15"/>
      <c r="I587" s="45"/>
      <c r="J587" s="45"/>
      <c r="K587" s="45"/>
      <c r="L587" s="45">
        <f t="shared" ref="L587:L588" si="276">SUM(I587:K587)</f>
        <v>0</v>
      </c>
      <c r="M587" s="115">
        <f t="shared" ref="M587:M588" si="277">(L587-G587)</f>
        <v>0</v>
      </c>
      <c r="N587" s="45"/>
      <c r="O587" s="38"/>
      <c r="P587" s="15"/>
      <c r="Q587" s="241"/>
      <c r="R587" s="38"/>
      <c r="S587" s="38"/>
      <c r="T587" s="38"/>
      <c r="U587" s="38">
        <f t="shared" si="275"/>
        <v>0</v>
      </c>
      <c r="V587" s="38"/>
      <c r="W587" s="38"/>
      <c r="X587" s="167"/>
    </row>
    <row r="588" spans="1:25" ht="15.75" customHeight="1" x14ac:dyDescent="0.25">
      <c r="A588" s="6" t="s">
        <v>16</v>
      </c>
      <c r="B588" s="49" t="s">
        <v>27</v>
      </c>
      <c r="C588" s="16" t="s">
        <v>809</v>
      </c>
      <c r="D588" s="14"/>
      <c r="E588" s="14"/>
      <c r="F588" s="14"/>
      <c r="G588" s="61">
        <f t="shared" ref="G588" si="278">SUM(D588:F588)</f>
        <v>0</v>
      </c>
      <c r="H588" s="15"/>
      <c r="I588" s="45"/>
      <c r="J588" s="45"/>
      <c r="K588" s="45"/>
      <c r="L588" s="45">
        <f t="shared" si="276"/>
        <v>0</v>
      </c>
      <c r="M588" s="115">
        <f t="shared" si="277"/>
        <v>0</v>
      </c>
      <c r="N588" s="45"/>
      <c r="O588" s="38"/>
      <c r="P588" s="15"/>
      <c r="Q588" s="241"/>
      <c r="R588" s="38"/>
      <c r="S588" s="38"/>
      <c r="T588" s="38">
        <v>4000</v>
      </c>
      <c r="U588" s="38">
        <f t="shared" si="275"/>
        <v>4598</v>
      </c>
      <c r="V588" s="38">
        <v>1004</v>
      </c>
      <c r="W588" s="38">
        <v>3594</v>
      </c>
      <c r="X588" s="167"/>
      <c r="Y588" s="279"/>
    </row>
    <row r="589" spans="1:25" ht="15.75" customHeight="1" x14ac:dyDescent="0.25">
      <c r="A589" s="6" t="s">
        <v>16</v>
      </c>
      <c r="B589" s="49" t="s">
        <v>26</v>
      </c>
      <c r="C589" s="49" t="s">
        <v>26</v>
      </c>
      <c r="D589" s="14">
        <v>39551</v>
      </c>
      <c r="E589" s="14">
        <v>2744</v>
      </c>
      <c r="F589" s="14">
        <v>1500</v>
      </c>
      <c r="G589" s="61">
        <f t="shared" ref="G589:G590" si="279">SUM(D589:F589)</f>
        <v>43795</v>
      </c>
      <c r="H589" s="15">
        <f>48303-41218</f>
        <v>7085</v>
      </c>
      <c r="I589" s="45">
        <v>41218</v>
      </c>
      <c r="J589" s="45">
        <v>3405</v>
      </c>
      <c r="K589" s="45">
        <v>1700</v>
      </c>
      <c r="L589" s="45">
        <f>SUM(I589:K589)</f>
        <v>46323</v>
      </c>
      <c r="M589" s="115">
        <f>L589-G589</f>
        <v>2528</v>
      </c>
      <c r="N589" s="45"/>
      <c r="O589" s="38"/>
      <c r="P589" s="15"/>
      <c r="Q589" s="241"/>
      <c r="R589" s="38"/>
      <c r="S589" s="38"/>
      <c r="T589" s="38"/>
      <c r="U589" s="38">
        <f t="shared" si="275"/>
        <v>0</v>
      </c>
      <c r="V589" s="38"/>
      <c r="W589" s="38"/>
      <c r="X589" s="167"/>
    </row>
    <row r="590" spans="1:25" ht="15.75" customHeight="1" x14ac:dyDescent="0.25">
      <c r="A590" s="6" t="s">
        <v>16</v>
      </c>
      <c r="B590" s="49" t="s">
        <v>26</v>
      </c>
      <c r="C590" s="54" t="s">
        <v>810</v>
      </c>
      <c r="D590" s="14"/>
      <c r="E590" s="14"/>
      <c r="F590" s="14"/>
      <c r="G590" s="61">
        <f t="shared" si="279"/>
        <v>0</v>
      </c>
      <c r="H590" s="15"/>
      <c r="I590" s="45"/>
      <c r="J590" s="45"/>
      <c r="K590" s="45"/>
      <c r="L590" s="45">
        <f>SUM(I590:K590)</f>
        <v>0</v>
      </c>
      <c r="M590" s="115">
        <f>L590-G590</f>
        <v>0</v>
      </c>
      <c r="N590" s="45"/>
      <c r="O590" s="38"/>
      <c r="P590" s="15"/>
      <c r="Q590" s="241"/>
      <c r="R590" s="38"/>
      <c r="S590" s="38"/>
      <c r="T590" s="38"/>
      <c r="U590" s="38">
        <f t="shared" si="275"/>
        <v>0</v>
      </c>
      <c r="V590" s="38"/>
      <c r="W590" s="38"/>
      <c r="X590" s="167"/>
    </row>
    <row r="591" spans="1:25" ht="15.75" customHeight="1" x14ac:dyDescent="0.25">
      <c r="A591" s="6" t="s">
        <v>16</v>
      </c>
      <c r="B591" s="49" t="s">
        <v>26</v>
      </c>
      <c r="C591" s="55" t="s">
        <v>809</v>
      </c>
      <c r="D591" s="14"/>
      <c r="E591" s="14"/>
      <c r="F591" s="14"/>
      <c r="G591" s="61">
        <f t="shared" ref="G591" si="280">SUM(D591:F591)</f>
        <v>0</v>
      </c>
      <c r="H591" s="15"/>
      <c r="I591" s="45"/>
      <c r="J591" s="45"/>
      <c r="K591" s="45"/>
      <c r="L591" s="45">
        <f t="shared" ref="L591" si="281">SUM(I591:K591)</f>
        <v>0</v>
      </c>
      <c r="M591" s="115">
        <f t="shared" ref="M591" si="282">(L591-G591)</f>
        <v>0</v>
      </c>
      <c r="N591" s="45"/>
      <c r="O591" s="38"/>
      <c r="P591" s="15"/>
      <c r="Q591" s="241"/>
      <c r="R591" s="38"/>
      <c r="S591" s="38"/>
      <c r="T591" s="38">
        <v>4000</v>
      </c>
      <c r="U591" s="38">
        <f t="shared" si="275"/>
        <v>4598</v>
      </c>
      <c r="V591" s="38">
        <v>1004</v>
      </c>
      <c r="W591" s="38">
        <v>3594</v>
      </c>
      <c r="X591" s="167"/>
      <c r="Y591" s="279"/>
    </row>
    <row r="592" spans="1:25" ht="15.75" customHeight="1" x14ac:dyDescent="0.25">
      <c r="A592" s="6" t="s">
        <v>16</v>
      </c>
      <c r="B592" s="56" t="s">
        <v>31</v>
      </c>
      <c r="C592" s="56" t="s">
        <v>31</v>
      </c>
      <c r="D592" s="14">
        <v>11665</v>
      </c>
      <c r="E592" s="14">
        <v>6817</v>
      </c>
      <c r="F592" s="14">
        <v>850</v>
      </c>
      <c r="G592" s="61">
        <f t="shared" ref="G592:G593" si="283">SUM(D592:F592)</f>
        <v>19332</v>
      </c>
      <c r="H592" s="15">
        <f>13145-12442</f>
        <v>703</v>
      </c>
      <c r="I592" s="45">
        <v>12442</v>
      </c>
      <c r="J592" s="45">
        <v>8169</v>
      </c>
      <c r="K592" s="45">
        <v>850</v>
      </c>
      <c r="L592" s="45">
        <f>SUM(I592:K592)</f>
        <v>21461</v>
      </c>
      <c r="M592" s="115">
        <f t="shared" ref="M592:M610" si="284">L592-G592</f>
        <v>2129</v>
      </c>
      <c r="N592" s="45"/>
      <c r="O592" s="38"/>
      <c r="P592" s="15"/>
      <c r="Q592" s="241"/>
      <c r="R592" s="38"/>
      <c r="S592" s="38"/>
      <c r="T592" s="38"/>
      <c r="U592" s="38"/>
      <c r="V592" s="38"/>
      <c r="W592" s="38"/>
      <c r="X592" s="167"/>
    </row>
    <row r="593" spans="1:31" ht="15.75" customHeight="1" x14ac:dyDescent="0.25">
      <c r="A593" s="6"/>
      <c r="B593" s="6"/>
      <c r="C593" s="26" t="s">
        <v>188</v>
      </c>
      <c r="D593" s="89">
        <f>SUM(D576:D589)</f>
        <v>247504</v>
      </c>
      <c r="E593" s="89">
        <f>SUM(E576:E589)</f>
        <v>31543</v>
      </c>
      <c r="F593" s="89"/>
      <c r="G593" s="27">
        <f t="shared" si="283"/>
        <v>279047</v>
      </c>
      <c r="H593" s="89">
        <f>SUM(H576:H592)</f>
        <v>55784</v>
      </c>
      <c r="I593" s="89">
        <f>SUM(I576:I592)</f>
        <v>263983</v>
      </c>
      <c r="J593" s="89">
        <f>SUM(J576:J592)</f>
        <v>41803</v>
      </c>
      <c r="K593" s="89">
        <f>SUM(K576:K592)</f>
        <v>13550</v>
      </c>
      <c r="L593" s="89">
        <f>SUM(I593:K593)</f>
        <v>319336</v>
      </c>
      <c r="M593" s="28">
        <f t="shared" si="284"/>
        <v>40289</v>
      </c>
      <c r="N593" s="89">
        <f t="shared" ref="N593:X593" si="285">SUM(N576:N592)</f>
        <v>0</v>
      </c>
      <c r="O593" s="107">
        <f t="shared" si="285"/>
        <v>0</v>
      </c>
      <c r="P593" s="210">
        <f>SUM(P576:P592)</f>
        <v>2900</v>
      </c>
      <c r="Q593" s="246">
        <f>SUM(Q576:Q592)</f>
        <v>11230</v>
      </c>
      <c r="R593" s="107">
        <f t="shared" si="285"/>
        <v>14823</v>
      </c>
      <c r="S593" s="107">
        <f t="shared" si="285"/>
        <v>0</v>
      </c>
      <c r="T593" s="107">
        <f t="shared" si="285"/>
        <v>8000</v>
      </c>
      <c r="U593" s="107">
        <f t="shared" si="285"/>
        <v>20473</v>
      </c>
      <c r="V593" s="107">
        <f t="shared" si="285"/>
        <v>2008</v>
      </c>
      <c r="W593" s="107">
        <f t="shared" si="285"/>
        <v>18465</v>
      </c>
      <c r="X593" s="107">
        <f t="shared" si="285"/>
        <v>0</v>
      </c>
    </row>
    <row r="594" spans="1:31" ht="15.75" customHeight="1" x14ac:dyDescent="0.25">
      <c r="A594" s="6"/>
      <c r="B594" s="6"/>
      <c r="C594" s="49"/>
      <c r="D594" s="14"/>
      <c r="E594" s="14"/>
      <c r="F594" s="14"/>
      <c r="G594" s="61"/>
      <c r="H594" s="15"/>
      <c r="I594" s="14"/>
      <c r="J594" s="14"/>
      <c r="K594" s="14"/>
      <c r="L594" s="14"/>
      <c r="M594" s="28">
        <f t="shared" si="284"/>
        <v>0</v>
      </c>
      <c r="N594" s="14"/>
      <c r="O594" s="38"/>
      <c r="P594" s="15"/>
      <c r="Q594" s="241"/>
      <c r="R594" s="38"/>
      <c r="S594" s="38"/>
      <c r="T594" s="38"/>
      <c r="U594" s="38"/>
      <c r="V594" s="38"/>
      <c r="W594" s="38"/>
      <c r="X594" s="189"/>
    </row>
    <row r="595" spans="1:31" ht="15.75" customHeight="1" x14ac:dyDescent="0.25">
      <c r="A595" s="6" t="s">
        <v>16</v>
      </c>
      <c r="B595" s="32" t="s">
        <v>20</v>
      </c>
      <c r="C595" s="32" t="s">
        <v>20</v>
      </c>
      <c r="D595" s="74">
        <v>141491</v>
      </c>
      <c r="E595" s="74">
        <v>21359</v>
      </c>
      <c r="F595" s="74">
        <v>2265</v>
      </c>
      <c r="G595" s="59">
        <f t="shared" ref="G595:G610" si="286">SUM(D595:F595)</f>
        <v>165115</v>
      </c>
      <c r="H595" s="90">
        <v>19330</v>
      </c>
      <c r="I595" s="112">
        <v>153041</v>
      </c>
      <c r="J595" s="112">
        <v>29146</v>
      </c>
      <c r="K595" s="112">
        <v>500</v>
      </c>
      <c r="L595" s="112">
        <f t="shared" ref="L595:L610" si="287">SUM(I595:K595)</f>
        <v>182687</v>
      </c>
      <c r="M595" s="116">
        <f t="shared" si="284"/>
        <v>17572</v>
      </c>
      <c r="N595" s="112"/>
      <c r="O595" s="102"/>
      <c r="P595" s="90"/>
      <c r="Q595" s="247"/>
      <c r="R595" s="102"/>
      <c r="S595" s="102"/>
      <c r="T595" s="102"/>
      <c r="U595" s="102"/>
      <c r="V595" s="102"/>
      <c r="W595" s="102"/>
      <c r="X595" s="179"/>
    </row>
    <row r="596" spans="1:31" ht="15.75" customHeight="1" x14ac:dyDescent="0.25">
      <c r="A596" s="6" t="s">
        <v>16</v>
      </c>
      <c r="B596" s="32" t="s">
        <v>20</v>
      </c>
      <c r="C596" s="17" t="s">
        <v>811</v>
      </c>
      <c r="D596" s="14"/>
      <c r="E596" s="14"/>
      <c r="F596" s="14">
        <v>1800</v>
      </c>
      <c r="G596" s="61">
        <f t="shared" si="286"/>
        <v>1800</v>
      </c>
      <c r="H596" s="15"/>
      <c r="I596" s="45"/>
      <c r="J596" s="45"/>
      <c r="K596" s="45"/>
      <c r="L596" s="45">
        <f t="shared" si="287"/>
        <v>0</v>
      </c>
      <c r="M596" s="115">
        <f t="shared" si="284"/>
        <v>-1800</v>
      </c>
      <c r="N596" s="45"/>
      <c r="O596" s="38"/>
      <c r="P596" s="15"/>
      <c r="Q596" s="241"/>
      <c r="R596" s="38"/>
      <c r="S596" s="38"/>
      <c r="T596" s="38"/>
      <c r="U596" s="38"/>
      <c r="V596" s="38"/>
      <c r="W596" s="38"/>
      <c r="X596" s="167"/>
    </row>
    <row r="597" spans="1:31" ht="15.75" customHeight="1" x14ac:dyDescent="0.25">
      <c r="A597" s="6" t="s">
        <v>16</v>
      </c>
      <c r="B597" s="32" t="s">
        <v>20</v>
      </c>
      <c r="C597" s="17" t="s">
        <v>812</v>
      </c>
      <c r="D597" s="18"/>
      <c r="E597" s="18"/>
      <c r="F597" s="18"/>
      <c r="G597" s="61">
        <f t="shared" si="286"/>
        <v>0</v>
      </c>
      <c r="H597" s="15"/>
      <c r="I597" s="110"/>
      <c r="J597" s="110"/>
      <c r="K597" s="110"/>
      <c r="L597" s="45">
        <f t="shared" si="287"/>
        <v>0</v>
      </c>
      <c r="M597" s="115">
        <f t="shared" si="284"/>
        <v>0</v>
      </c>
      <c r="N597" s="110"/>
      <c r="O597" s="168"/>
      <c r="P597" s="19"/>
      <c r="Q597" s="242"/>
      <c r="R597" s="168"/>
      <c r="S597" s="168">
        <v>9000</v>
      </c>
      <c r="T597" s="168">
        <v>12000</v>
      </c>
      <c r="U597" s="168"/>
      <c r="V597" s="168"/>
      <c r="W597" s="168"/>
      <c r="X597" s="169"/>
      <c r="Y597" s="280"/>
      <c r="Z597" s="16"/>
      <c r="AA597" s="16"/>
      <c r="AB597" s="16"/>
      <c r="AC597" s="16"/>
      <c r="AD597" s="16"/>
      <c r="AE597" s="16"/>
    </row>
    <row r="598" spans="1:31" ht="15.75" customHeight="1" x14ac:dyDescent="0.25">
      <c r="A598" s="6" t="s">
        <v>16</v>
      </c>
      <c r="B598" s="32" t="s">
        <v>20</v>
      </c>
      <c r="C598" s="17" t="s">
        <v>813</v>
      </c>
      <c r="D598" s="18"/>
      <c r="E598" s="18"/>
      <c r="F598" s="18"/>
      <c r="G598" s="61">
        <f t="shared" si="286"/>
        <v>0</v>
      </c>
      <c r="H598" s="15"/>
      <c r="I598" s="110"/>
      <c r="J598" s="110"/>
      <c r="K598" s="110"/>
      <c r="L598" s="45">
        <f t="shared" si="287"/>
        <v>0</v>
      </c>
      <c r="M598" s="115">
        <f t="shared" si="284"/>
        <v>0</v>
      </c>
      <c r="N598" s="110"/>
      <c r="O598" s="168"/>
      <c r="P598" s="19"/>
      <c r="Q598" s="242"/>
      <c r="R598" s="168"/>
      <c r="S598" s="168">
        <v>30498</v>
      </c>
      <c r="T598" s="168">
        <v>30498</v>
      </c>
      <c r="U598" s="168"/>
      <c r="V598" s="168"/>
      <c r="W598" s="168"/>
      <c r="X598" s="169"/>
      <c r="Y598" s="280"/>
      <c r="Z598" s="16"/>
      <c r="AA598" s="16"/>
      <c r="AB598" s="16"/>
      <c r="AC598" s="16"/>
      <c r="AD598" s="16"/>
      <c r="AE598" s="16"/>
    </row>
    <row r="599" spans="1:31" ht="15.75" customHeight="1" x14ac:dyDescent="0.25">
      <c r="A599" s="6" t="s">
        <v>16</v>
      </c>
      <c r="B599" s="32" t="s">
        <v>20</v>
      </c>
      <c r="C599" s="17" t="s">
        <v>814</v>
      </c>
      <c r="D599" s="18"/>
      <c r="E599" s="18"/>
      <c r="F599" s="18"/>
      <c r="G599" s="61">
        <f t="shared" si="286"/>
        <v>0</v>
      </c>
      <c r="H599" s="15"/>
      <c r="I599" s="110"/>
      <c r="J599" s="110"/>
      <c r="K599" s="110"/>
      <c r="L599" s="45">
        <f t="shared" si="287"/>
        <v>0</v>
      </c>
      <c r="M599" s="115">
        <f t="shared" si="284"/>
        <v>0</v>
      </c>
      <c r="N599" s="110"/>
      <c r="O599" s="168">
        <v>12800</v>
      </c>
      <c r="P599" s="19"/>
      <c r="Q599" s="242"/>
      <c r="R599" s="168"/>
      <c r="S599" s="168"/>
      <c r="T599" s="168"/>
      <c r="U599" s="168"/>
      <c r="V599" s="168"/>
      <c r="W599" s="168"/>
      <c r="X599" s="169"/>
      <c r="Y599" s="280"/>
      <c r="Z599" s="16"/>
      <c r="AA599" s="16"/>
      <c r="AB599" s="16"/>
      <c r="AC599" s="16"/>
      <c r="AD599" s="16"/>
      <c r="AE599" s="16"/>
    </row>
    <row r="600" spans="1:31" ht="15.75" customHeight="1" x14ac:dyDescent="0.25">
      <c r="A600" s="6" t="s">
        <v>16</v>
      </c>
      <c r="B600" s="32" t="s">
        <v>20</v>
      </c>
      <c r="C600" s="17" t="s">
        <v>815</v>
      </c>
      <c r="D600" s="18"/>
      <c r="E600" s="18"/>
      <c r="F600" s="18"/>
      <c r="G600" s="61">
        <f t="shared" si="286"/>
        <v>0</v>
      </c>
      <c r="H600" s="15"/>
      <c r="I600" s="110"/>
      <c r="J600" s="110"/>
      <c r="K600" s="110"/>
      <c r="L600" s="45">
        <f t="shared" si="287"/>
        <v>0</v>
      </c>
      <c r="M600" s="115">
        <f t="shared" si="284"/>
        <v>0</v>
      </c>
      <c r="N600" s="110"/>
      <c r="O600" s="168"/>
      <c r="P600" s="19"/>
      <c r="Q600" s="242"/>
      <c r="R600" s="168"/>
      <c r="S600" s="168"/>
      <c r="T600" s="168"/>
      <c r="U600" s="168"/>
      <c r="V600" s="168"/>
      <c r="W600" s="168"/>
      <c r="X600" s="169"/>
      <c r="Y600" s="280"/>
      <c r="Z600" s="16"/>
      <c r="AA600" s="16"/>
      <c r="AB600" s="16"/>
      <c r="AC600" s="16"/>
      <c r="AD600" s="16"/>
      <c r="AE600" s="16"/>
    </row>
    <row r="601" spans="1:31" ht="15.75" customHeight="1" x14ac:dyDescent="0.25">
      <c r="A601" s="109"/>
      <c r="B601" s="13"/>
      <c r="C601" s="31" t="s">
        <v>816</v>
      </c>
      <c r="D601" s="14"/>
      <c r="E601" s="14"/>
      <c r="F601" s="14"/>
      <c r="G601" s="61">
        <f t="shared" ref="G601:G609" si="288">SUM(D601:F601)</f>
        <v>0</v>
      </c>
      <c r="H601" s="15"/>
      <c r="I601" s="14"/>
      <c r="J601" s="14"/>
      <c r="K601" s="14"/>
      <c r="L601" s="14">
        <f t="shared" ref="L601:L609" si="289">SUM(I601:K601)</f>
        <v>0</v>
      </c>
      <c r="M601" s="62">
        <f t="shared" ref="M601:M609" si="290">(L601-G601)</f>
        <v>0</v>
      </c>
      <c r="N601" s="14"/>
      <c r="O601" s="38"/>
      <c r="P601" s="15"/>
      <c r="Q601" s="241"/>
      <c r="R601" s="38"/>
      <c r="S601" s="38"/>
      <c r="T601" s="38"/>
      <c r="U601" s="38"/>
      <c r="V601" s="38"/>
      <c r="W601" s="38"/>
      <c r="X601" s="167"/>
      <c r="Y601" s="280"/>
      <c r="Z601" s="16"/>
      <c r="AA601" s="16"/>
      <c r="AB601" s="16"/>
      <c r="AC601" s="16"/>
      <c r="AD601" s="16"/>
      <c r="AE601" s="16"/>
    </row>
    <row r="602" spans="1:31" ht="15.75" customHeight="1" x14ac:dyDescent="0.25">
      <c r="A602" s="109"/>
      <c r="B602" s="13"/>
      <c r="C602" s="13" t="s">
        <v>817</v>
      </c>
      <c r="D602" s="14"/>
      <c r="E602" s="14"/>
      <c r="F602" s="14"/>
      <c r="G602" s="61">
        <f t="shared" si="288"/>
        <v>0</v>
      </c>
      <c r="H602" s="15"/>
      <c r="I602" s="14"/>
      <c r="J602" s="14"/>
      <c r="K602" s="14"/>
      <c r="L602" s="14">
        <f t="shared" si="289"/>
        <v>0</v>
      </c>
      <c r="M602" s="62">
        <f t="shared" si="290"/>
        <v>0</v>
      </c>
      <c r="N602" s="14"/>
      <c r="O602" s="38"/>
      <c r="P602" s="15">
        <v>4325</v>
      </c>
      <c r="Q602" s="241"/>
      <c r="R602" s="38"/>
      <c r="S602" s="38"/>
      <c r="T602" s="38"/>
      <c r="U602" s="38"/>
      <c r="V602" s="38"/>
      <c r="W602" s="38"/>
      <c r="X602" s="167"/>
      <c r="Y602" s="280"/>
      <c r="Z602" s="16"/>
      <c r="AA602" s="16"/>
      <c r="AB602" s="16"/>
      <c r="AC602" s="16"/>
      <c r="AD602" s="16"/>
      <c r="AE602" s="16"/>
    </row>
    <row r="603" spans="1:31" ht="15.75" customHeight="1" x14ac:dyDescent="0.25">
      <c r="A603" s="109"/>
      <c r="B603" s="13"/>
      <c r="C603" s="13" t="s">
        <v>818</v>
      </c>
      <c r="D603" s="14"/>
      <c r="E603" s="14"/>
      <c r="F603" s="14"/>
      <c r="G603" s="61">
        <f t="shared" si="288"/>
        <v>0</v>
      </c>
      <c r="H603" s="15"/>
      <c r="I603" s="14"/>
      <c r="J603" s="14"/>
      <c r="K603" s="14"/>
      <c r="L603" s="14">
        <f t="shared" si="289"/>
        <v>0</v>
      </c>
      <c r="M603" s="62">
        <f t="shared" si="290"/>
        <v>0</v>
      </c>
      <c r="N603" s="14"/>
      <c r="O603" s="38"/>
      <c r="P603" s="15">
        <v>4622</v>
      </c>
      <c r="Q603" s="241"/>
      <c r="R603" s="38"/>
      <c r="S603" s="38"/>
      <c r="T603" s="38"/>
      <c r="U603" s="38"/>
      <c r="V603" s="38"/>
      <c r="W603" s="38"/>
      <c r="X603" s="167"/>
      <c r="Y603" s="280"/>
      <c r="Z603" s="16"/>
      <c r="AA603" s="16"/>
      <c r="AB603" s="16"/>
      <c r="AC603" s="16"/>
      <c r="AD603" s="16"/>
      <c r="AE603" s="16"/>
    </row>
    <row r="604" spans="1:31" ht="15.75" customHeight="1" x14ac:dyDescent="0.25">
      <c r="A604" s="109"/>
      <c r="B604" s="13"/>
      <c r="C604" s="13" t="s">
        <v>819</v>
      </c>
      <c r="D604" s="14"/>
      <c r="E604" s="14"/>
      <c r="F604" s="14"/>
      <c r="G604" s="61">
        <f t="shared" si="288"/>
        <v>0</v>
      </c>
      <c r="H604" s="15"/>
      <c r="I604" s="14"/>
      <c r="J604" s="14"/>
      <c r="K604" s="14"/>
      <c r="L604" s="14">
        <f t="shared" si="289"/>
        <v>0</v>
      </c>
      <c r="M604" s="62">
        <f t="shared" si="290"/>
        <v>0</v>
      </c>
      <c r="N604" s="14"/>
      <c r="O604" s="38"/>
      <c r="P604" s="15">
        <v>2000</v>
      </c>
      <c r="Q604" s="241"/>
      <c r="R604" s="38"/>
      <c r="S604" s="38"/>
      <c r="T604" s="38"/>
      <c r="U604" s="38"/>
      <c r="V604" s="38"/>
      <c r="W604" s="38"/>
      <c r="X604" s="167"/>
      <c r="Y604" s="280"/>
      <c r="Z604" s="16"/>
      <c r="AA604" s="16"/>
      <c r="AB604" s="16"/>
      <c r="AC604" s="16"/>
      <c r="AD604" s="16"/>
      <c r="AE604" s="16"/>
    </row>
    <row r="605" spans="1:31" ht="15.75" customHeight="1" x14ac:dyDescent="0.25">
      <c r="A605" s="109"/>
      <c r="B605" s="13"/>
      <c r="C605" s="13" t="s">
        <v>820</v>
      </c>
      <c r="D605" s="14"/>
      <c r="E605" s="14"/>
      <c r="F605" s="14"/>
      <c r="G605" s="61">
        <f t="shared" si="288"/>
        <v>0</v>
      </c>
      <c r="H605" s="15"/>
      <c r="I605" s="14"/>
      <c r="J605" s="14"/>
      <c r="K605" s="14"/>
      <c r="L605" s="14">
        <f t="shared" si="289"/>
        <v>0</v>
      </c>
      <c r="M605" s="62">
        <f t="shared" si="290"/>
        <v>0</v>
      </c>
      <c r="N605" s="14"/>
      <c r="O605" s="38"/>
      <c r="P605" s="15">
        <v>800</v>
      </c>
      <c r="Q605" s="241"/>
      <c r="R605" s="38"/>
      <c r="S605" s="38"/>
      <c r="T605" s="38"/>
      <c r="U605" s="38"/>
      <c r="V605" s="38"/>
      <c r="W605" s="38"/>
      <c r="X605" s="167"/>
      <c r="Y605" s="280"/>
      <c r="Z605" s="16"/>
      <c r="AA605" s="16"/>
      <c r="AB605" s="16"/>
      <c r="AC605" s="16"/>
      <c r="AD605" s="16"/>
      <c r="AE605" s="16"/>
    </row>
    <row r="606" spans="1:31" ht="15.75" customHeight="1" x14ac:dyDescent="0.25">
      <c r="A606" s="109"/>
      <c r="B606" s="13"/>
      <c r="C606" s="13" t="s">
        <v>821</v>
      </c>
      <c r="D606" s="14"/>
      <c r="E606" s="14"/>
      <c r="F606" s="14"/>
      <c r="G606" s="61">
        <f t="shared" si="288"/>
        <v>0</v>
      </c>
      <c r="H606" s="15"/>
      <c r="I606" s="14"/>
      <c r="J606" s="14"/>
      <c r="K606" s="14"/>
      <c r="L606" s="14">
        <f t="shared" si="289"/>
        <v>0</v>
      </c>
      <c r="M606" s="62">
        <f t="shared" si="290"/>
        <v>0</v>
      </c>
      <c r="N606" s="14"/>
      <c r="O606" s="38"/>
      <c r="P606" s="15">
        <v>800</v>
      </c>
      <c r="Q606" s="241"/>
      <c r="R606" s="38"/>
      <c r="S606" s="38"/>
      <c r="T606" s="38"/>
      <c r="U606" s="38"/>
      <c r="V606" s="38"/>
      <c r="W606" s="38"/>
      <c r="X606" s="167"/>
      <c r="Y606" s="280"/>
      <c r="Z606" s="16"/>
      <c r="AA606" s="16"/>
      <c r="AB606" s="16"/>
      <c r="AC606" s="16"/>
      <c r="AD606" s="16"/>
      <c r="AE606" s="16"/>
    </row>
    <row r="607" spans="1:31" ht="15.75" customHeight="1" x14ac:dyDescent="0.25">
      <c r="A607" s="109"/>
      <c r="B607" s="13"/>
      <c r="C607" s="13" t="s">
        <v>822</v>
      </c>
      <c r="D607" s="14"/>
      <c r="E607" s="14"/>
      <c r="F607" s="14"/>
      <c r="G607" s="61">
        <f t="shared" si="288"/>
        <v>0</v>
      </c>
      <c r="H607" s="15"/>
      <c r="I607" s="14"/>
      <c r="J607" s="14"/>
      <c r="K607" s="14"/>
      <c r="L607" s="14">
        <f t="shared" si="289"/>
        <v>0</v>
      </c>
      <c r="M607" s="62">
        <f t="shared" si="290"/>
        <v>0</v>
      </c>
      <c r="N607" s="14"/>
      <c r="O607" s="38"/>
      <c r="P607" s="15">
        <v>120</v>
      </c>
      <c r="Q607" s="241"/>
      <c r="R607" s="38"/>
      <c r="S607" s="38"/>
      <c r="T607" s="38"/>
      <c r="U607" s="38"/>
      <c r="V607" s="38"/>
      <c r="W607" s="38"/>
      <c r="X607" s="167"/>
      <c r="Y607" s="280"/>
      <c r="Z607" s="16"/>
      <c r="AA607" s="16"/>
      <c r="AB607" s="16"/>
      <c r="AC607" s="16"/>
      <c r="AD607" s="16"/>
      <c r="AE607" s="16"/>
    </row>
    <row r="608" spans="1:31" ht="15.75" customHeight="1" x14ac:dyDescent="0.25">
      <c r="A608" s="109"/>
      <c r="B608" s="13"/>
      <c r="C608" s="13" t="s">
        <v>823</v>
      </c>
      <c r="D608" s="14"/>
      <c r="E608" s="14"/>
      <c r="F608" s="14"/>
      <c r="G608" s="61">
        <f t="shared" si="288"/>
        <v>0</v>
      </c>
      <c r="H608" s="15"/>
      <c r="I608" s="14"/>
      <c r="J608" s="14"/>
      <c r="K608" s="14"/>
      <c r="L608" s="14">
        <f t="shared" si="289"/>
        <v>0</v>
      </c>
      <c r="M608" s="62">
        <f t="shared" si="290"/>
        <v>0</v>
      </c>
      <c r="N608" s="14"/>
      <c r="O608" s="38"/>
      <c r="P608" s="15">
        <v>1200</v>
      </c>
      <c r="Q608" s="241"/>
      <c r="R608" s="38"/>
      <c r="S608" s="38"/>
      <c r="T608" s="38"/>
      <c r="U608" s="38"/>
      <c r="V608" s="38"/>
      <c r="W608" s="38"/>
      <c r="X608" s="167"/>
      <c r="Y608" s="280"/>
      <c r="Z608" s="16"/>
      <c r="AA608" s="16"/>
      <c r="AB608" s="16"/>
      <c r="AC608" s="16"/>
      <c r="AD608" s="16"/>
      <c r="AE608" s="16"/>
    </row>
    <row r="609" spans="1:31" ht="15.75" customHeight="1" x14ac:dyDescent="0.25">
      <c r="A609" s="109"/>
      <c r="B609" s="13"/>
      <c r="C609" s="13"/>
      <c r="D609" s="14"/>
      <c r="E609" s="14"/>
      <c r="F609" s="14"/>
      <c r="G609" s="61">
        <f t="shared" si="288"/>
        <v>0</v>
      </c>
      <c r="H609" s="15"/>
      <c r="I609" s="14"/>
      <c r="J609" s="14"/>
      <c r="K609" s="14"/>
      <c r="L609" s="14">
        <f t="shared" si="289"/>
        <v>0</v>
      </c>
      <c r="M609" s="62">
        <f t="shared" si="290"/>
        <v>0</v>
      </c>
      <c r="N609" s="14"/>
      <c r="O609" s="38"/>
      <c r="P609" s="15"/>
      <c r="Q609" s="241"/>
      <c r="R609" s="38"/>
      <c r="S609" s="38"/>
      <c r="T609" s="38"/>
      <c r="U609" s="38"/>
      <c r="V609" s="38"/>
      <c r="W609" s="38"/>
      <c r="X609" s="167"/>
      <c r="Y609" s="280"/>
      <c r="Z609" s="16"/>
      <c r="AA609" s="16"/>
      <c r="AB609" s="16"/>
      <c r="AC609" s="16"/>
      <c r="AD609" s="16"/>
      <c r="AE609" s="16"/>
    </row>
    <row r="610" spans="1:31" ht="15.75" customHeight="1" x14ac:dyDescent="0.25">
      <c r="A610" s="6" t="s">
        <v>16</v>
      </c>
      <c r="B610" s="29" t="s">
        <v>17</v>
      </c>
      <c r="C610" s="29" t="s">
        <v>17</v>
      </c>
      <c r="D610" s="14">
        <v>6180</v>
      </c>
      <c r="E610" s="14">
        <v>3231</v>
      </c>
      <c r="F610" s="14"/>
      <c r="G610" s="61">
        <f t="shared" si="286"/>
        <v>9411</v>
      </c>
      <c r="H610" s="15">
        <v>717</v>
      </c>
      <c r="I610" s="45">
        <v>6567</v>
      </c>
      <c r="J610" s="45">
        <v>4147</v>
      </c>
      <c r="K610" s="45"/>
      <c r="L610" s="45">
        <f t="shared" si="287"/>
        <v>10714</v>
      </c>
      <c r="M610" s="115">
        <f t="shared" si="284"/>
        <v>1303</v>
      </c>
      <c r="N610" s="45"/>
      <c r="O610" s="38"/>
      <c r="P610" s="15"/>
      <c r="Q610" s="241"/>
      <c r="R610" s="38"/>
      <c r="S610" s="38"/>
      <c r="T610" s="38"/>
      <c r="U610" s="38"/>
      <c r="V610" s="38"/>
      <c r="W610" s="38"/>
      <c r="X610" s="167"/>
    </row>
    <row r="611" spans="1:31" ht="15.75" customHeight="1" x14ac:dyDescent="0.25">
      <c r="A611" s="109"/>
      <c r="B611" s="13"/>
      <c r="C611" s="31" t="s">
        <v>816</v>
      </c>
      <c r="D611" s="14"/>
      <c r="E611" s="14"/>
      <c r="F611" s="14"/>
      <c r="G611" s="61">
        <f>SUM(D611:F611)</f>
        <v>0</v>
      </c>
      <c r="H611" s="15"/>
      <c r="I611" s="14"/>
      <c r="J611" s="14"/>
      <c r="K611" s="14"/>
      <c r="L611" s="14">
        <f>SUM(I611:K611)</f>
        <v>0</v>
      </c>
      <c r="M611" s="62">
        <f>(L611-G611)</f>
        <v>0</v>
      </c>
      <c r="N611" s="14"/>
      <c r="O611" s="38"/>
      <c r="P611" s="15"/>
      <c r="Q611" s="241"/>
      <c r="R611" s="38"/>
      <c r="S611" s="38"/>
      <c r="T611" s="38"/>
      <c r="U611" s="38"/>
      <c r="V611" s="38"/>
      <c r="W611" s="38"/>
      <c r="X611" s="167"/>
      <c r="Y611" s="280"/>
      <c r="Z611" s="16"/>
      <c r="AA611" s="16"/>
      <c r="AB611" s="16"/>
      <c r="AC611" s="16"/>
      <c r="AD611" s="16"/>
      <c r="AE611" s="16"/>
    </row>
    <row r="612" spans="1:31" ht="15.75" customHeight="1" x14ac:dyDescent="0.25">
      <c r="A612" s="109"/>
      <c r="B612" s="13"/>
      <c r="C612" s="117" t="s">
        <v>824</v>
      </c>
      <c r="D612" s="14"/>
      <c r="E612" s="14"/>
      <c r="F612" s="14"/>
      <c r="G612" s="61">
        <f>SUM(D612:F612)</f>
        <v>0</v>
      </c>
      <c r="H612" s="15"/>
      <c r="I612" s="14"/>
      <c r="J612" s="14"/>
      <c r="K612" s="14"/>
      <c r="L612" s="14">
        <f>SUM(I612:K612)</f>
        <v>0</v>
      </c>
      <c r="M612" s="62">
        <f>(L612-G612)</f>
        <v>0</v>
      </c>
      <c r="N612" s="14"/>
      <c r="O612" s="38"/>
      <c r="P612" s="15">
        <v>650</v>
      </c>
      <c r="Q612" s="241"/>
      <c r="R612" s="38"/>
      <c r="S612" s="38"/>
      <c r="T612" s="38"/>
      <c r="U612" s="38"/>
      <c r="V612" s="38"/>
      <c r="W612" s="38"/>
      <c r="X612" s="167"/>
      <c r="Y612" s="280"/>
      <c r="Z612" s="16"/>
      <c r="AA612" s="16"/>
      <c r="AB612" s="16"/>
      <c r="AC612" s="16"/>
      <c r="AD612" s="16"/>
      <c r="AE612" s="16"/>
    </row>
    <row r="613" spans="1:31" ht="15.75" customHeight="1" x14ac:dyDescent="0.25">
      <c r="A613" s="109"/>
      <c r="B613" s="13"/>
      <c r="C613" s="29" t="s">
        <v>378</v>
      </c>
      <c r="D613" s="14"/>
      <c r="E613" s="14"/>
      <c r="F613" s="14"/>
      <c r="G613" s="61">
        <f>SUM(D613:F613)</f>
        <v>0</v>
      </c>
      <c r="H613" s="15"/>
      <c r="I613" s="45"/>
      <c r="J613" s="45">
        <v>3101</v>
      </c>
      <c r="K613" s="45"/>
      <c r="L613" s="45">
        <f>SUM(I613:K613)</f>
        <v>3101</v>
      </c>
      <c r="M613" s="115">
        <f>(L613-G613)</f>
        <v>3101</v>
      </c>
      <c r="N613" s="45"/>
      <c r="O613" s="38"/>
      <c r="P613" s="15"/>
      <c r="Q613" s="241"/>
      <c r="R613" s="38"/>
      <c r="S613" s="38"/>
      <c r="T613" s="38"/>
      <c r="U613" s="38"/>
      <c r="V613" s="38"/>
      <c r="W613" s="38"/>
      <c r="X613" s="167"/>
      <c r="Y613" s="280"/>
      <c r="Z613" s="16"/>
      <c r="AA613" s="16"/>
      <c r="AB613" s="16"/>
      <c r="AC613" s="16"/>
      <c r="AD613" s="16"/>
      <c r="AE613" s="16"/>
    </row>
    <row r="614" spans="1:31" ht="15.75" customHeight="1" x14ac:dyDescent="0.25">
      <c r="A614" s="6" t="s">
        <v>16</v>
      </c>
      <c r="B614" s="29" t="s">
        <v>17</v>
      </c>
      <c r="C614" s="17" t="s">
        <v>825</v>
      </c>
      <c r="D614" s="18"/>
      <c r="E614" s="18"/>
      <c r="F614" s="18"/>
      <c r="G614" s="61">
        <f t="shared" ref="G614" si="291">SUM(D614:F614)</f>
        <v>0</v>
      </c>
      <c r="H614" s="15"/>
      <c r="I614" s="110"/>
      <c r="J614" s="110"/>
      <c r="K614" s="110"/>
      <c r="L614" s="45">
        <f t="shared" ref="L614" si="292">SUM(I614:K614)</f>
        <v>0</v>
      </c>
      <c r="M614" s="115">
        <f t="shared" ref="M614" si="293">L614-G614</f>
        <v>0</v>
      </c>
      <c r="N614" s="110"/>
      <c r="O614" s="168"/>
      <c r="P614" s="19"/>
      <c r="Q614" s="242"/>
      <c r="R614" s="168"/>
      <c r="S614" s="168"/>
      <c r="T614" s="168"/>
      <c r="U614" s="168">
        <v>267114</v>
      </c>
      <c r="V614" s="168">
        <v>53512</v>
      </c>
      <c r="W614" s="168">
        <v>456</v>
      </c>
      <c r="X614" s="169">
        <v>213146</v>
      </c>
      <c r="Y614" s="280"/>
      <c r="Z614" s="16"/>
      <c r="AA614" s="16"/>
      <c r="AB614" s="16"/>
      <c r="AC614" s="16"/>
      <c r="AD614" s="16"/>
      <c r="AE614" s="16"/>
    </row>
    <row r="615" spans="1:31" ht="15.75" customHeight="1" x14ac:dyDescent="0.25">
      <c r="A615" s="109"/>
      <c r="B615" s="13"/>
      <c r="C615" s="17" t="s">
        <v>826</v>
      </c>
      <c r="D615" s="14"/>
      <c r="E615" s="14"/>
      <c r="F615" s="14"/>
      <c r="G615" s="61">
        <f>SUM(D615:F615)</f>
        <v>0</v>
      </c>
      <c r="H615" s="15"/>
      <c r="I615" s="14"/>
      <c r="J615" s="14"/>
      <c r="K615" s="14"/>
      <c r="L615" s="14">
        <f>SUM(I615:K615)</f>
        <v>0</v>
      </c>
      <c r="M615" s="62">
        <f>(L615-G615)</f>
        <v>0</v>
      </c>
      <c r="N615" s="14"/>
      <c r="O615" s="38"/>
      <c r="P615" s="15"/>
      <c r="Q615" s="241">
        <v>4237</v>
      </c>
      <c r="R615" s="38"/>
      <c r="S615" s="38"/>
      <c r="T615" s="38"/>
      <c r="U615" s="38"/>
      <c r="V615" s="38"/>
      <c r="W615" s="38"/>
      <c r="X615" s="167"/>
      <c r="Y615" s="280"/>
      <c r="Z615" s="16"/>
      <c r="AA615" s="16"/>
      <c r="AB615" s="16"/>
      <c r="AC615" s="16"/>
      <c r="AD615" s="16"/>
      <c r="AE615" s="16"/>
    </row>
    <row r="616" spans="1:31" ht="15.75" customHeight="1" x14ac:dyDescent="0.25">
      <c r="A616" s="6" t="s">
        <v>16</v>
      </c>
      <c r="B616" s="29" t="s">
        <v>28</v>
      </c>
      <c r="C616" s="29" t="s">
        <v>28</v>
      </c>
      <c r="D616" s="18">
        <v>20238</v>
      </c>
      <c r="E616" s="14">
        <v>3813</v>
      </c>
      <c r="F616" s="18"/>
      <c r="G616" s="61">
        <f t="shared" ref="G616:G631" si="294">SUM(D616:F616)</f>
        <v>24051</v>
      </c>
      <c r="H616" s="15">
        <v>2550</v>
      </c>
      <c r="I616" s="45">
        <v>20238</v>
      </c>
      <c r="J616" s="45">
        <v>9996</v>
      </c>
      <c r="K616" s="45"/>
      <c r="L616" s="45">
        <f t="shared" ref="L616:L631" si="295">SUM(I616:K616)</f>
        <v>30234</v>
      </c>
      <c r="M616" s="115">
        <f t="shared" ref="M616:M631" si="296">L616-G616</f>
        <v>6183</v>
      </c>
      <c r="N616" s="110"/>
      <c r="O616" s="168"/>
      <c r="P616" s="19"/>
      <c r="Q616" s="242"/>
      <c r="R616" s="168"/>
      <c r="S616" s="168"/>
      <c r="T616" s="168"/>
      <c r="U616" s="168"/>
      <c r="V616" s="168"/>
      <c r="W616" s="168"/>
      <c r="X616" s="169"/>
      <c r="Y616" s="280"/>
      <c r="Z616" s="16"/>
      <c r="AA616" s="16"/>
      <c r="AB616" s="16"/>
      <c r="AC616" s="16"/>
      <c r="AD616" s="16"/>
      <c r="AE616" s="16"/>
    </row>
    <row r="617" spans="1:31" ht="15.75" customHeight="1" x14ac:dyDescent="0.25">
      <c r="A617" s="6" t="s">
        <v>16</v>
      </c>
      <c r="B617" s="29" t="s">
        <v>28</v>
      </c>
      <c r="C617" s="17" t="s">
        <v>827</v>
      </c>
      <c r="D617" s="18"/>
      <c r="E617" s="18"/>
      <c r="F617" s="18"/>
      <c r="G617" s="61">
        <f t="shared" si="294"/>
        <v>0</v>
      </c>
      <c r="H617" s="15"/>
      <c r="I617" s="18"/>
      <c r="J617" s="18"/>
      <c r="K617" s="18"/>
      <c r="L617" s="14">
        <f t="shared" si="295"/>
        <v>0</v>
      </c>
      <c r="M617" s="62">
        <f t="shared" si="296"/>
        <v>0</v>
      </c>
      <c r="N617" s="18"/>
      <c r="O617" s="159"/>
      <c r="P617" s="2"/>
      <c r="Q617" s="1"/>
      <c r="R617" s="159"/>
      <c r="S617" s="168"/>
      <c r="T617" s="168"/>
      <c r="U617" s="168"/>
      <c r="V617" s="168"/>
      <c r="W617" s="168"/>
      <c r="X617" s="169"/>
      <c r="Y617" s="280"/>
      <c r="Z617" s="16"/>
      <c r="AA617" s="16"/>
      <c r="AB617" s="16"/>
      <c r="AC617" s="16"/>
      <c r="AD617" s="16"/>
      <c r="AE617" s="16"/>
    </row>
    <row r="618" spans="1:31" ht="15.75" customHeight="1" x14ac:dyDescent="0.25">
      <c r="A618" s="6" t="s">
        <v>16</v>
      </c>
      <c r="B618" s="29" t="s">
        <v>28</v>
      </c>
      <c r="C618" s="17" t="s">
        <v>828</v>
      </c>
      <c r="D618" s="18"/>
      <c r="E618" s="18"/>
      <c r="F618" s="18"/>
      <c r="G618" s="61">
        <f t="shared" si="294"/>
        <v>0</v>
      </c>
      <c r="H618" s="15"/>
      <c r="I618" s="18"/>
      <c r="J618" s="18"/>
      <c r="K618" s="18"/>
      <c r="L618" s="14">
        <f t="shared" si="295"/>
        <v>0</v>
      </c>
      <c r="M618" s="62">
        <f t="shared" si="296"/>
        <v>0</v>
      </c>
      <c r="N618" s="18"/>
      <c r="O618" s="159"/>
      <c r="P618" s="2"/>
      <c r="Q618" s="1"/>
      <c r="R618" s="159"/>
      <c r="S618" s="168"/>
      <c r="T618" s="168"/>
      <c r="U618" s="168"/>
      <c r="V618" s="168"/>
      <c r="W618" s="168"/>
      <c r="X618" s="169"/>
      <c r="Y618" s="280"/>
      <c r="Z618" s="16"/>
      <c r="AA618" s="16"/>
      <c r="AB618" s="16"/>
      <c r="AC618" s="16"/>
      <c r="AD618" s="16"/>
      <c r="AE618" s="16"/>
    </row>
    <row r="619" spans="1:31" ht="15.75" customHeight="1" x14ac:dyDescent="0.25">
      <c r="A619" s="6" t="s">
        <v>16</v>
      </c>
      <c r="B619" s="29" t="s">
        <v>28</v>
      </c>
      <c r="C619" s="17" t="s">
        <v>829</v>
      </c>
      <c r="D619" s="18"/>
      <c r="E619" s="18"/>
      <c r="F619" s="18"/>
      <c r="G619" s="61">
        <f t="shared" si="294"/>
        <v>0</v>
      </c>
      <c r="H619" s="15"/>
      <c r="I619" s="18"/>
      <c r="J619" s="18"/>
      <c r="K619" s="18"/>
      <c r="L619" s="14">
        <f t="shared" si="295"/>
        <v>0</v>
      </c>
      <c r="M619" s="62">
        <f t="shared" si="296"/>
        <v>0</v>
      </c>
      <c r="N619" s="18"/>
      <c r="O619" s="159"/>
      <c r="P619" s="2"/>
      <c r="Q619" s="1"/>
      <c r="R619" s="159"/>
      <c r="S619" s="168"/>
      <c r="T619" s="168"/>
      <c r="U619" s="168"/>
      <c r="V619" s="168"/>
      <c r="W619" s="168"/>
      <c r="X619" s="169"/>
      <c r="Y619" s="280"/>
      <c r="Z619" s="16"/>
      <c r="AA619" s="16"/>
      <c r="AB619" s="16"/>
      <c r="AC619" s="16"/>
      <c r="AD619" s="16"/>
      <c r="AE619" s="16"/>
    </row>
    <row r="620" spans="1:31" ht="15.75" customHeight="1" x14ac:dyDescent="0.25">
      <c r="A620" s="6" t="s">
        <v>16</v>
      </c>
      <c r="B620" s="29" t="s">
        <v>28</v>
      </c>
      <c r="C620" s="17" t="s">
        <v>830</v>
      </c>
      <c r="D620" s="18"/>
      <c r="E620" s="18"/>
      <c r="F620" s="18"/>
      <c r="G620" s="61">
        <f t="shared" si="294"/>
        <v>0</v>
      </c>
      <c r="H620" s="15"/>
      <c r="I620" s="18"/>
      <c r="J620" s="18"/>
      <c r="K620" s="18"/>
      <c r="L620" s="14">
        <f t="shared" si="295"/>
        <v>0</v>
      </c>
      <c r="M620" s="62">
        <f t="shared" si="296"/>
        <v>0</v>
      </c>
      <c r="N620" s="18"/>
      <c r="O620" s="159"/>
      <c r="P620" s="2"/>
      <c r="Q620" s="1"/>
      <c r="R620" s="159"/>
      <c r="S620" s="168"/>
      <c r="T620" s="168"/>
      <c r="U620" s="168"/>
      <c r="V620" s="168"/>
      <c r="W620" s="168"/>
      <c r="X620" s="169"/>
      <c r="Y620" s="280"/>
      <c r="Z620" s="16"/>
      <c r="AA620" s="16"/>
      <c r="AB620" s="16"/>
      <c r="AC620" s="16"/>
      <c r="AD620" s="16"/>
      <c r="AE620" s="16"/>
    </row>
    <row r="621" spans="1:31" ht="15.75" customHeight="1" x14ac:dyDescent="0.25">
      <c r="A621" s="6" t="s">
        <v>16</v>
      </c>
      <c r="B621" s="29" t="s">
        <v>28</v>
      </c>
      <c r="C621" s="17" t="s">
        <v>831</v>
      </c>
      <c r="D621" s="18"/>
      <c r="E621" s="18"/>
      <c r="F621" s="18"/>
      <c r="G621" s="61">
        <f t="shared" si="294"/>
        <v>0</v>
      </c>
      <c r="H621" s="15"/>
      <c r="I621" s="18"/>
      <c r="J621" s="18"/>
      <c r="K621" s="18"/>
      <c r="L621" s="14">
        <f t="shared" si="295"/>
        <v>0</v>
      </c>
      <c r="M621" s="62">
        <f t="shared" si="296"/>
        <v>0</v>
      </c>
      <c r="N621" s="18"/>
      <c r="O621" s="159"/>
      <c r="P621" s="2"/>
      <c r="Q621" s="1"/>
      <c r="R621" s="159"/>
      <c r="S621" s="168"/>
      <c r="T621" s="168"/>
      <c r="U621" s="168"/>
      <c r="V621" s="168"/>
      <c r="W621" s="168"/>
      <c r="X621" s="169"/>
      <c r="Y621" s="280"/>
      <c r="Z621" s="16"/>
      <c r="AA621" s="16"/>
      <c r="AB621" s="16"/>
      <c r="AC621" s="16"/>
      <c r="AD621" s="16"/>
      <c r="AE621" s="16"/>
    </row>
    <row r="622" spans="1:31" ht="15.75" customHeight="1" x14ac:dyDescent="0.25">
      <c r="A622" s="6" t="s">
        <v>16</v>
      </c>
      <c r="B622" s="29" t="s">
        <v>28</v>
      </c>
      <c r="C622" s="17" t="s">
        <v>832</v>
      </c>
      <c r="D622" s="18"/>
      <c r="E622" s="18"/>
      <c r="F622" s="18"/>
      <c r="G622" s="61">
        <f t="shared" si="294"/>
        <v>0</v>
      </c>
      <c r="H622" s="15"/>
      <c r="I622" s="18"/>
      <c r="J622" s="18"/>
      <c r="K622" s="18"/>
      <c r="L622" s="14">
        <f t="shared" si="295"/>
        <v>0</v>
      </c>
      <c r="M622" s="62">
        <f t="shared" si="296"/>
        <v>0</v>
      </c>
      <c r="N622" s="18"/>
      <c r="O622" s="159"/>
      <c r="P622" s="2"/>
      <c r="Q622" s="1"/>
      <c r="R622" s="159"/>
      <c r="S622" s="168"/>
      <c r="T622" s="168"/>
      <c r="U622" s="168"/>
      <c r="V622" s="168"/>
      <c r="W622" s="168"/>
      <c r="X622" s="169"/>
      <c r="Y622" s="280"/>
      <c r="Z622" s="16"/>
      <c r="AA622" s="16"/>
      <c r="AB622" s="16"/>
      <c r="AC622" s="16"/>
      <c r="AD622" s="16"/>
      <c r="AE622" s="16"/>
    </row>
    <row r="623" spans="1:31" ht="15.75" customHeight="1" x14ac:dyDescent="0.25">
      <c r="A623" s="6" t="s">
        <v>16</v>
      </c>
      <c r="B623" s="29" t="s">
        <v>28</v>
      </c>
      <c r="C623" s="17" t="s">
        <v>833</v>
      </c>
      <c r="D623" s="18"/>
      <c r="E623" s="18"/>
      <c r="F623" s="18"/>
      <c r="G623" s="61">
        <f t="shared" si="294"/>
        <v>0</v>
      </c>
      <c r="H623" s="15"/>
      <c r="I623" s="18"/>
      <c r="J623" s="18"/>
      <c r="K623" s="18"/>
      <c r="L623" s="14">
        <f t="shared" si="295"/>
        <v>0</v>
      </c>
      <c r="M623" s="62">
        <f t="shared" si="296"/>
        <v>0</v>
      </c>
      <c r="N623" s="18"/>
      <c r="O623" s="159"/>
      <c r="P623" s="2"/>
      <c r="Q623" s="1"/>
      <c r="R623" s="159"/>
      <c r="S623" s="168"/>
      <c r="T623" s="168"/>
      <c r="U623" s="168"/>
      <c r="V623" s="168"/>
      <c r="W623" s="168"/>
      <c r="X623" s="169"/>
      <c r="Y623" s="280"/>
      <c r="Z623" s="16"/>
      <c r="AA623" s="16"/>
      <c r="AB623" s="16"/>
      <c r="AC623" s="16"/>
      <c r="AD623" s="16"/>
      <c r="AE623" s="16"/>
    </row>
    <row r="624" spans="1:31" ht="15.75" customHeight="1" x14ac:dyDescent="0.25">
      <c r="A624" s="6" t="s">
        <v>16</v>
      </c>
      <c r="B624" s="29" t="s">
        <v>28</v>
      </c>
      <c r="C624" s="17" t="s">
        <v>834</v>
      </c>
      <c r="D624" s="18"/>
      <c r="E624" s="18"/>
      <c r="F624" s="18"/>
      <c r="G624" s="61">
        <f t="shared" si="294"/>
        <v>0</v>
      </c>
      <c r="H624" s="15"/>
      <c r="I624" s="18"/>
      <c r="J624" s="18"/>
      <c r="K624" s="18"/>
      <c r="L624" s="14">
        <f t="shared" si="295"/>
        <v>0</v>
      </c>
      <c r="M624" s="62">
        <f t="shared" si="296"/>
        <v>0</v>
      </c>
      <c r="N624" s="18"/>
      <c r="O624" s="159"/>
      <c r="P624" s="2"/>
      <c r="Q624" s="1"/>
      <c r="R624" s="159"/>
      <c r="S624" s="168"/>
      <c r="T624" s="168"/>
      <c r="U624" s="168"/>
      <c r="V624" s="168"/>
      <c r="W624" s="168"/>
      <c r="X624" s="169"/>
      <c r="Y624" s="280"/>
      <c r="Z624" s="16"/>
      <c r="AA624" s="16"/>
      <c r="AB624" s="16"/>
      <c r="AC624" s="16"/>
      <c r="AD624" s="16"/>
      <c r="AE624" s="16"/>
    </row>
    <row r="625" spans="1:31" ht="15.75" customHeight="1" x14ac:dyDescent="0.25">
      <c r="A625" s="6" t="s">
        <v>16</v>
      </c>
      <c r="B625" s="29" t="s">
        <v>28</v>
      </c>
      <c r="C625" s="17" t="s">
        <v>835</v>
      </c>
      <c r="D625" s="18"/>
      <c r="E625" s="18"/>
      <c r="F625" s="18"/>
      <c r="G625" s="61">
        <f t="shared" si="294"/>
        <v>0</v>
      </c>
      <c r="H625" s="15"/>
      <c r="I625" s="18"/>
      <c r="J625" s="18"/>
      <c r="K625" s="18"/>
      <c r="L625" s="14">
        <f t="shared" si="295"/>
        <v>0</v>
      </c>
      <c r="M625" s="62">
        <f t="shared" si="296"/>
        <v>0</v>
      </c>
      <c r="N625" s="18"/>
      <c r="O625" s="159"/>
      <c r="P625" s="2"/>
      <c r="Q625" s="1"/>
      <c r="R625" s="159"/>
      <c r="S625" s="168"/>
      <c r="T625" s="168"/>
      <c r="U625" s="168"/>
      <c r="V625" s="168"/>
      <c r="W625" s="168"/>
      <c r="X625" s="169"/>
      <c r="Y625" s="280"/>
      <c r="Z625" s="16"/>
      <c r="AA625" s="16"/>
      <c r="AB625" s="16"/>
      <c r="AC625" s="16"/>
      <c r="AD625" s="16"/>
      <c r="AE625" s="16"/>
    </row>
    <row r="626" spans="1:31" ht="15.75" customHeight="1" x14ac:dyDescent="0.25">
      <c r="A626" s="6" t="s">
        <v>16</v>
      </c>
      <c r="B626" s="29" t="s">
        <v>28</v>
      </c>
      <c r="C626" s="17" t="s">
        <v>836</v>
      </c>
      <c r="D626" s="18"/>
      <c r="E626" s="18"/>
      <c r="F626" s="18"/>
      <c r="G626" s="61">
        <f t="shared" si="294"/>
        <v>0</v>
      </c>
      <c r="H626" s="15"/>
      <c r="I626" s="18"/>
      <c r="J626" s="18"/>
      <c r="K626" s="18"/>
      <c r="L626" s="14">
        <f t="shared" si="295"/>
        <v>0</v>
      </c>
      <c r="M626" s="62">
        <f t="shared" si="296"/>
        <v>0</v>
      </c>
      <c r="N626" s="18"/>
      <c r="O626" s="159"/>
      <c r="P626" s="2"/>
      <c r="Q626" s="1"/>
      <c r="R626" s="159"/>
      <c r="S626" s="168"/>
      <c r="T626" s="168"/>
      <c r="U626" s="168"/>
      <c r="V626" s="168"/>
      <c r="W626" s="168"/>
      <c r="X626" s="169"/>
      <c r="Y626" s="280"/>
      <c r="Z626" s="16"/>
      <c r="AA626" s="16"/>
      <c r="AB626" s="16"/>
      <c r="AC626" s="16"/>
      <c r="AD626" s="16"/>
      <c r="AE626" s="16"/>
    </row>
    <row r="627" spans="1:31" ht="15.75" customHeight="1" x14ac:dyDescent="0.25">
      <c r="A627" s="6" t="s">
        <v>16</v>
      </c>
      <c r="B627" s="29" t="s">
        <v>28</v>
      </c>
      <c r="C627" s="17" t="s">
        <v>837</v>
      </c>
      <c r="D627" s="18"/>
      <c r="E627" s="18"/>
      <c r="F627" s="18"/>
      <c r="G627" s="61">
        <f t="shared" si="294"/>
        <v>0</v>
      </c>
      <c r="H627" s="15"/>
      <c r="I627" s="18"/>
      <c r="J627" s="18"/>
      <c r="K627" s="18"/>
      <c r="L627" s="14">
        <f t="shared" si="295"/>
        <v>0</v>
      </c>
      <c r="M627" s="62">
        <f t="shared" si="296"/>
        <v>0</v>
      </c>
      <c r="N627" s="18"/>
      <c r="O627" s="159"/>
      <c r="P627" s="2"/>
      <c r="Q627" s="1"/>
      <c r="R627" s="159"/>
      <c r="S627" s="168"/>
      <c r="T627" s="168"/>
      <c r="U627" s="168"/>
      <c r="V627" s="168"/>
      <c r="W627" s="168"/>
      <c r="X627" s="169"/>
      <c r="Y627" s="280"/>
      <c r="Z627" s="16"/>
      <c r="AA627" s="16"/>
      <c r="AB627" s="16"/>
      <c r="AC627" s="16"/>
      <c r="AD627" s="16"/>
      <c r="AE627" s="16"/>
    </row>
    <row r="628" spans="1:31" ht="15.75" customHeight="1" x14ac:dyDescent="0.25">
      <c r="A628" s="6" t="s">
        <v>16</v>
      </c>
      <c r="B628" s="29" t="s">
        <v>28</v>
      </c>
      <c r="C628" s="17" t="s">
        <v>838</v>
      </c>
      <c r="D628" s="18"/>
      <c r="E628" s="18"/>
      <c r="F628" s="18"/>
      <c r="G628" s="61">
        <f t="shared" si="294"/>
        <v>0</v>
      </c>
      <c r="H628" s="15"/>
      <c r="I628" s="18"/>
      <c r="J628" s="18"/>
      <c r="K628" s="18"/>
      <c r="L628" s="14">
        <f t="shared" si="295"/>
        <v>0</v>
      </c>
      <c r="M628" s="62">
        <f t="shared" si="296"/>
        <v>0</v>
      </c>
      <c r="N628" s="18"/>
      <c r="O628" s="159"/>
      <c r="P628" s="2"/>
      <c r="Q628" s="1"/>
      <c r="R628" s="159"/>
      <c r="S628" s="168"/>
      <c r="T628" s="168"/>
      <c r="U628" s="168"/>
      <c r="V628" s="168"/>
      <c r="W628" s="168"/>
      <c r="X628" s="169"/>
      <c r="Y628" s="280"/>
      <c r="Z628" s="16"/>
      <c r="AA628" s="16"/>
      <c r="AB628" s="16"/>
      <c r="AC628" s="16"/>
      <c r="AD628" s="16"/>
      <c r="AE628" s="16"/>
    </row>
    <row r="629" spans="1:31" ht="15.75" customHeight="1" x14ac:dyDescent="0.25">
      <c r="A629" s="6" t="s">
        <v>16</v>
      </c>
      <c r="B629" s="29" t="s">
        <v>28</v>
      </c>
      <c r="C629" s="17" t="s">
        <v>839</v>
      </c>
      <c r="D629" s="18"/>
      <c r="E629" s="18"/>
      <c r="F629" s="18"/>
      <c r="G629" s="61">
        <f t="shared" si="294"/>
        <v>0</v>
      </c>
      <c r="H629" s="15"/>
      <c r="I629" s="18"/>
      <c r="J629" s="18"/>
      <c r="K629" s="18"/>
      <c r="L629" s="14">
        <f t="shared" si="295"/>
        <v>0</v>
      </c>
      <c r="M629" s="62">
        <f t="shared" si="296"/>
        <v>0</v>
      </c>
      <c r="N629" s="18"/>
      <c r="O629" s="159"/>
      <c r="P629" s="2"/>
      <c r="Q629" s="1"/>
      <c r="R629" s="159"/>
      <c r="S629" s="168"/>
      <c r="T629" s="168"/>
      <c r="U629" s="168"/>
      <c r="V629" s="168"/>
      <c r="W629" s="168"/>
      <c r="X629" s="169"/>
      <c r="Y629" s="280"/>
      <c r="Z629" s="16"/>
      <c r="AA629" s="16"/>
      <c r="AB629" s="16"/>
      <c r="AC629" s="16"/>
      <c r="AD629" s="16"/>
      <c r="AE629" s="16"/>
    </row>
    <row r="630" spans="1:31" ht="15.75" customHeight="1" x14ac:dyDescent="0.25">
      <c r="A630" s="6" t="s">
        <v>16</v>
      </c>
      <c r="B630" s="29" t="s">
        <v>28</v>
      </c>
      <c r="C630" s="17" t="s">
        <v>840</v>
      </c>
      <c r="D630" s="18"/>
      <c r="E630" s="18"/>
      <c r="F630" s="18"/>
      <c r="G630" s="61">
        <f t="shared" si="294"/>
        <v>0</v>
      </c>
      <c r="H630" s="15"/>
      <c r="I630" s="18"/>
      <c r="J630" s="18"/>
      <c r="K630" s="18"/>
      <c r="L630" s="14">
        <f t="shared" si="295"/>
        <v>0</v>
      </c>
      <c r="M630" s="39">
        <f t="shared" si="296"/>
        <v>0</v>
      </c>
      <c r="N630" s="18"/>
      <c r="O630" s="159"/>
      <c r="P630" s="2"/>
      <c r="Q630" s="1"/>
      <c r="R630" s="159"/>
      <c r="S630" s="168"/>
      <c r="T630" s="168"/>
      <c r="U630" s="168"/>
      <c r="V630" s="168"/>
      <c r="W630" s="168"/>
      <c r="X630" s="169"/>
      <c r="Y630" s="280"/>
      <c r="Z630" s="16"/>
      <c r="AA630" s="16"/>
      <c r="AB630" s="16"/>
      <c r="AC630" s="16"/>
      <c r="AD630" s="16"/>
      <c r="AE630" s="16"/>
    </row>
    <row r="631" spans="1:31" ht="15.75" customHeight="1" x14ac:dyDescent="0.25">
      <c r="C631" s="26" t="s">
        <v>188</v>
      </c>
      <c r="D631" s="89">
        <f>SUM(D595:D630)</f>
        <v>167909</v>
      </c>
      <c r="E631" s="89">
        <f>SUM(E595:E630)</f>
        <v>28403</v>
      </c>
      <c r="F631" s="89">
        <f>SUM(F595:F630)</f>
        <v>4065</v>
      </c>
      <c r="G631" s="59">
        <f t="shared" si="294"/>
        <v>200377</v>
      </c>
      <c r="H631" s="89">
        <f>SUM(H595:H630)</f>
        <v>22597</v>
      </c>
      <c r="I631" s="89">
        <f>SUM(I595:I630)</f>
        <v>179846</v>
      </c>
      <c r="J631" s="89">
        <f>SUM(J595:J630)</f>
        <v>46390</v>
      </c>
      <c r="K631" s="89">
        <f>SUM(K595:K630)</f>
        <v>500</v>
      </c>
      <c r="L631" s="74">
        <f t="shared" si="295"/>
        <v>226736</v>
      </c>
      <c r="M631" s="28">
        <f t="shared" si="296"/>
        <v>26359</v>
      </c>
      <c r="N631" s="89">
        <f t="shared" ref="N631:X631" si="297">SUM(N595:N630)</f>
        <v>0</v>
      </c>
      <c r="O631" s="107">
        <f t="shared" si="297"/>
        <v>12800</v>
      </c>
      <c r="P631" s="210">
        <f t="shared" si="297"/>
        <v>14517</v>
      </c>
      <c r="Q631" s="246">
        <f>SUM(Q595:Q630)</f>
        <v>4237</v>
      </c>
      <c r="R631" s="107">
        <f t="shared" si="297"/>
        <v>0</v>
      </c>
      <c r="S631" s="107">
        <f t="shared" si="297"/>
        <v>39498</v>
      </c>
      <c r="T631" s="107">
        <f t="shared" si="297"/>
        <v>42498</v>
      </c>
      <c r="U631" s="107">
        <f t="shared" si="297"/>
        <v>267114</v>
      </c>
      <c r="V631" s="107">
        <f t="shared" si="297"/>
        <v>53512</v>
      </c>
      <c r="W631" s="107">
        <f t="shared" si="297"/>
        <v>456</v>
      </c>
      <c r="X631" s="107">
        <f t="shared" si="297"/>
        <v>213146</v>
      </c>
    </row>
    <row r="632" spans="1:31" ht="15.75" customHeight="1" x14ac:dyDescent="0.25">
      <c r="A632" s="16"/>
      <c r="B632" s="16"/>
      <c r="C632" s="57"/>
      <c r="D632" s="99"/>
      <c r="E632" s="99"/>
      <c r="F632" s="99"/>
      <c r="G632" s="105"/>
      <c r="H632" s="100"/>
      <c r="I632" s="99"/>
      <c r="J632" s="99"/>
      <c r="K632" s="99"/>
      <c r="L632" s="99"/>
      <c r="M632" s="62"/>
      <c r="N632" s="99"/>
      <c r="O632" s="190"/>
      <c r="P632" s="100"/>
      <c r="Q632" s="250"/>
      <c r="R632" s="190"/>
      <c r="S632" s="190"/>
      <c r="T632" s="190"/>
      <c r="U632" s="190"/>
      <c r="V632" s="190"/>
      <c r="W632" s="190"/>
      <c r="X632" s="191"/>
      <c r="Y632" s="280"/>
      <c r="Z632" s="16"/>
      <c r="AA632" s="16"/>
      <c r="AB632" s="16"/>
      <c r="AC632" s="16"/>
      <c r="AD632" s="16"/>
      <c r="AE632" s="16"/>
    </row>
    <row r="633" spans="1:31" ht="15.75" customHeight="1" x14ac:dyDescent="0.25">
      <c r="A633" s="6" t="s">
        <v>16</v>
      </c>
      <c r="B633" s="32" t="s">
        <v>19</v>
      </c>
      <c r="C633" s="32" t="s">
        <v>19</v>
      </c>
      <c r="D633" s="74">
        <v>144358</v>
      </c>
      <c r="E633" s="74">
        <v>52023</v>
      </c>
      <c r="F633" s="74"/>
      <c r="G633" s="105">
        <f t="shared" ref="G633:G639" si="298">SUM(D633:F633)</f>
        <v>196381</v>
      </c>
      <c r="H633" s="100">
        <v>-310000</v>
      </c>
      <c r="I633" s="112">
        <v>489104</v>
      </c>
      <c r="J633" s="112">
        <v>61177</v>
      </c>
      <c r="K633" s="112"/>
      <c r="L633" s="118">
        <f t="shared" ref="L633:L639" si="299">SUM(I633:K633)</f>
        <v>550281</v>
      </c>
      <c r="M633" s="116">
        <f>L633-G633</f>
        <v>353900</v>
      </c>
      <c r="N633" s="112"/>
      <c r="O633" s="102"/>
      <c r="P633" s="90"/>
      <c r="Q633" s="247"/>
      <c r="R633" s="102"/>
      <c r="S633" s="102"/>
      <c r="T633" s="102"/>
      <c r="U633" s="102"/>
      <c r="V633" s="102"/>
      <c r="W633" s="102"/>
      <c r="X633" s="179"/>
    </row>
    <row r="634" spans="1:31" ht="15.75" customHeight="1" x14ac:dyDescent="0.25">
      <c r="A634" s="109"/>
      <c r="B634" s="12"/>
      <c r="C634" s="117" t="s">
        <v>841</v>
      </c>
      <c r="D634" s="14"/>
      <c r="E634" s="14"/>
      <c r="F634" s="14"/>
      <c r="G634" s="61">
        <f>SUM(D634:F634)</f>
        <v>0</v>
      </c>
      <c r="H634" s="15"/>
      <c r="I634" s="45"/>
      <c r="J634" s="45"/>
      <c r="K634" s="45"/>
      <c r="L634" s="45">
        <f t="shared" si="299"/>
        <v>0</v>
      </c>
      <c r="M634" s="115">
        <f>(L634-G634)</f>
        <v>0</v>
      </c>
      <c r="N634" s="45">
        <v>6053</v>
      </c>
      <c r="O634" s="38"/>
      <c r="P634" s="15"/>
      <c r="Q634" s="241"/>
      <c r="R634" s="38"/>
      <c r="S634" s="38"/>
      <c r="T634" s="38"/>
      <c r="U634" s="38"/>
      <c r="V634" s="38"/>
      <c r="W634" s="38"/>
      <c r="X634" s="167"/>
    </row>
    <row r="635" spans="1:31" ht="15.75" customHeight="1" x14ac:dyDescent="0.25">
      <c r="A635" s="109"/>
      <c r="B635" s="12"/>
      <c r="C635" s="13" t="s">
        <v>842</v>
      </c>
      <c r="D635" s="14"/>
      <c r="E635" s="14"/>
      <c r="F635" s="14"/>
      <c r="G635" s="61">
        <f>SUM(D635:F635)</f>
        <v>0</v>
      </c>
      <c r="H635" s="15"/>
      <c r="I635" s="45"/>
      <c r="J635" s="45"/>
      <c r="K635" s="45"/>
      <c r="L635" s="45">
        <f t="shared" si="299"/>
        <v>0</v>
      </c>
      <c r="M635" s="115">
        <f>(L635-G635)</f>
        <v>0</v>
      </c>
      <c r="N635" s="45"/>
      <c r="O635" s="38">
        <v>25000</v>
      </c>
      <c r="P635" s="15"/>
      <c r="Q635" s="241"/>
      <c r="R635" s="38"/>
      <c r="S635" s="38"/>
      <c r="T635" s="38"/>
      <c r="U635" s="38"/>
      <c r="V635" s="38"/>
      <c r="W635" s="38"/>
      <c r="X635" s="167"/>
    </row>
    <row r="636" spans="1:31" ht="15.75" customHeight="1" x14ac:dyDescent="0.25">
      <c r="A636" s="109"/>
      <c r="B636" s="12"/>
      <c r="C636" s="13" t="s">
        <v>843</v>
      </c>
      <c r="D636" s="14"/>
      <c r="E636" s="14"/>
      <c r="F636" s="14"/>
      <c r="G636" s="61">
        <f>SUM(D636:F636)</f>
        <v>0</v>
      </c>
      <c r="H636" s="15"/>
      <c r="I636" s="45"/>
      <c r="J636" s="45"/>
      <c r="K636" s="45"/>
      <c r="L636" s="45">
        <f t="shared" si="299"/>
        <v>0</v>
      </c>
      <c r="M636" s="115">
        <f>(L636-G636)</f>
        <v>0</v>
      </c>
      <c r="N636" s="45"/>
      <c r="O636" s="38">
        <v>6123</v>
      </c>
      <c r="P636" s="15"/>
      <c r="Q636" s="241"/>
      <c r="R636" s="38"/>
      <c r="S636" s="38"/>
      <c r="T636" s="38"/>
      <c r="U636" s="38"/>
      <c r="V636" s="38"/>
      <c r="W636" s="38"/>
      <c r="X636" s="167"/>
    </row>
    <row r="637" spans="1:31" ht="15.75" customHeight="1" x14ac:dyDescent="0.25">
      <c r="A637" s="6" t="s">
        <v>16</v>
      </c>
      <c r="B637" s="32" t="s">
        <v>19</v>
      </c>
      <c r="C637" s="13" t="s">
        <v>380</v>
      </c>
      <c r="D637" s="14">
        <v>7725</v>
      </c>
      <c r="E637" s="14">
        <v>8944</v>
      </c>
      <c r="F637" s="14"/>
      <c r="G637" s="94">
        <f t="shared" si="298"/>
        <v>16669</v>
      </c>
      <c r="H637" s="19"/>
      <c r="I637" s="45">
        <v>9430</v>
      </c>
      <c r="J637" s="45">
        <v>21993</v>
      </c>
      <c r="K637" s="45"/>
      <c r="L637" s="110">
        <f t="shared" si="299"/>
        <v>31423</v>
      </c>
      <c r="M637" s="115">
        <f>L637-G637</f>
        <v>14754</v>
      </c>
      <c r="N637" s="45"/>
      <c r="O637" s="38"/>
      <c r="P637" s="15"/>
      <c r="Q637" s="241"/>
      <c r="R637" s="38"/>
      <c r="S637" s="38"/>
      <c r="T637" s="38"/>
      <c r="U637" s="38"/>
      <c r="V637" s="38"/>
      <c r="W637" s="38"/>
      <c r="X637" s="167"/>
    </row>
    <row r="638" spans="1:31" ht="15.75" customHeight="1" x14ac:dyDescent="0.25">
      <c r="A638" s="6" t="s">
        <v>16</v>
      </c>
      <c r="B638" s="32" t="s">
        <v>19</v>
      </c>
      <c r="C638" s="13" t="s">
        <v>844</v>
      </c>
      <c r="D638" s="14"/>
      <c r="E638" s="14"/>
      <c r="F638" s="14"/>
      <c r="G638" s="94">
        <f t="shared" si="298"/>
        <v>0</v>
      </c>
      <c r="H638" s="19"/>
      <c r="I638" s="45"/>
      <c r="J638" s="45"/>
      <c r="K638" s="45"/>
      <c r="L638" s="110">
        <f t="shared" si="299"/>
        <v>0</v>
      </c>
      <c r="M638" s="115">
        <f>L638-G638</f>
        <v>0</v>
      </c>
      <c r="N638" s="45"/>
      <c r="O638" s="38"/>
      <c r="P638" s="15"/>
      <c r="Q638" s="241"/>
      <c r="R638" s="38"/>
      <c r="S638" s="38"/>
      <c r="T638" s="38"/>
      <c r="U638" s="38"/>
      <c r="V638" s="38"/>
      <c r="W638" s="38"/>
      <c r="X638" s="167"/>
    </row>
    <row r="639" spans="1:31" ht="15.75" customHeight="1" x14ac:dyDescent="0.25">
      <c r="A639" s="6" t="s">
        <v>16</v>
      </c>
      <c r="B639" s="32" t="s">
        <v>19</v>
      </c>
      <c r="C639" s="13" t="s">
        <v>845</v>
      </c>
      <c r="D639" s="18"/>
      <c r="E639" s="18"/>
      <c r="F639" s="18"/>
      <c r="G639" s="94">
        <f t="shared" si="298"/>
        <v>0</v>
      </c>
      <c r="H639" s="19"/>
      <c r="I639" s="45"/>
      <c r="J639" s="45"/>
      <c r="K639" s="110"/>
      <c r="L639" s="110">
        <f t="shared" si="299"/>
        <v>0</v>
      </c>
      <c r="M639" s="115">
        <f>L639-G639</f>
        <v>0</v>
      </c>
      <c r="N639" s="110"/>
      <c r="O639" s="168"/>
      <c r="P639" s="19"/>
      <c r="Q639" s="242"/>
      <c r="R639" s="168"/>
      <c r="S639" s="168"/>
      <c r="T639" s="168"/>
      <c r="U639" s="168"/>
      <c r="V639" s="168"/>
      <c r="W639" s="168"/>
      <c r="X639" s="169"/>
      <c r="Y639" s="280"/>
      <c r="Z639" s="16"/>
      <c r="AA639" s="16"/>
      <c r="AB639" s="16"/>
      <c r="AC639" s="16"/>
      <c r="AD639" s="16"/>
      <c r="AE639" s="16"/>
    </row>
    <row r="640" spans="1:31" ht="15.75" customHeight="1" x14ac:dyDescent="0.25">
      <c r="A640" s="6" t="s">
        <v>16</v>
      </c>
      <c r="B640" s="32" t="s">
        <v>19</v>
      </c>
      <c r="C640" s="17" t="s">
        <v>846</v>
      </c>
      <c r="D640" s="18"/>
      <c r="E640" s="18"/>
      <c r="F640" s="18"/>
      <c r="G640" s="61">
        <f t="shared" ref="G640" si="300">SUM(D640:F640)</f>
        <v>0</v>
      </c>
      <c r="H640" s="15"/>
      <c r="I640" s="45"/>
      <c r="J640" s="45"/>
      <c r="K640" s="110"/>
      <c r="L640" s="45">
        <f t="shared" ref="L640" si="301">SUM(I640:K640)</f>
        <v>0</v>
      </c>
      <c r="M640" s="115">
        <f t="shared" ref="M640" si="302">L640-G640</f>
        <v>0</v>
      </c>
      <c r="N640" s="110"/>
      <c r="O640" s="168"/>
      <c r="P640" s="19"/>
      <c r="Q640" s="242"/>
      <c r="R640" s="168"/>
      <c r="S640" s="168"/>
      <c r="T640" s="168">
        <v>2540</v>
      </c>
      <c r="U640" s="168"/>
      <c r="V640" s="168"/>
      <c r="W640" s="168"/>
      <c r="X640" s="169"/>
      <c r="Y640" s="280"/>
      <c r="Z640" s="16"/>
      <c r="AA640" s="16"/>
      <c r="AB640" s="16"/>
      <c r="AC640" s="16"/>
      <c r="AD640" s="16"/>
      <c r="AE640" s="16"/>
    </row>
    <row r="641" spans="1:31" ht="15.75" customHeight="1" x14ac:dyDescent="0.25">
      <c r="A641" s="6" t="s">
        <v>16</v>
      </c>
      <c r="B641" s="29" t="s">
        <v>23</v>
      </c>
      <c r="C641" s="29" t="s">
        <v>23</v>
      </c>
      <c r="D641" s="18">
        <v>59411</v>
      </c>
      <c r="E641" s="18">
        <v>34908</v>
      </c>
      <c r="F641" s="18"/>
      <c r="G641" s="94">
        <f>SUM(D641:F641)</f>
        <v>94319</v>
      </c>
      <c r="H641" s="19">
        <f>101938-99337</f>
        <v>2601</v>
      </c>
      <c r="I641" s="45">
        <v>99337</v>
      </c>
      <c r="J641" s="45">
        <v>56793</v>
      </c>
      <c r="K641" s="110"/>
      <c r="L641" s="110">
        <f>SUM(I641:K641)</f>
        <v>156130</v>
      </c>
      <c r="M641" s="115">
        <f>L641-G641</f>
        <v>61811</v>
      </c>
      <c r="N641" s="110"/>
      <c r="O641" s="168"/>
      <c r="P641" s="19"/>
      <c r="Q641" s="242"/>
      <c r="R641" s="168"/>
      <c r="S641" s="168"/>
      <c r="T641" s="168"/>
      <c r="U641" s="168"/>
      <c r="V641" s="168"/>
      <c r="W641" s="168"/>
      <c r="X641" s="169"/>
      <c r="Y641" s="280"/>
      <c r="Z641" s="16"/>
      <c r="AA641" s="16"/>
      <c r="AB641" s="16"/>
      <c r="AC641" s="16"/>
      <c r="AD641" s="16"/>
      <c r="AE641" s="16"/>
    </row>
    <row r="642" spans="1:31" ht="15.75" customHeight="1" x14ac:dyDescent="0.25">
      <c r="A642" s="6" t="s">
        <v>16</v>
      </c>
      <c r="B642" s="29" t="s">
        <v>23</v>
      </c>
      <c r="C642" s="17" t="s">
        <v>847</v>
      </c>
      <c r="D642" s="18"/>
      <c r="E642" s="18"/>
      <c r="F642" s="18"/>
      <c r="G642" s="61">
        <f t="shared" ref="G642" si="303">SUM(D642:F642)</f>
        <v>0</v>
      </c>
      <c r="H642" s="15"/>
      <c r="I642" s="110"/>
      <c r="J642" s="110"/>
      <c r="K642" s="110"/>
      <c r="L642" s="45">
        <f t="shared" ref="L642" si="304">SUM(I642:K642)</f>
        <v>0</v>
      </c>
      <c r="M642" s="115">
        <f t="shared" ref="M642" si="305">L642-G642</f>
        <v>0</v>
      </c>
      <c r="N642" s="110">
        <v>2917</v>
      </c>
      <c r="O642" s="168"/>
      <c r="P642" s="19"/>
      <c r="Q642" s="242"/>
      <c r="R642" s="168"/>
      <c r="S642" s="168"/>
      <c r="T642" s="168"/>
      <c r="U642" s="168"/>
      <c r="V642" s="168"/>
      <c r="W642" s="168"/>
      <c r="X642" s="169"/>
      <c r="Y642" s="280"/>
      <c r="Z642" s="16"/>
      <c r="AA642" s="16"/>
      <c r="AB642" s="16"/>
      <c r="AC642" s="16"/>
      <c r="AD642" s="16"/>
      <c r="AE642" s="16"/>
    </row>
    <row r="643" spans="1:31" ht="15.75" customHeight="1" x14ac:dyDescent="0.25">
      <c r="A643" s="6" t="s">
        <v>16</v>
      </c>
      <c r="B643" s="29" t="s">
        <v>23</v>
      </c>
      <c r="C643" s="17" t="s">
        <v>848</v>
      </c>
      <c r="D643" s="18"/>
      <c r="E643" s="18"/>
      <c r="F643" s="18"/>
      <c r="G643" s="94">
        <f t="shared" ref="G643:G647" si="306">SUM(D643:F643)</f>
        <v>0</v>
      </c>
      <c r="H643" s="19"/>
      <c r="I643" s="110"/>
      <c r="J643" s="110"/>
      <c r="K643" s="110"/>
      <c r="L643" s="110">
        <f>SUM(I643:K643)</f>
        <v>0</v>
      </c>
      <c r="M643" s="115">
        <f>L643-G643</f>
        <v>0</v>
      </c>
      <c r="N643" s="110"/>
      <c r="O643" s="168"/>
      <c r="P643" s="19"/>
      <c r="Q643" s="242">
        <v>4825</v>
      </c>
      <c r="R643" s="168"/>
      <c r="S643" s="168"/>
      <c r="T643" s="168"/>
      <c r="U643" s="168"/>
      <c r="V643" s="168"/>
      <c r="W643" s="168"/>
      <c r="X643" s="169"/>
      <c r="Y643" s="280" t="s">
        <v>849</v>
      </c>
      <c r="Z643" s="16"/>
      <c r="AA643" s="16"/>
      <c r="AB643" s="16"/>
      <c r="AC643" s="16"/>
      <c r="AD643" s="16"/>
      <c r="AE643" s="16"/>
    </row>
    <row r="644" spans="1:31" ht="15.75" customHeight="1" x14ac:dyDescent="0.25">
      <c r="A644" s="6" t="s">
        <v>16</v>
      </c>
      <c r="B644" s="29" t="s">
        <v>23</v>
      </c>
      <c r="C644" s="17"/>
      <c r="D644" s="18"/>
      <c r="E644" s="18"/>
      <c r="F644" s="18"/>
      <c r="G644" s="94">
        <f t="shared" si="306"/>
        <v>0</v>
      </c>
      <c r="H644" s="19"/>
      <c r="I644" s="110"/>
      <c r="J644" s="110"/>
      <c r="K644" s="110"/>
      <c r="L644" s="110">
        <f>SUM(I644:K644)</f>
        <v>0</v>
      </c>
      <c r="M644" s="115">
        <f>L644-G644</f>
        <v>0</v>
      </c>
      <c r="N644" s="110"/>
      <c r="O644" s="168"/>
      <c r="P644" s="19"/>
      <c r="Q644" s="242"/>
      <c r="R644" s="168"/>
      <c r="S644" s="168"/>
      <c r="T644" s="168"/>
      <c r="U644" s="168"/>
      <c r="V644" s="168"/>
      <c r="W644" s="168"/>
      <c r="X644" s="169"/>
      <c r="Y644" s="280"/>
      <c r="Z644" s="16"/>
      <c r="AA644" s="16"/>
      <c r="AB644" s="16"/>
      <c r="AC644" s="16"/>
      <c r="AD644" s="16"/>
      <c r="AE644" s="16"/>
    </row>
    <row r="645" spans="1:31" ht="15.75" customHeight="1" x14ac:dyDescent="0.25">
      <c r="A645" s="6" t="s">
        <v>16</v>
      </c>
      <c r="B645" s="29" t="s">
        <v>23</v>
      </c>
      <c r="C645" s="17"/>
      <c r="D645" s="18"/>
      <c r="E645" s="18"/>
      <c r="F645" s="18"/>
      <c r="G645" s="94">
        <f t="shared" si="306"/>
        <v>0</v>
      </c>
      <c r="H645" s="19"/>
      <c r="I645" s="110"/>
      <c r="J645" s="110"/>
      <c r="K645" s="110"/>
      <c r="L645" s="110">
        <f>SUM(I645:K645)</f>
        <v>0</v>
      </c>
      <c r="M645" s="115">
        <f>L645-G645</f>
        <v>0</v>
      </c>
      <c r="N645" s="110"/>
      <c r="O645" s="168"/>
      <c r="P645" s="19"/>
      <c r="Q645" s="242"/>
      <c r="R645" s="168"/>
      <c r="S645" s="168"/>
      <c r="T645" s="168"/>
      <c r="U645" s="168"/>
      <c r="V645" s="168"/>
      <c r="W645" s="168"/>
      <c r="X645" s="169"/>
      <c r="Y645" s="280"/>
      <c r="Z645" s="16"/>
      <c r="AA645" s="16"/>
      <c r="AB645" s="16"/>
      <c r="AC645" s="16"/>
      <c r="AD645" s="16"/>
      <c r="AE645" s="16"/>
    </row>
    <row r="646" spans="1:31" ht="15.75" customHeight="1" x14ac:dyDescent="0.25">
      <c r="A646" s="6" t="s">
        <v>16</v>
      </c>
      <c r="B646" s="29" t="s">
        <v>22</v>
      </c>
      <c r="C646" s="29" t="s">
        <v>22</v>
      </c>
      <c r="D646" s="18">
        <v>64361</v>
      </c>
      <c r="E646" s="18">
        <v>21782</v>
      </c>
      <c r="F646" s="18"/>
      <c r="G646" s="94">
        <f t="shared" si="306"/>
        <v>86143</v>
      </c>
      <c r="H646" s="19">
        <f>70467-67404</f>
        <v>3063</v>
      </c>
      <c r="I646" s="110">
        <v>67404</v>
      </c>
      <c r="J646" s="110">
        <v>49676</v>
      </c>
      <c r="K646" s="110"/>
      <c r="L646" s="110">
        <f>SUM(I646:K646)</f>
        <v>117080</v>
      </c>
      <c r="M646" s="115">
        <f>L646-G646</f>
        <v>30937</v>
      </c>
      <c r="N646" s="110"/>
      <c r="O646" s="168"/>
      <c r="P646" s="19"/>
      <c r="Q646" s="242"/>
      <c r="R646" s="168"/>
      <c r="S646" s="168"/>
      <c r="T646" s="168"/>
      <c r="U646" s="168"/>
      <c r="V646" s="168"/>
      <c r="W646" s="168"/>
      <c r="X646" s="169"/>
      <c r="Y646" s="280"/>
      <c r="Z646" s="16"/>
      <c r="AA646" s="16"/>
      <c r="AB646" s="16"/>
      <c r="AC646" s="16"/>
      <c r="AD646" s="16"/>
      <c r="AE646" s="16"/>
    </row>
    <row r="647" spans="1:31" ht="15.75" customHeight="1" x14ac:dyDescent="0.25">
      <c r="A647" s="6" t="s">
        <v>16</v>
      </c>
      <c r="B647" s="29" t="s">
        <v>22</v>
      </c>
      <c r="C647" s="17" t="s">
        <v>847</v>
      </c>
      <c r="D647" s="18"/>
      <c r="E647" s="18">
        <v>16613</v>
      </c>
      <c r="F647" s="18"/>
      <c r="G647" s="94">
        <f t="shared" si="306"/>
        <v>16613</v>
      </c>
      <c r="H647" s="19"/>
      <c r="I647" s="110"/>
      <c r="J647" s="110"/>
      <c r="K647" s="110"/>
      <c r="L647" s="110">
        <f>SUM(I647:K647)</f>
        <v>0</v>
      </c>
      <c r="M647" s="115">
        <f>L647-G647</f>
        <v>-16613</v>
      </c>
      <c r="N647" s="110">
        <v>1636</v>
      </c>
      <c r="O647" s="168"/>
      <c r="P647" s="19"/>
      <c r="Q647" s="242"/>
      <c r="R647" s="168"/>
      <c r="S647" s="168"/>
      <c r="T647" s="168"/>
      <c r="U647" s="168"/>
      <c r="V647" s="168"/>
      <c r="W647" s="168"/>
      <c r="X647" s="169"/>
      <c r="Y647" s="280"/>
      <c r="Z647" s="16"/>
      <c r="AA647" s="16"/>
      <c r="AB647" s="16"/>
      <c r="AC647" s="16"/>
      <c r="AD647" s="16"/>
      <c r="AE647" s="16"/>
    </row>
    <row r="648" spans="1:31" ht="15.75" customHeight="1" x14ac:dyDescent="0.25">
      <c r="A648" s="6" t="s">
        <v>16</v>
      </c>
      <c r="B648" s="29" t="s">
        <v>22</v>
      </c>
      <c r="C648" s="17" t="s">
        <v>850</v>
      </c>
      <c r="D648" s="18"/>
      <c r="E648" s="18"/>
      <c r="F648" s="18"/>
      <c r="G648" s="61">
        <f t="shared" ref="G648" si="307">SUM(D648:F648)</f>
        <v>0</v>
      </c>
      <c r="H648" s="15"/>
      <c r="I648" s="110"/>
      <c r="J648" s="110"/>
      <c r="K648" s="110"/>
      <c r="L648" s="45">
        <f t="shared" ref="L648" si="308">SUM(I648:K648)</f>
        <v>0</v>
      </c>
      <c r="M648" s="115">
        <f t="shared" ref="M648" si="309">L648-G648</f>
        <v>0</v>
      </c>
      <c r="N648" s="110"/>
      <c r="O648" s="168">
        <v>1500</v>
      </c>
      <c r="P648" s="19"/>
      <c r="Q648" s="242"/>
      <c r="R648" s="168"/>
      <c r="S648" s="168"/>
      <c r="T648" s="168"/>
      <c r="U648" s="168"/>
      <c r="V648" s="168"/>
      <c r="W648" s="168"/>
      <c r="X648" s="169"/>
      <c r="Y648" s="280"/>
      <c r="Z648" s="16"/>
      <c r="AA648" s="16"/>
      <c r="AB648" s="16"/>
      <c r="AC648" s="16"/>
      <c r="AD648" s="16"/>
      <c r="AE648" s="16"/>
    </row>
    <row r="649" spans="1:31" ht="15.75" customHeight="1" x14ac:dyDescent="0.25">
      <c r="A649" s="6" t="s">
        <v>16</v>
      </c>
      <c r="B649" s="29" t="s">
        <v>22</v>
      </c>
      <c r="C649" s="17" t="s">
        <v>851</v>
      </c>
      <c r="D649" s="18"/>
      <c r="E649" s="18"/>
      <c r="F649" s="18"/>
      <c r="G649" s="94">
        <f t="shared" ref="G649:G650" si="310">SUM(D649:F649)</f>
        <v>0</v>
      </c>
      <c r="H649" s="19"/>
      <c r="I649" s="110"/>
      <c r="J649" s="110"/>
      <c r="K649" s="110"/>
      <c r="L649" s="110">
        <f>SUM(I649:K649)</f>
        <v>0</v>
      </c>
      <c r="M649" s="115">
        <f>L649-G649</f>
        <v>0</v>
      </c>
      <c r="N649" s="110"/>
      <c r="O649" s="168"/>
      <c r="P649" s="19">
        <v>5000</v>
      </c>
      <c r="Q649" s="242"/>
      <c r="R649" s="168"/>
      <c r="S649" s="168"/>
      <c r="T649" s="168"/>
      <c r="U649" s="168"/>
      <c r="V649" s="168"/>
      <c r="W649" s="168"/>
      <c r="X649" s="169"/>
      <c r="Y649" s="280" t="s">
        <v>852</v>
      </c>
      <c r="Z649" s="16"/>
      <c r="AA649" s="16"/>
      <c r="AB649" s="16"/>
      <c r="AC649" s="16"/>
      <c r="AD649" s="16"/>
      <c r="AE649" s="16"/>
    </row>
    <row r="650" spans="1:31" ht="15.75" customHeight="1" x14ac:dyDescent="0.25">
      <c r="A650" s="16"/>
      <c r="B650" s="16"/>
      <c r="C650" s="44" t="s">
        <v>188</v>
      </c>
      <c r="D650" s="99">
        <f t="shared" ref="D650:F650" si="311">SUM(D633:D649)</f>
        <v>275855</v>
      </c>
      <c r="E650" s="99">
        <f t="shared" si="311"/>
        <v>134270</v>
      </c>
      <c r="F650" s="99">
        <f t="shared" si="311"/>
        <v>0</v>
      </c>
      <c r="G650" s="105">
        <f t="shared" si="310"/>
        <v>410125</v>
      </c>
      <c r="H650" s="99">
        <f>SUM(H633:H649)</f>
        <v>-304336</v>
      </c>
      <c r="I650" s="99">
        <f>SUM(I633:I649)</f>
        <v>665275</v>
      </c>
      <c r="J650" s="99">
        <f>SUM(J633:J649)</f>
        <v>189639</v>
      </c>
      <c r="K650" s="99">
        <f t="shared" ref="K650" si="312">SUM(K633:K649)</f>
        <v>0</v>
      </c>
      <c r="L650" s="99">
        <f>SUM(I650:K650)</f>
        <v>854914</v>
      </c>
      <c r="M650" s="60">
        <f>L650-G650</f>
        <v>444789</v>
      </c>
      <c r="N650" s="99">
        <f t="shared" ref="N650:X650" si="313">SUM(N633:N649)</f>
        <v>10606</v>
      </c>
      <c r="O650" s="190">
        <f>SUM(O633:O649)</f>
        <v>32623</v>
      </c>
      <c r="P650" s="100">
        <f>SUM(P633:P649)</f>
        <v>5000</v>
      </c>
      <c r="Q650" s="250">
        <f>SUM(Q633:Q649)</f>
        <v>4825</v>
      </c>
      <c r="R650" s="190">
        <f t="shared" si="313"/>
        <v>0</v>
      </c>
      <c r="S650" s="190">
        <f t="shared" si="313"/>
        <v>0</v>
      </c>
      <c r="T650" s="190">
        <f t="shared" si="313"/>
        <v>2540</v>
      </c>
      <c r="U650" s="190">
        <f t="shared" si="313"/>
        <v>0</v>
      </c>
      <c r="V650" s="190">
        <f t="shared" si="313"/>
        <v>0</v>
      </c>
      <c r="W650" s="190">
        <f t="shared" si="313"/>
        <v>0</v>
      </c>
      <c r="X650" s="190">
        <f t="shared" si="313"/>
        <v>0</v>
      </c>
      <c r="Y650" s="280"/>
      <c r="Z650" s="16"/>
      <c r="AA650" s="16"/>
      <c r="AB650" s="16"/>
      <c r="AC650" s="16"/>
      <c r="AD650" s="16"/>
      <c r="AE650" s="16"/>
    </row>
    <row r="651" spans="1:31" ht="15.75" customHeight="1" x14ac:dyDescent="0.25">
      <c r="A651" s="16"/>
      <c r="B651" s="16"/>
      <c r="C651" s="148"/>
      <c r="D651" s="149"/>
      <c r="E651" s="149"/>
      <c r="F651" s="149"/>
      <c r="G651" s="150"/>
      <c r="H651" s="213"/>
      <c r="I651" s="149"/>
      <c r="J651" s="149"/>
      <c r="K651" s="149"/>
      <c r="L651" s="149"/>
      <c r="M651" s="127"/>
      <c r="N651" s="149"/>
      <c r="O651" s="197"/>
      <c r="P651" s="213"/>
      <c r="Q651" s="251"/>
      <c r="R651" s="197"/>
      <c r="S651" s="197"/>
      <c r="T651" s="197"/>
      <c r="U651" s="197"/>
      <c r="V651" s="197"/>
      <c r="W651" s="197"/>
      <c r="X651" s="198"/>
      <c r="Y651" s="280"/>
      <c r="Z651" s="16"/>
      <c r="AA651" s="16"/>
      <c r="AB651" s="16"/>
      <c r="AC651" s="16"/>
      <c r="AD651" s="16"/>
      <c r="AE651" s="16"/>
    </row>
    <row r="652" spans="1:31" ht="15.75" customHeight="1" x14ac:dyDescent="0.25">
      <c r="A652" s="6" t="s">
        <v>16</v>
      </c>
      <c r="B652" s="49" t="s">
        <v>43</v>
      </c>
      <c r="C652" s="128" t="s">
        <v>43</v>
      </c>
      <c r="D652" s="14"/>
      <c r="E652" s="14"/>
      <c r="F652" s="14"/>
      <c r="G652" s="61">
        <f t="shared" ref="G652:G679" si="314">SUM(D652:F652)</f>
        <v>0</v>
      </c>
      <c r="H652" s="15"/>
      <c r="I652" s="14"/>
      <c r="J652" s="14"/>
      <c r="K652" s="14"/>
      <c r="L652" s="14">
        <f t="shared" ref="L652:L679" si="315">SUM(I652:K652)</f>
        <v>0</v>
      </c>
      <c r="M652" s="62">
        <f t="shared" ref="M652:M679" si="316">L652-G652</f>
        <v>0</v>
      </c>
      <c r="N652" s="15"/>
      <c r="O652" s="38"/>
      <c r="P652" s="15"/>
      <c r="Q652" s="241"/>
      <c r="R652" s="38"/>
      <c r="S652" s="38"/>
      <c r="T652" s="38"/>
      <c r="U652" s="38"/>
      <c r="V652" s="38"/>
      <c r="W652" s="38"/>
      <c r="X652" s="176"/>
      <c r="Y652" s="279"/>
      <c r="Z652" s="3"/>
      <c r="AA652" s="3"/>
      <c r="AB652" s="3"/>
      <c r="AC652" s="3"/>
      <c r="AD652" s="3"/>
      <c r="AE652" s="3"/>
    </row>
    <row r="653" spans="1:31" ht="15.75" customHeight="1" x14ac:dyDescent="0.25">
      <c r="A653" s="6" t="s">
        <v>16</v>
      </c>
      <c r="B653" s="49" t="s">
        <v>32</v>
      </c>
      <c r="C653" s="128" t="s">
        <v>32</v>
      </c>
      <c r="D653" s="14"/>
      <c r="E653" s="14">
        <v>18236</v>
      </c>
      <c r="F653" s="14"/>
      <c r="G653" s="61">
        <f t="shared" si="314"/>
        <v>18236</v>
      </c>
      <c r="H653" s="15"/>
      <c r="I653" s="45"/>
      <c r="J653" s="45">
        <v>22051</v>
      </c>
      <c r="K653" s="45"/>
      <c r="L653" s="45">
        <f t="shared" si="315"/>
        <v>22051</v>
      </c>
      <c r="M653" s="115">
        <f t="shared" si="316"/>
        <v>3815</v>
      </c>
      <c r="N653" s="45"/>
      <c r="O653" s="38"/>
      <c r="P653" s="15"/>
      <c r="Q653" s="241"/>
      <c r="R653" s="38"/>
      <c r="S653" s="38"/>
      <c r="T653" s="38"/>
      <c r="U653" s="38"/>
      <c r="V653" s="38"/>
      <c r="W653" s="38"/>
      <c r="X653" s="176"/>
    </row>
    <row r="654" spans="1:31" ht="15.75" customHeight="1" x14ac:dyDescent="0.25">
      <c r="A654" s="6" t="s">
        <v>16</v>
      </c>
      <c r="B654" s="49" t="s">
        <v>24</v>
      </c>
      <c r="C654" s="128" t="s">
        <v>24</v>
      </c>
      <c r="D654" s="14"/>
      <c r="E654" s="14">
        <v>52396</v>
      </c>
      <c r="F654" s="14"/>
      <c r="G654" s="61">
        <f t="shared" si="314"/>
        <v>52396</v>
      </c>
      <c r="H654" s="15"/>
      <c r="I654" s="45"/>
      <c r="J654" s="45">
        <v>52396</v>
      </c>
      <c r="K654" s="45"/>
      <c r="L654" s="45">
        <f t="shared" si="315"/>
        <v>52396</v>
      </c>
      <c r="M654" s="115">
        <f t="shared" si="316"/>
        <v>0</v>
      </c>
      <c r="N654" s="45"/>
      <c r="O654" s="38"/>
      <c r="P654" s="15"/>
      <c r="Q654" s="241"/>
      <c r="R654" s="38"/>
      <c r="S654" s="38"/>
      <c r="T654" s="38"/>
      <c r="U654" s="38"/>
      <c r="V654" s="38"/>
      <c r="W654" s="38"/>
      <c r="X654" s="176"/>
    </row>
    <row r="655" spans="1:31" ht="15.75" customHeight="1" x14ac:dyDescent="0.25">
      <c r="A655" s="6" t="s">
        <v>16</v>
      </c>
      <c r="B655" s="49" t="s">
        <v>30</v>
      </c>
      <c r="C655" s="128" t="s">
        <v>30</v>
      </c>
      <c r="D655" s="14"/>
      <c r="E655" s="14">
        <v>19500</v>
      </c>
      <c r="F655" s="14"/>
      <c r="G655" s="61">
        <f t="shared" si="314"/>
        <v>19500</v>
      </c>
      <c r="H655" s="15"/>
      <c r="I655" s="45"/>
      <c r="J655" s="45">
        <v>30000</v>
      </c>
      <c r="K655" s="45"/>
      <c r="L655" s="45">
        <f t="shared" si="315"/>
        <v>30000</v>
      </c>
      <c r="M655" s="115">
        <f t="shared" si="316"/>
        <v>10500</v>
      </c>
      <c r="N655" s="45"/>
      <c r="O655" s="38"/>
      <c r="P655" s="15"/>
      <c r="Q655" s="241"/>
      <c r="R655" s="38"/>
      <c r="S655" s="38"/>
      <c r="T655" s="38"/>
      <c r="U655" s="38"/>
      <c r="V655" s="38"/>
      <c r="W655" s="38"/>
      <c r="X655" s="176"/>
    </row>
    <row r="656" spans="1:31" ht="15.75" customHeight="1" x14ac:dyDescent="0.25">
      <c r="A656" s="109"/>
      <c r="B656" s="3"/>
      <c r="C656" s="13" t="s">
        <v>853</v>
      </c>
      <c r="D656" s="14"/>
      <c r="E656" s="14"/>
      <c r="F656" s="14"/>
      <c r="G656" s="61">
        <f>SUM(D656:F656)</f>
        <v>0</v>
      </c>
      <c r="H656" s="15"/>
      <c r="I656" s="14"/>
      <c r="J656" s="14"/>
      <c r="K656" s="14"/>
      <c r="L656" s="14">
        <f>SUM(I656:K656)</f>
        <v>0</v>
      </c>
      <c r="M656" s="62">
        <f>(L656-G656)</f>
        <v>0</v>
      </c>
      <c r="N656" s="14"/>
      <c r="O656" s="38"/>
      <c r="P656" s="15">
        <v>5000</v>
      </c>
      <c r="Q656" s="241"/>
      <c r="R656" s="38"/>
      <c r="S656" s="38"/>
      <c r="T656" s="38"/>
      <c r="U656" s="38"/>
      <c r="V656" s="38"/>
      <c r="W656" s="38"/>
      <c r="X656" s="167"/>
    </row>
    <row r="657" spans="1:31" ht="15.75" customHeight="1" x14ac:dyDescent="0.25">
      <c r="A657" s="109"/>
      <c r="B657" s="3"/>
      <c r="C657" s="128" t="s">
        <v>854</v>
      </c>
      <c r="D657" s="14"/>
      <c r="E657" s="14"/>
      <c r="F657" s="14"/>
      <c r="G657" s="61">
        <f>SUM(D657:F657)</f>
        <v>0</v>
      </c>
      <c r="H657" s="15"/>
      <c r="I657" s="45"/>
      <c r="J657" s="45"/>
      <c r="K657" s="45"/>
      <c r="L657" s="45">
        <f>SUM(I657:K657)</f>
        <v>0</v>
      </c>
      <c r="M657" s="115">
        <f>(L657-G657)</f>
        <v>0</v>
      </c>
      <c r="N657" s="45"/>
      <c r="O657" s="38">
        <v>52820</v>
      </c>
      <c r="P657" s="15"/>
      <c r="Q657" s="241"/>
      <c r="R657" s="38"/>
      <c r="S657" s="38"/>
      <c r="T657" s="38"/>
      <c r="U657" s="38"/>
      <c r="V657" s="38"/>
      <c r="W657" s="38"/>
      <c r="X657" s="176"/>
    </row>
    <row r="658" spans="1:31" ht="15.75" customHeight="1" x14ac:dyDescent="0.25">
      <c r="A658" s="109"/>
      <c r="B658" s="3"/>
      <c r="C658" s="138" t="s">
        <v>855</v>
      </c>
      <c r="D658" s="14"/>
      <c r="E658" s="14"/>
      <c r="F658" s="14"/>
      <c r="G658" s="61">
        <f>SUM(D658:F658)</f>
        <v>0</v>
      </c>
      <c r="H658" s="15"/>
      <c r="I658" s="45"/>
      <c r="J658" s="45"/>
      <c r="K658" s="45"/>
      <c r="L658" s="45">
        <f>SUM(I658:K658)</f>
        <v>0</v>
      </c>
      <c r="M658" s="115">
        <f>(L658-G658)</f>
        <v>0</v>
      </c>
      <c r="N658" s="45"/>
      <c r="O658" s="38">
        <v>7000</v>
      </c>
      <c r="P658" s="15"/>
      <c r="Q658" s="241"/>
      <c r="R658" s="38"/>
      <c r="S658" s="38"/>
      <c r="T658" s="38"/>
      <c r="U658" s="38"/>
      <c r="V658" s="38"/>
      <c r="W658" s="38"/>
      <c r="X658" s="176"/>
      <c r="Y658" s="289"/>
    </row>
    <row r="659" spans="1:31" ht="15.75" customHeight="1" x14ac:dyDescent="0.25">
      <c r="A659" s="109"/>
      <c r="B659" s="3"/>
      <c r="C659" s="17" t="s">
        <v>856</v>
      </c>
      <c r="D659" s="14"/>
      <c r="E659" s="14"/>
      <c r="F659" s="14"/>
      <c r="G659" s="61">
        <f>SUM(D659:F659)</f>
        <v>0</v>
      </c>
      <c r="H659" s="15"/>
      <c r="I659" s="14"/>
      <c r="J659" s="14"/>
      <c r="K659" s="14"/>
      <c r="L659" s="14">
        <f>SUM(I659:K659)</f>
        <v>0</v>
      </c>
      <c r="M659" s="62">
        <f>(L659-G659)</f>
        <v>0</v>
      </c>
      <c r="N659" s="14"/>
      <c r="O659" s="38"/>
      <c r="P659" s="15"/>
      <c r="Q659" s="304">
        <v>15000</v>
      </c>
      <c r="R659" s="38"/>
      <c r="S659" s="38"/>
      <c r="T659" s="38"/>
      <c r="U659" s="38"/>
      <c r="V659" s="38"/>
      <c r="W659" s="38"/>
      <c r="X659" s="167"/>
      <c r="Y659" s="289"/>
    </row>
    <row r="660" spans="1:31" ht="15.75" customHeight="1" x14ac:dyDescent="0.25">
      <c r="A660" s="6" t="s">
        <v>16</v>
      </c>
      <c r="B660" s="49" t="s">
        <v>48</v>
      </c>
      <c r="C660" s="128" t="s">
        <v>48</v>
      </c>
      <c r="D660" s="14"/>
      <c r="E660" s="14"/>
      <c r="F660" s="14"/>
      <c r="G660" s="61">
        <f t="shared" si="314"/>
        <v>0</v>
      </c>
      <c r="H660" s="15"/>
      <c r="I660" s="45">
        <v>1236</v>
      </c>
      <c r="J660" s="45">
        <v>28364</v>
      </c>
      <c r="K660" s="45"/>
      <c r="L660" s="45">
        <f t="shared" si="315"/>
        <v>29600</v>
      </c>
      <c r="M660" s="115">
        <f t="shared" si="316"/>
        <v>29600</v>
      </c>
      <c r="N660" s="45"/>
      <c r="O660" s="38"/>
      <c r="P660" s="15"/>
      <c r="Q660" s="241"/>
      <c r="R660" s="38"/>
      <c r="S660" s="38"/>
      <c r="T660" s="38"/>
      <c r="U660" s="38"/>
      <c r="V660" s="38"/>
      <c r="W660" s="38"/>
      <c r="X660" s="176"/>
    </row>
    <row r="661" spans="1:31" ht="15.75" customHeight="1" x14ac:dyDescent="0.25">
      <c r="A661" s="6" t="s">
        <v>16</v>
      </c>
      <c r="B661" s="16" t="s">
        <v>49</v>
      </c>
      <c r="C661" s="138" t="s">
        <v>40</v>
      </c>
      <c r="D661" s="18"/>
      <c r="E661" s="18"/>
      <c r="F661" s="18"/>
      <c r="G661" s="61">
        <f t="shared" si="314"/>
        <v>0</v>
      </c>
      <c r="H661" s="15"/>
      <c r="I661" s="110"/>
      <c r="J661" s="110">
        <v>300</v>
      </c>
      <c r="K661" s="110"/>
      <c r="L661" s="45">
        <f t="shared" si="315"/>
        <v>300</v>
      </c>
      <c r="M661" s="115">
        <f t="shared" si="316"/>
        <v>300</v>
      </c>
      <c r="N661" s="110"/>
      <c r="O661" s="168"/>
      <c r="P661" s="19"/>
      <c r="Q661" s="242"/>
      <c r="R661" s="168"/>
      <c r="S661" s="168"/>
      <c r="T661" s="168"/>
      <c r="U661" s="168"/>
      <c r="V661" s="168"/>
      <c r="W661" s="168"/>
      <c r="X661" s="196"/>
      <c r="Y661" s="280"/>
      <c r="Z661" s="16"/>
      <c r="AA661" s="16"/>
      <c r="AB661" s="16"/>
      <c r="AC661" s="16"/>
      <c r="AD661" s="16"/>
      <c r="AE661" s="16"/>
    </row>
    <row r="662" spans="1:31" ht="15.75" customHeight="1" x14ac:dyDescent="0.25">
      <c r="A662" s="109"/>
      <c r="B662" s="3"/>
      <c r="C662" s="138" t="s">
        <v>857</v>
      </c>
      <c r="D662" s="14"/>
      <c r="E662" s="14"/>
      <c r="F662" s="14"/>
      <c r="G662" s="61">
        <f>SUM(D662:F662)</f>
        <v>0</v>
      </c>
      <c r="H662" s="15"/>
      <c r="I662" s="45"/>
      <c r="J662" s="45">
        <v>150</v>
      </c>
      <c r="K662" s="45"/>
      <c r="L662" s="45">
        <f>SUM(I662:K662)</f>
        <v>150</v>
      </c>
      <c r="M662" s="115">
        <f>(L662-G662)</f>
        <v>150</v>
      </c>
      <c r="N662" s="45"/>
      <c r="O662" s="38"/>
      <c r="P662" s="15"/>
      <c r="Q662" s="241"/>
      <c r="R662" s="38"/>
      <c r="S662" s="38"/>
      <c r="T662" s="38"/>
      <c r="U662" s="38"/>
      <c r="V662" s="38"/>
      <c r="W662" s="38"/>
      <c r="X662" s="176"/>
      <c r="Y662" s="280"/>
      <c r="Z662" s="16"/>
      <c r="AA662" s="16"/>
      <c r="AB662" s="16"/>
      <c r="AC662" s="16"/>
      <c r="AD662" s="16"/>
      <c r="AE662" s="16"/>
    </row>
    <row r="663" spans="1:31" ht="15.75" customHeight="1" x14ac:dyDescent="0.25">
      <c r="A663" s="6" t="s">
        <v>16</v>
      </c>
      <c r="B663" s="16" t="s">
        <v>46</v>
      </c>
      <c r="C663" s="138" t="s">
        <v>858</v>
      </c>
      <c r="D663" s="18"/>
      <c r="E663" s="18"/>
      <c r="F663" s="18"/>
      <c r="G663" s="61">
        <f t="shared" si="314"/>
        <v>0</v>
      </c>
      <c r="H663" s="15"/>
      <c r="I663" s="110"/>
      <c r="J663" s="110">
        <v>400</v>
      </c>
      <c r="K663" s="110"/>
      <c r="L663" s="45">
        <f t="shared" si="315"/>
        <v>400</v>
      </c>
      <c r="M663" s="115">
        <f t="shared" si="316"/>
        <v>400</v>
      </c>
      <c r="N663" s="110"/>
      <c r="O663" s="168"/>
      <c r="P663" s="19"/>
      <c r="Q663" s="242"/>
      <c r="R663" s="168"/>
      <c r="S663" s="168"/>
      <c r="T663" s="168"/>
      <c r="U663" s="168"/>
      <c r="V663" s="168"/>
      <c r="W663" s="168"/>
      <c r="X663" s="196"/>
      <c r="Y663" s="280"/>
      <c r="Z663" s="16"/>
      <c r="AA663" s="16"/>
      <c r="AB663" s="16"/>
      <c r="AC663" s="16"/>
      <c r="AD663" s="16"/>
      <c r="AE663" s="16"/>
    </row>
    <row r="664" spans="1:31" ht="15.75" customHeight="1" x14ac:dyDescent="0.25">
      <c r="A664" s="6" t="s">
        <v>16</v>
      </c>
      <c r="B664" s="16" t="s">
        <v>25</v>
      </c>
      <c r="C664" s="138" t="s">
        <v>25</v>
      </c>
      <c r="D664" s="18">
        <v>5837</v>
      </c>
      <c r="E664" s="18">
        <v>41713</v>
      </c>
      <c r="F664" s="18"/>
      <c r="G664" s="61">
        <f t="shared" si="314"/>
        <v>47550</v>
      </c>
      <c r="H664" s="15"/>
      <c r="I664" s="110">
        <v>3090</v>
      </c>
      <c r="J664" s="110">
        <v>46910</v>
      </c>
      <c r="K664" s="110"/>
      <c r="L664" s="45">
        <f t="shared" si="315"/>
        <v>50000</v>
      </c>
      <c r="M664" s="115">
        <f t="shared" si="316"/>
        <v>2450</v>
      </c>
      <c r="N664" s="110"/>
      <c r="O664" s="168"/>
      <c r="P664" s="19"/>
      <c r="Q664" s="242"/>
      <c r="R664" s="168"/>
      <c r="S664" s="168"/>
      <c r="T664" s="168"/>
      <c r="U664" s="168"/>
      <c r="V664" s="168"/>
      <c r="W664" s="168"/>
      <c r="X664" s="196"/>
      <c r="Y664" s="280"/>
      <c r="Z664" s="16"/>
      <c r="AA664" s="16"/>
      <c r="AB664" s="16"/>
      <c r="AC664" s="16"/>
      <c r="AD664" s="16"/>
      <c r="AE664" s="16"/>
    </row>
    <row r="665" spans="1:31" ht="15.75" customHeight="1" x14ac:dyDescent="0.25">
      <c r="A665" s="6" t="s">
        <v>16</v>
      </c>
      <c r="B665" s="16" t="s">
        <v>34</v>
      </c>
      <c r="C665" s="138" t="s">
        <v>34</v>
      </c>
      <c r="D665" s="18"/>
      <c r="E665" s="18">
        <v>16000</v>
      </c>
      <c r="F665" s="18"/>
      <c r="G665" s="61">
        <f t="shared" si="314"/>
        <v>16000</v>
      </c>
      <c r="H665" s="15"/>
      <c r="I665" s="110">
        <v>1878</v>
      </c>
      <c r="J665" s="110">
        <v>16122</v>
      </c>
      <c r="K665" s="110"/>
      <c r="L665" s="45">
        <f t="shared" si="315"/>
        <v>18000</v>
      </c>
      <c r="M665" s="115">
        <f t="shared" si="316"/>
        <v>2000</v>
      </c>
      <c r="N665" s="110"/>
      <c r="O665" s="168"/>
      <c r="P665" s="19"/>
      <c r="Q665" s="242"/>
      <c r="R665" s="168"/>
      <c r="S665" s="168"/>
      <c r="T665" s="168"/>
      <c r="U665" s="168"/>
      <c r="V665" s="168"/>
      <c r="W665" s="168"/>
      <c r="X665" s="196"/>
      <c r="Y665" s="280"/>
      <c r="Z665" s="16"/>
      <c r="AA665" s="16"/>
      <c r="AB665" s="16"/>
      <c r="AC665" s="16"/>
      <c r="AD665" s="16"/>
      <c r="AE665" s="16"/>
    </row>
    <row r="666" spans="1:31" ht="15.75" customHeight="1" x14ac:dyDescent="0.25">
      <c r="A666" s="6" t="s">
        <v>16</v>
      </c>
      <c r="B666" s="16" t="s">
        <v>33</v>
      </c>
      <c r="C666" s="151" t="s">
        <v>33</v>
      </c>
      <c r="D666" s="142"/>
      <c r="E666" s="152">
        <v>16000</v>
      </c>
      <c r="F666" s="142"/>
      <c r="G666" s="132">
        <f t="shared" si="314"/>
        <v>16000</v>
      </c>
      <c r="H666" s="134"/>
      <c r="I666" s="153"/>
      <c r="J666" s="153">
        <v>18000</v>
      </c>
      <c r="K666" s="153"/>
      <c r="L666" s="154">
        <f t="shared" si="315"/>
        <v>18000</v>
      </c>
      <c r="M666" s="155">
        <f t="shared" si="316"/>
        <v>2000</v>
      </c>
      <c r="N666" s="153"/>
      <c r="O666" s="183"/>
      <c r="P666" s="152"/>
      <c r="Q666" s="256"/>
      <c r="R666" s="183"/>
      <c r="S666" s="183"/>
      <c r="T666" s="183"/>
      <c r="U666" s="183"/>
      <c r="V666" s="183"/>
      <c r="W666" s="183"/>
      <c r="X666" s="184"/>
      <c r="Y666" s="280"/>
      <c r="Z666" s="16"/>
      <c r="AA666" s="16"/>
      <c r="AB666" s="16"/>
      <c r="AC666" s="16"/>
      <c r="AD666" s="16"/>
      <c r="AE666" s="16"/>
    </row>
    <row r="667" spans="1:31" ht="15.75" customHeight="1" x14ac:dyDescent="0.25">
      <c r="A667" s="6" t="s">
        <v>16</v>
      </c>
      <c r="B667" s="16" t="s">
        <v>35</v>
      </c>
      <c r="C667" s="16" t="s">
        <v>35</v>
      </c>
      <c r="D667" s="18"/>
      <c r="E667" s="18">
        <v>10000</v>
      </c>
      <c r="F667" s="18"/>
      <c r="G667" s="61">
        <f t="shared" si="314"/>
        <v>10000</v>
      </c>
      <c r="H667" s="15"/>
      <c r="I667" s="18"/>
      <c r="J667" s="18"/>
      <c r="K667" s="18"/>
      <c r="L667" s="14">
        <f t="shared" si="315"/>
        <v>0</v>
      </c>
      <c r="M667" s="62">
        <f t="shared" si="316"/>
        <v>-10000</v>
      </c>
      <c r="N667" s="19"/>
      <c r="O667" s="168"/>
      <c r="P667" s="19"/>
      <c r="Q667" s="242"/>
      <c r="R667" s="168"/>
      <c r="S667" s="168"/>
      <c r="T667" s="168"/>
      <c r="U667" s="168"/>
      <c r="V667" s="168"/>
      <c r="W667" s="168"/>
      <c r="X667" s="168"/>
      <c r="Y667" s="280"/>
      <c r="Z667" s="16"/>
      <c r="AA667" s="16"/>
      <c r="AB667" s="16"/>
      <c r="AC667" s="16"/>
      <c r="AD667" s="16"/>
      <c r="AE667" s="16"/>
    </row>
    <row r="668" spans="1:31" ht="15.75" customHeight="1" x14ac:dyDescent="0.25">
      <c r="A668" s="6" t="s">
        <v>16</v>
      </c>
      <c r="B668" s="16" t="s">
        <v>41</v>
      </c>
      <c r="C668" s="16" t="s">
        <v>41</v>
      </c>
      <c r="D668" s="18"/>
      <c r="E668" s="18"/>
      <c r="F668" s="18"/>
      <c r="G668" s="61">
        <f t="shared" si="314"/>
        <v>0</v>
      </c>
      <c r="H668" s="15"/>
      <c r="I668" s="18"/>
      <c r="J668" s="18"/>
      <c r="K668" s="18"/>
      <c r="L668" s="14">
        <f t="shared" si="315"/>
        <v>0</v>
      </c>
      <c r="M668" s="62">
        <f t="shared" si="316"/>
        <v>0</v>
      </c>
      <c r="N668" s="19"/>
      <c r="O668" s="168"/>
      <c r="P668" s="19"/>
      <c r="Q668" s="242"/>
      <c r="R668" s="168"/>
      <c r="S668" s="168"/>
      <c r="T668" s="168"/>
      <c r="U668" s="168"/>
      <c r="V668" s="168"/>
      <c r="W668" s="168"/>
      <c r="X668" s="168"/>
      <c r="Y668" s="280"/>
      <c r="Z668" s="16"/>
      <c r="AA668" s="16"/>
      <c r="AB668" s="16"/>
      <c r="AC668" s="16"/>
      <c r="AD668" s="16"/>
      <c r="AE668" s="16"/>
    </row>
    <row r="669" spans="1:31" ht="15.75" customHeight="1" x14ac:dyDescent="0.25">
      <c r="A669" s="6" t="s">
        <v>16</v>
      </c>
      <c r="B669" s="16" t="s">
        <v>29</v>
      </c>
      <c r="C669" s="16" t="s">
        <v>29</v>
      </c>
      <c r="D669" s="18"/>
      <c r="E669" s="18">
        <v>24000</v>
      </c>
      <c r="F669" s="18"/>
      <c r="G669" s="61">
        <f t="shared" si="314"/>
        <v>24000</v>
      </c>
      <c r="H669" s="15"/>
      <c r="I669" s="18"/>
      <c r="J669" s="18"/>
      <c r="K669" s="18"/>
      <c r="L669" s="14">
        <f t="shared" si="315"/>
        <v>0</v>
      </c>
      <c r="M669" s="62">
        <f t="shared" si="316"/>
        <v>-24000</v>
      </c>
      <c r="N669" s="19"/>
      <c r="O669" s="168"/>
      <c r="P669" s="19"/>
      <c r="Q669" s="242"/>
      <c r="R669" s="168"/>
      <c r="S669" s="168"/>
      <c r="T669" s="168"/>
      <c r="U669" s="168"/>
      <c r="V669" s="168"/>
      <c r="W669" s="168"/>
      <c r="X669" s="168"/>
      <c r="Y669" s="280"/>
      <c r="Z669" s="16"/>
      <c r="AA669" s="16"/>
      <c r="AB669" s="16"/>
      <c r="AC669" s="16"/>
      <c r="AD669" s="16"/>
      <c r="AE669" s="16"/>
    </row>
    <row r="670" spans="1:31" ht="15.75" customHeight="1" x14ac:dyDescent="0.25">
      <c r="A670" s="6" t="s">
        <v>16</v>
      </c>
      <c r="B670" s="16" t="s">
        <v>37</v>
      </c>
      <c r="C670" s="16" t="s">
        <v>37</v>
      </c>
      <c r="D670" s="18"/>
      <c r="E670" s="18"/>
      <c r="F670" s="18"/>
      <c r="G670" s="61">
        <f t="shared" si="314"/>
        <v>0</v>
      </c>
      <c r="H670" s="15"/>
      <c r="I670" s="18"/>
      <c r="J670" s="18"/>
      <c r="K670" s="18"/>
      <c r="L670" s="14">
        <f t="shared" si="315"/>
        <v>0</v>
      </c>
      <c r="M670" s="62">
        <f t="shared" si="316"/>
        <v>0</v>
      </c>
      <c r="N670" s="19"/>
      <c r="O670" s="168"/>
      <c r="P670" s="19"/>
      <c r="Q670" s="242"/>
      <c r="R670" s="168"/>
      <c r="S670" s="168"/>
      <c r="T670" s="168"/>
      <c r="U670" s="168"/>
      <c r="V670" s="168"/>
      <c r="W670" s="168"/>
      <c r="X670" s="168"/>
      <c r="Y670" s="280"/>
      <c r="Z670" s="16"/>
      <c r="AA670" s="16"/>
      <c r="AB670" s="16"/>
      <c r="AC670" s="16"/>
      <c r="AD670" s="16"/>
      <c r="AE670" s="16"/>
    </row>
    <row r="671" spans="1:31" ht="15.75" customHeight="1" x14ac:dyDescent="0.25">
      <c r="A671" s="6" t="s">
        <v>16</v>
      </c>
      <c r="B671" s="16" t="s">
        <v>47</v>
      </c>
      <c r="C671" s="16" t="s">
        <v>47</v>
      </c>
      <c r="D671" s="18"/>
      <c r="E671" s="18"/>
      <c r="F671" s="18"/>
      <c r="G671" s="61">
        <f t="shared" si="314"/>
        <v>0</v>
      </c>
      <c r="H671" s="15"/>
      <c r="I671" s="18"/>
      <c r="J671" s="18"/>
      <c r="K671" s="18"/>
      <c r="L671" s="14">
        <f t="shared" si="315"/>
        <v>0</v>
      </c>
      <c r="M671" s="62">
        <f t="shared" si="316"/>
        <v>0</v>
      </c>
      <c r="N671" s="19"/>
      <c r="O671" s="168"/>
      <c r="P671" s="19"/>
      <c r="Q671" s="242"/>
      <c r="R671" s="168"/>
      <c r="S671" s="168"/>
      <c r="T671" s="168">
        <v>2500</v>
      </c>
      <c r="U671" s="168"/>
      <c r="V671" s="168"/>
      <c r="W671" s="168"/>
      <c r="X671" s="168"/>
      <c r="Y671" s="280"/>
      <c r="Z671" s="16"/>
      <c r="AA671" s="16"/>
      <c r="AB671" s="16"/>
      <c r="AC671" s="16"/>
      <c r="AD671" s="16"/>
      <c r="AE671" s="16"/>
    </row>
    <row r="672" spans="1:31" ht="15.75" customHeight="1" x14ac:dyDescent="0.25">
      <c r="A672" s="6" t="s">
        <v>16</v>
      </c>
      <c r="B672" s="16" t="s">
        <v>39</v>
      </c>
      <c r="C672" s="16" t="s">
        <v>39</v>
      </c>
      <c r="D672" s="18"/>
      <c r="E672" s="18"/>
      <c r="F672" s="18"/>
      <c r="G672" s="61">
        <f t="shared" si="314"/>
        <v>0</v>
      </c>
      <c r="H672" s="15"/>
      <c r="I672" s="18"/>
      <c r="J672" s="18"/>
      <c r="K672" s="18"/>
      <c r="L672" s="14">
        <f t="shared" si="315"/>
        <v>0</v>
      </c>
      <c r="M672" s="62">
        <f t="shared" si="316"/>
        <v>0</v>
      </c>
      <c r="N672" s="19"/>
      <c r="O672" s="168"/>
      <c r="P672" s="19"/>
      <c r="Q672" s="242"/>
      <c r="R672" s="168"/>
      <c r="S672" s="168"/>
      <c r="T672" s="168"/>
      <c r="U672" s="168"/>
      <c r="V672" s="168"/>
      <c r="W672" s="168"/>
      <c r="X672" s="168"/>
      <c r="Y672" s="280"/>
      <c r="Z672" s="16"/>
      <c r="AA672" s="16"/>
      <c r="AB672" s="16"/>
      <c r="AC672" s="16"/>
      <c r="AD672" s="16"/>
      <c r="AE672" s="16"/>
    </row>
    <row r="673" spans="1:31" ht="15.75" customHeight="1" x14ac:dyDescent="0.25">
      <c r="A673" s="6" t="s">
        <v>16</v>
      </c>
      <c r="B673" s="16" t="s">
        <v>42</v>
      </c>
      <c r="C673" s="16" t="s">
        <v>42</v>
      </c>
      <c r="D673" s="18"/>
      <c r="E673" s="18"/>
      <c r="F673" s="18"/>
      <c r="G673" s="61">
        <f t="shared" si="314"/>
        <v>0</v>
      </c>
      <c r="H673" s="15"/>
      <c r="I673" s="18"/>
      <c r="J673" s="18"/>
      <c r="K673" s="18"/>
      <c r="L673" s="14">
        <f t="shared" si="315"/>
        <v>0</v>
      </c>
      <c r="M673" s="62">
        <f t="shared" si="316"/>
        <v>0</v>
      </c>
      <c r="N673" s="19"/>
      <c r="O673" s="168"/>
      <c r="P673" s="19"/>
      <c r="Q673" s="242"/>
      <c r="R673" s="168"/>
      <c r="S673" s="168"/>
      <c r="T673" s="168"/>
      <c r="U673" s="168"/>
      <c r="V673" s="168"/>
      <c r="W673" s="168"/>
      <c r="X673" s="168"/>
      <c r="Y673" s="280"/>
      <c r="Z673" s="16"/>
      <c r="AA673" s="16"/>
      <c r="AB673" s="16"/>
      <c r="AC673" s="16"/>
      <c r="AD673" s="16"/>
      <c r="AE673" s="16"/>
    </row>
    <row r="674" spans="1:31" ht="15.75" customHeight="1" x14ac:dyDescent="0.25">
      <c r="A674" s="6" t="s">
        <v>16</v>
      </c>
      <c r="B674" s="16" t="s">
        <v>40</v>
      </c>
      <c r="C674" s="16" t="s">
        <v>40</v>
      </c>
      <c r="D674" s="18"/>
      <c r="E674" s="18"/>
      <c r="F674" s="18"/>
      <c r="G674" s="61">
        <f t="shared" si="314"/>
        <v>0</v>
      </c>
      <c r="H674" s="15"/>
      <c r="I674" s="18"/>
      <c r="J674" s="18"/>
      <c r="K674" s="18"/>
      <c r="L674" s="14">
        <f t="shared" si="315"/>
        <v>0</v>
      </c>
      <c r="M674" s="62">
        <f t="shared" si="316"/>
        <v>0</v>
      </c>
      <c r="N674" s="19"/>
      <c r="O674" s="168"/>
      <c r="P674" s="19"/>
      <c r="Q674" s="242"/>
      <c r="R674" s="168"/>
      <c r="S674" s="168"/>
      <c r="T674" s="168"/>
      <c r="U674" s="168"/>
      <c r="V674" s="168"/>
      <c r="W674" s="168"/>
      <c r="X674" s="168"/>
      <c r="Y674" s="280"/>
      <c r="Z674" s="16"/>
      <c r="AA674" s="16"/>
      <c r="AB674" s="16"/>
      <c r="AC674" s="16"/>
      <c r="AD674" s="16"/>
      <c r="AE674" s="16"/>
    </row>
    <row r="675" spans="1:31" ht="15.75" customHeight="1" x14ac:dyDescent="0.25">
      <c r="A675" s="6" t="s">
        <v>16</v>
      </c>
      <c r="B675" s="16" t="s">
        <v>44</v>
      </c>
      <c r="C675" s="16" t="s">
        <v>44</v>
      </c>
      <c r="D675" s="18"/>
      <c r="E675" s="18"/>
      <c r="F675" s="18"/>
      <c r="G675" s="61">
        <f t="shared" si="314"/>
        <v>0</v>
      </c>
      <c r="H675" s="15"/>
      <c r="I675" s="18"/>
      <c r="J675" s="18"/>
      <c r="K675" s="18"/>
      <c r="L675" s="14">
        <f t="shared" si="315"/>
        <v>0</v>
      </c>
      <c r="M675" s="62">
        <f t="shared" si="316"/>
        <v>0</v>
      </c>
      <c r="N675" s="19"/>
      <c r="O675" s="168"/>
      <c r="P675" s="19"/>
      <c r="Q675" s="242"/>
      <c r="R675" s="168"/>
      <c r="S675" s="168"/>
      <c r="T675" s="168"/>
      <c r="U675" s="168"/>
      <c r="V675" s="168"/>
      <c r="W675" s="168"/>
      <c r="X675" s="168"/>
      <c r="Y675" s="280"/>
      <c r="Z675" s="16"/>
      <c r="AA675" s="16"/>
      <c r="AB675" s="16"/>
      <c r="AC675" s="16"/>
      <c r="AD675" s="16"/>
      <c r="AE675" s="16"/>
    </row>
    <row r="676" spans="1:31" ht="15.75" customHeight="1" x14ac:dyDescent="0.25">
      <c r="A676" s="6" t="s">
        <v>16</v>
      </c>
      <c r="B676" s="16" t="s">
        <v>45</v>
      </c>
      <c r="C676" s="16" t="s">
        <v>45</v>
      </c>
      <c r="D676" s="18"/>
      <c r="E676" s="18"/>
      <c r="F676" s="18"/>
      <c r="G676" s="61">
        <f t="shared" si="314"/>
        <v>0</v>
      </c>
      <c r="H676" s="15"/>
      <c r="I676" s="18"/>
      <c r="J676" s="18"/>
      <c r="K676" s="18"/>
      <c r="L676" s="14">
        <f t="shared" si="315"/>
        <v>0</v>
      </c>
      <c r="M676" s="62">
        <f t="shared" si="316"/>
        <v>0</v>
      </c>
      <c r="N676" s="19"/>
      <c r="O676" s="168"/>
      <c r="P676" s="19"/>
      <c r="Q676" s="242"/>
      <c r="R676" s="168"/>
      <c r="S676" s="168"/>
      <c r="T676" s="168"/>
      <c r="U676" s="168"/>
      <c r="V676" s="168"/>
      <c r="W676" s="168"/>
      <c r="X676" s="168"/>
      <c r="Y676" s="280"/>
      <c r="Z676" s="16"/>
      <c r="AA676" s="16"/>
      <c r="AB676" s="16"/>
      <c r="AC676" s="16"/>
      <c r="AD676" s="16"/>
      <c r="AE676" s="16"/>
    </row>
    <row r="677" spans="1:31" ht="15.75" customHeight="1" x14ac:dyDescent="0.25">
      <c r="A677" s="6" t="s">
        <v>16</v>
      </c>
      <c r="B677" s="16" t="s">
        <v>38</v>
      </c>
      <c r="C677" s="16" t="s">
        <v>38</v>
      </c>
      <c r="D677" s="18"/>
      <c r="E677" s="18"/>
      <c r="F677" s="18"/>
      <c r="G677" s="61">
        <f t="shared" si="314"/>
        <v>0</v>
      </c>
      <c r="H677" s="15"/>
      <c r="I677" s="18"/>
      <c r="J677" s="18"/>
      <c r="K677" s="18"/>
      <c r="L677" s="14">
        <f t="shared" si="315"/>
        <v>0</v>
      </c>
      <c r="M677" s="62">
        <f t="shared" si="316"/>
        <v>0</v>
      </c>
      <c r="N677" s="19"/>
      <c r="O677" s="168"/>
      <c r="P677" s="19"/>
      <c r="Q677" s="242"/>
      <c r="R677" s="168"/>
      <c r="S677" s="168"/>
      <c r="T677" s="168"/>
      <c r="U677" s="168"/>
      <c r="V677" s="168"/>
      <c r="W677" s="168"/>
      <c r="X677" s="168"/>
      <c r="Y677" s="280"/>
      <c r="Z677" s="16"/>
      <c r="AA677" s="16"/>
      <c r="AB677" s="16"/>
      <c r="AC677" s="16"/>
      <c r="AD677" s="16"/>
      <c r="AE677" s="16"/>
    </row>
    <row r="678" spans="1:31" ht="15.75" customHeight="1" x14ac:dyDescent="0.25">
      <c r="A678" s="6" t="s">
        <v>16</v>
      </c>
      <c r="B678" s="16" t="s">
        <v>36</v>
      </c>
      <c r="C678" s="16" t="s">
        <v>36</v>
      </c>
      <c r="D678" s="18"/>
      <c r="E678" s="18"/>
      <c r="F678" s="18"/>
      <c r="G678" s="61">
        <f t="shared" si="314"/>
        <v>0</v>
      </c>
      <c r="H678" s="15"/>
      <c r="I678" s="18"/>
      <c r="J678" s="18"/>
      <c r="K678" s="18"/>
      <c r="L678" s="14">
        <f t="shared" si="315"/>
        <v>0</v>
      </c>
      <c r="M678" s="62">
        <f t="shared" si="316"/>
        <v>0</v>
      </c>
      <c r="N678" s="19"/>
      <c r="O678" s="168"/>
      <c r="P678" s="19"/>
      <c r="Q678" s="242"/>
      <c r="R678" s="168"/>
      <c r="S678" s="168"/>
      <c r="T678" s="168"/>
      <c r="U678" s="168"/>
      <c r="V678" s="168"/>
      <c r="W678" s="168"/>
      <c r="X678" s="168"/>
      <c r="Y678" s="280"/>
      <c r="Z678" s="16"/>
      <c r="AA678" s="16"/>
      <c r="AB678" s="16"/>
      <c r="AC678" s="16"/>
      <c r="AD678" s="16"/>
      <c r="AE678" s="16"/>
    </row>
    <row r="679" spans="1:31" ht="15.75" customHeight="1" x14ac:dyDescent="0.25">
      <c r="C679" s="26" t="s">
        <v>188</v>
      </c>
      <c r="D679" s="89">
        <f>SUM(D652:D678)</f>
        <v>5837</v>
      </c>
      <c r="E679" s="89">
        <f>SUM(E652:E678)</f>
        <v>197845</v>
      </c>
      <c r="F679" s="89">
        <f>SUM(F652:F678)</f>
        <v>0</v>
      </c>
      <c r="G679" s="27">
        <f t="shared" si="314"/>
        <v>203682</v>
      </c>
      <c r="H679" s="89">
        <f>SUM(H652:H678)</f>
        <v>0</v>
      </c>
      <c r="I679" s="89">
        <f>SUM(I652:I678)</f>
        <v>6204</v>
      </c>
      <c r="J679" s="89">
        <f>SUM(J652:J678)</f>
        <v>214693</v>
      </c>
      <c r="K679" s="89">
        <f>SUM(K652:K678)</f>
        <v>0</v>
      </c>
      <c r="L679" s="89">
        <f t="shared" si="315"/>
        <v>220897</v>
      </c>
      <c r="M679" s="28">
        <f t="shared" si="316"/>
        <v>17215</v>
      </c>
      <c r="N679" s="89">
        <f t="shared" ref="N679:X679" si="317">SUM(N652:N678)</f>
        <v>0</v>
      </c>
      <c r="O679" s="107">
        <f t="shared" si="317"/>
        <v>59820</v>
      </c>
      <c r="P679" s="210">
        <f>SUM(P652:P678)</f>
        <v>5000</v>
      </c>
      <c r="Q679" s="246">
        <f>SUM(Q652:Q678)</f>
        <v>15000</v>
      </c>
      <c r="R679" s="107">
        <f t="shared" si="317"/>
        <v>0</v>
      </c>
      <c r="S679" s="107">
        <f t="shared" si="317"/>
        <v>0</v>
      </c>
      <c r="T679" s="107">
        <f t="shared" si="317"/>
        <v>2500</v>
      </c>
      <c r="U679" s="107">
        <f t="shared" si="317"/>
        <v>0</v>
      </c>
      <c r="V679" s="107">
        <f t="shared" si="317"/>
        <v>0</v>
      </c>
      <c r="W679" s="107">
        <f t="shared" si="317"/>
        <v>0</v>
      </c>
      <c r="X679" s="107">
        <f t="shared" si="317"/>
        <v>0</v>
      </c>
    </row>
    <row r="680" spans="1:31" ht="15.75" customHeight="1" x14ac:dyDescent="0.25">
      <c r="C680" s="6" t="s">
        <v>399</v>
      </c>
      <c r="D680" s="14"/>
      <c r="E680" s="14"/>
      <c r="F680" s="14"/>
      <c r="G680" s="61"/>
      <c r="H680" s="15"/>
      <c r="I680" s="14"/>
      <c r="J680" s="14"/>
      <c r="K680" s="14"/>
      <c r="L680" s="14"/>
      <c r="M680" s="62"/>
      <c r="N680" s="14"/>
      <c r="O680" s="38"/>
      <c r="P680" s="15"/>
      <c r="Q680" s="241"/>
      <c r="R680" s="38"/>
      <c r="S680" s="38"/>
      <c r="T680" s="38"/>
      <c r="U680" s="38"/>
      <c r="V680" s="38"/>
      <c r="W680" s="38"/>
      <c r="X680" s="38"/>
    </row>
    <row r="681" spans="1:31" ht="15.75" customHeight="1" x14ac:dyDescent="0.25">
      <c r="A681" s="6" t="s">
        <v>68</v>
      </c>
      <c r="B681" s="32" t="s">
        <v>71</v>
      </c>
      <c r="C681" s="32" t="s">
        <v>71</v>
      </c>
      <c r="D681" s="74">
        <v>144241</v>
      </c>
      <c r="E681" s="74">
        <v>30201</v>
      </c>
      <c r="F681" s="74"/>
      <c r="G681" s="59">
        <f t="shared" ref="G681:G685" si="318">SUM(D681:F681)</f>
        <v>174442</v>
      </c>
      <c r="H681" s="90">
        <v>12143</v>
      </c>
      <c r="I681" s="74">
        <v>160931</v>
      </c>
      <c r="J681" s="74">
        <v>49989</v>
      </c>
      <c r="K681" s="91"/>
      <c r="L681" s="74">
        <f>SUM(I681:K681)</f>
        <v>210920</v>
      </c>
      <c r="M681" s="60">
        <f>(L681-G681)</f>
        <v>36478</v>
      </c>
      <c r="N681" s="74"/>
      <c r="O681" s="102"/>
      <c r="P681" s="90"/>
      <c r="Q681" s="247"/>
      <c r="R681" s="102"/>
      <c r="S681" s="102"/>
      <c r="T681" s="102"/>
      <c r="U681" s="102"/>
      <c r="V681" s="102"/>
      <c r="W681" s="102"/>
      <c r="X681" s="179"/>
      <c r="Y681" s="279"/>
      <c r="Z681" s="3"/>
      <c r="AA681" s="3"/>
      <c r="AB681" s="3"/>
      <c r="AC681" s="3"/>
      <c r="AD681" s="3"/>
      <c r="AE681" s="3"/>
    </row>
    <row r="682" spans="1:31" ht="15.75" customHeight="1" x14ac:dyDescent="0.25">
      <c r="A682" s="6" t="s">
        <v>68</v>
      </c>
      <c r="B682" s="32" t="s">
        <v>71</v>
      </c>
      <c r="C682" s="13" t="s">
        <v>414</v>
      </c>
      <c r="D682" s="14"/>
      <c r="E682" s="14">
        <v>19481</v>
      </c>
      <c r="F682" s="14"/>
      <c r="G682" s="61">
        <f t="shared" si="318"/>
        <v>19481</v>
      </c>
      <c r="H682" s="15"/>
      <c r="I682" s="14"/>
      <c r="J682" s="14">
        <v>23184</v>
      </c>
      <c r="K682" s="30"/>
      <c r="L682" s="14">
        <f>SUM(I682:K682)</f>
        <v>23184</v>
      </c>
      <c r="M682" s="62">
        <f>(L682-G682)</f>
        <v>3703</v>
      </c>
      <c r="N682" s="14"/>
      <c r="O682" s="38"/>
      <c r="P682" s="15"/>
      <c r="Q682" s="241"/>
      <c r="R682" s="38"/>
      <c r="S682" s="38"/>
      <c r="T682" s="38"/>
      <c r="U682" s="38"/>
      <c r="V682" s="38"/>
      <c r="W682" s="38"/>
      <c r="X682" s="167"/>
      <c r="Y682" s="279"/>
      <c r="Z682" s="3"/>
      <c r="AA682" s="3"/>
      <c r="AB682" s="3"/>
      <c r="AC682" s="3"/>
      <c r="AD682" s="3"/>
      <c r="AE682" s="3"/>
    </row>
    <row r="683" spans="1:31" ht="15.75" customHeight="1" x14ac:dyDescent="0.25">
      <c r="A683" s="6" t="s">
        <v>68</v>
      </c>
      <c r="B683" s="32" t="s">
        <v>71</v>
      </c>
      <c r="C683" s="13" t="s">
        <v>400</v>
      </c>
      <c r="D683" s="14">
        <v>30342</v>
      </c>
      <c r="E683" s="14"/>
      <c r="F683" s="14"/>
      <c r="G683" s="61">
        <f t="shared" si="318"/>
        <v>30342</v>
      </c>
      <c r="H683" s="15"/>
      <c r="I683" s="14">
        <v>33013</v>
      </c>
      <c r="J683" s="14"/>
      <c r="K683" s="30"/>
      <c r="L683" s="14">
        <f>SUM(I683:K683)</f>
        <v>33013</v>
      </c>
      <c r="M683" s="62">
        <f>(L683-G683)</f>
        <v>2671</v>
      </c>
      <c r="N683" s="14"/>
      <c r="O683" s="38"/>
      <c r="P683" s="15"/>
      <c r="Q683" s="241"/>
      <c r="R683" s="38"/>
      <c r="S683" s="38"/>
      <c r="T683" s="38"/>
      <c r="U683" s="38"/>
      <c r="V683" s="38"/>
      <c r="W683" s="38"/>
      <c r="X683" s="167"/>
      <c r="Y683" s="279"/>
      <c r="Z683" s="3"/>
      <c r="AA683" s="3"/>
      <c r="AB683" s="3"/>
      <c r="AC683" s="3"/>
      <c r="AD683" s="3"/>
      <c r="AE683" s="3"/>
    </row>
    <row r="684" spans="1:31" ht="15.75" customHeight="1" x14ac:dyDescent="0.25">
      <c r="A684" s="6" t="s">
        <v>68</v>
      </c>
      <c r="B684" s="32" t="s">
        <v>71</v>
      </c>
      <c r="C684" s="13" t="s">
        <v>401</v>
      </c>
      <c r="D684" s="15"/>
      <c r="E684" s="15"/>
      <c r="F684" s="15"/>
      <c r="G684" s="61">
        <f t="shared" si="318"/>
        <v>0</v>
      </c>
      <c r="H684" s="15"/>
      <c r="I684" s="30"/>
      <c r="J684" s="14"/>
      <c r="K684" s="30"/>
      <c r="L684" s="14">
        <f>SUM(I684:K684)</f>
        <v>0</v>
      </c>
      <c r="M684" s="62">
        <f>(L684-G684)</f>
        <v>0</v>
      </c>
      <c r="N684" s="14">
        <v>169383</v>
      </c>
      <c r="O684" s="38"/>
      <c r="P684" s="15"/>
      <c r="Q684" s="241"/>
      <c r="R684" s="38"/>
      <c r="S684" s="38"/>
      <c r="T684" s="38"/>
      <c r="U684" s="38"/>
      <c r="V684" s="38"/>
      <c r="W684" s="38"/>
      <c r="X684" s="167"/>
      <c r="Y684" s="279"/>
      <c r="Z684" s="3"/>
      <c r="AA684" s="3"/>
      <c r="AB684" s="3"/>
      <c r="AC684" s="3"/>
      <c r="AD684" s="3"/>
      <c r="AE684" s="3"/>
    </row>
    <row r="685" spans="1:31" ht="15.75" customHeight="1" x14ac:dyDescent="0.25">
      <c r="A685" s="6" t="s">
        <v>68</v>
      </c>
      <c r="B685" s="32" t="s">
        <v>71</v>
      </c>
      <c r="C685" s="13" t="s">
        <v>402</v>
      </c>
      <c r="D685" s="15"/>
      <c r="E685" s="15"/>
      <c r="F685" s="15"/>
      <c r="G685" s="61">
        <f t="shared" si="318"/>
        <v>0</v>
      </c>
      <c r="H685" s="15"/>
      <c r="I685" s="30"/>
      <c r="J685" s="14"/>
      <c r="K685" s="30"/>
      <c r="L685" s="14">
        <f>SUM(I685:K685)</f>
        <v>0</v>
      </c>
      <c r="M685" s="62">
        <f>(L685-G685)</f>
        <v>0</v>
      </c>
      <c r="N685" s="14"/>
      <c r="O685" s="38"/>
      <c r="P685" s="15"/>
      <c r="Q685" s="241"/>
      <c r="R685" s="38"/>
      <c r="S685" s="38"/>
      <c r="T685" s="38"/>
      <c r="U685" s="38"/>
      <c r="V685" s="38"/>
      <c r="W685" s="38"/>
      <c r="X685" s="167"/>
      <c r="Y685" s="279"/>
      <c r="Z685" s="3"/>
      <c r="AA685" s="3"/>
      <c r="AB685" s="3"/>
      <c r="AC685" s="3"/>
      <c r="AD685" s="3"/>
      <c r="AE685" s="3"/>
    </row>
    <row r="686" spans="1:31" ht="15.75" customHeight="1" x14ac:dyDescent="0.25">
      <c r="A686" s="6" t="s">
        <v>68</v>
      </c>
      <c r="B686" s="32" t="s">
        <v>71</v>
      </c>
      <c r="C686" s="13" t="s">
        <v>403</v>
      </c>
      <c r="D686" s="15"/>
      <c r="E686" s="15"/>
      <c r="F686" s="15"/>
      <c r="G686" s="61">
        <f t="shared" ref="G686" si="319">SUM(D686:F686)</f>
        <v>0</v>
      </c>
      <c r="H686" s="15"/>
      <c r="I686" s="30"/>
      <c r="J686" s="14"/>
      <c r="K686" s="30"/>
      <c r="L686" s="14">
        <f t="shared" ref="L686" si="320">SUM(I686:K686)</f>
        <v>0</v>
      </c>
      <c r="M686" s="62">
        <f t="shared" ref="M686" si="321">L686-G686</f>
        <v>0</v>
      </c>
      <c r="N686" s="14">
        <v>77</v>
      </c>
      <c r="O686" s="38"/>
      <c r="P686" s="15"/>
      <c r="Q686" s="241"/>
      <c r="R686" s="38"/>
      <c r="S686" s="38"/>
      <c r="T686" s="38"/>
      <c r="U686" s="38"/>
      <c r="V686" s="38"/>
      <c r="W686" s="38"/>
      <c r="X686" s="167"/>
      <c r="Y686" s="279"/>
      <c r="Z686" s="3"/>
      <c r="AA686" s="3"/>
      <c r="AB686" s="3"/>
      <c r="AC686" s="3"/>
      <c r="AD686" s="3"/>
      <c r="AE686" s="3"/>
    </row>
    <row r="687" spans="1:31" ht="15.75" customHeight="1" x14ac:dyDescent="0.25">
      <c r="A687" s="6" t="s">
        <v>68</v>
      </c>
      <c r="B687" s="32" t="s">
        <v>71</v>
      </c>
      <c r="C687" s="13" t="s">
        <v>859</v>
      </c>
      <c r="D687" s="15"/>
      <c r="E687" s="15"/>
      <c r="F687" s="15"/>
      <c r="G687" s="61">
        <f t="shared" ref="G687:G754" si="322">SUM(D687:F687)</f>
        <v>0</v>
      </c>
      <c r="H687" s="15"/>
      <c r="I687" s="30"/>
      <c r="J687" s="14"/>
      <c r="K687" s="30"/>
      <c r="L687" s="14">
        <f t="shared" ref="L687:L731" si="323">SUM(I687:K687)</f>
        <v>0</v>
      </c>
      <c r="M687" s="62">
        <f t="shared" ref="M687:M728" si="324">(L687-G687)</f>
        <v>0</v>
      </c>
      <c r="N687" s="14"/>
      <c r="O687" s="38"/>
      <c r="P687" s="15"/>
      <c r="Q687" s="241"/>
      <c r="R687" s="38"/>
      <c r="S687" s="38"/>
      <c r="T687" s="38"/>
      <c r="U687" s="38"/>
      <c r="V687" s="38"/>
      <c r="W687" s="38"/>
      <c r="X687" s="167"/>
      <c r="Y687" s="279"/>
      <c r="Z687" s="3"/>
      <c r="AA687" s="3"/>
      <c r="AB687" s="3"/>
      <c r="AC687" s="3"/>
      <c r="AD687" s="3"/>
      <c r="AE687" s="3"/>
    </row>
    <row r="688" spans="1:31" ht="15.75" customHeight="1" x14ac:dyDescent="0.25">
      <c r="A688" s="6" t="s">
        <v>68</v>
      </c>
      <c r="B688" s="32" t="s">
        <v>71</v>
      </c>
      <c r="C688" s="17" t="s">
        <v>860</v>
      </c>
      <c r="D688" s="15"/>
      <c r="E688" s="15"/>
      <c r="F688" s="14"/>
      <c r="G688" s="61">
        <f t="shared" si="322"/>
        <v>0</v>
      </c>
      <c r="H688" s="15"/>
      <c r="I688" s="30"/>
      <c r="J688" s="14"/>
      <c r="K688" s="30"/>
      <c r="L688" s="14">
        <f t="shared" si="323"/>
        <v>0</v>
      </c>
      <c r="M688" s="62">
        <f t="shared" si="324"/>
        <v>0</v>
      </c>
      <c r="N688" s="14"/>
      <c r="O688" s="38"/>
      <c r="P688" s="15"/>
      <c r="Q688" s="241"/>
      <c r="R688" s="38"/>
      <c r="S688" s="38"/>
      <c r="T688" s="38"/>
      <c r="U688" s="38"/>
      <c r="V688" s="38"/>
      <c r="W688" s="38"/>
      <c r="X688" s="167"/>
      <c r="Y688" s="279"/>
      <c r="Z688" s="3"/>
      <c r="AA688" s="3"/>
      <c r="AB688" s="3"/>
      <c r="AC688" s="3"/>
      <c r="AD688" s="3"/>
      <c r="AE688" s="3"/>
    </row>
    <row r="689" spans="1:31" ht="15.75" customHeight="1" x14ac:dyDescent="0.25">
      <c r="A689" s="6" t="s">
        <v>68</v>
      </c>
      <c r="B689" s="32" t="s">
        <v>71</v>
      </c>
      <c r="C689" s="17" t="s">
        <v>861</v>
      </c>
      <c r="D689" s="18"/>
      <c r="E689" s="18"/>
      <c r="F689" s="18"/>
      <c r="G689" s="61">
        <f t="shared" si="322"/>
        <v>0</v>
      </c>
      <c r="H689" s="15"/>
      <c r="I689" s="20"/>
      <c r="J689" s="18"/>
      <c r="K689" s="20"/>
      <c r="L689" s="14">
        <f t="shared" si="323"/>
        <v>0</v>
      </c>
      <c r="M689" s="62">
        <f t="shared" si="324"/>
        <v>0</v>
      </c>
      <c r="N689" s="18"/>
      <c r="O689" s="168"/>
      <c r="P689" s="19"/>
      <c r="Q689" s="242"/>
      <c r="R689" s="168"/>
      <c r="S689" s="168"/>
      <c r="T689" s="168"/>
      <c r="U689" s="168"/>
      <c r="V689" s="168"/>
      <c r="W689" s="168"/>
      <c r="X689" s="169"/>
      <c r="Y689" s="280"/>
      <c r="Z689" s="16"/>
      <c r="AA689" s="16"/>
      <c r="AB689" s="16"/>
      <c r="AC689" s="16"/>
      <c r="AD689" s="16"/>
      <c r="AE689" s="16"/>
    </row>
    <row r="690" spans="1:31" ht="15.75" customHeight="1" x14ac:dyDescent="0.25">
      <c r="A690" s="6" t="s">
        <v>68</v>
      </c>
      <c r="B690" s="32" t="s">
        <v>71</v>
      </c>
      <c r="C690" s="17" t="s">
        <v>862</v>
      </c>
      <c r="D690" s="18"/>
      <c r="E690" s="18"/>
      <c r="F690" s="18"/>
      <c r="G690" s="61">
        <f t="shared" si="322"/>
        <v>0</v>
      </c>
      <c r="H690" s="15"/>
      <c r="I690" s="20"/>
      <c r="J690" s="20"/>
      <c r="K690" s="18"/>
      <c r="L690" s="14">
        <f t="shared" si="323"/>
        <v>0</v>
      </c>
      <c r="M690" s="62">
        <f t="shared" si="324"/>
        <v>0</v>
      </c>
      <c r="N690" s="18"/>
      <c r="O690" s="168"/>
      <c r="P690" s="19"/>
      <c r="Q690" s="242"/>
      <c r="R690" s="168"/>
      <c r="S690" s="168"/>
      <c r="T690" s="168"/>
      <c r="U690" s="168"/>
      <c r="V690" s="168"/>
      <c r="W690" s="168"/>
      <c r="X690" s="169"/>
      <c r="Y690" s="280"/>
      <c r="Z690" s="16"/>
      <c r="AA690" s="16"/>
      <c r="AB690" s="16"/>
      <c r="AC690" s="16"/>
      <c r="AD690" s="16"/>
      <c r="AE690" s="16"/>
    </row>
    <row r="691" spans="1:31" ht="15.75" customHeight="1" x14ac:dyDescent="0.25">
      <c r="A691" s="6" t="s">
        <v>68</v>
      </c>
      <c r="B691" s="32" t="s">
        <v>71</v>
      </c>
      <c r="C691" s="17" t="s">
        <v>863</v>
      </c>
      <c r="D691" s="19"/>
      <c r="E691" s="19"/>
      <c r="F691" s="19"/>
      <c r="G691" s="61">
        <f t="shared" si="322"/>
        <v>0</v>
      </c>
      <c r="H691" s="15"/>
      <c r="I691" s="19"/>
      <c r="J691" s="19"/>
      <c r="K691" s="19"/>
      <c r="L691" s="14">
        <f t="shared" si="323"/>
        <v>0</v>
      </c>
      <c r="M691" s="62">
        <f t="shared" si="324"/>
        <v>0</v>
      </c>
      <c r="N691" s="18"/>
      <c r="O691" s="168"/>
      <c r="P691" s="19"/>
      <c r="Q691" s="242"/>
      <c r="R691" s="168"/>
      <c r="S691" s="168">
        <v>5024</v>
      </c>
      <c r="T691" s="168"/>
      <c r="U691" s="168"/>
      <c r="V691" s="168"/>
      <c r="W691" s="168"/>
      <c r="X691" s="169"/>
      <c r="Y691" s="280"/>
      <c r="Z691" s="16"/>
      <c r="AA691" s="16"/>
      <c r="AB691" s="16"/>
      <c r="AC691" s="16"/>
      <c r="AD691" s="16"/>
      <c r="AE691" s="16"/>
    </row>
    <row r="692" spans="1:31" ht="15.75" customHeight="1" x14ac:dyDescent="0.25">
      <c r="A692" s="109"/>
      <c r="B692" s="3"/>
      <c r="C692" s="233" t="s">
        <v>231</v>
      </c>
      <c r="D692" s="14"/>
      <c r="E692" s="14"/>
      <c r="F692" s="14"/>
      <c r="G692" s="61">
        <f>SUM(D692:F692)</f>
        <v>0</v>
      </c>
      <c r="H692" s="15"/>
      <c r="I692" s="14"/>
      <c r="J692" s="14"/>
      <c r="K692" s="14"/>
      <c r="L692" s="14">
        <f>SUM(I692:K692)</f>
        <v>0</v>
      </c>
      <c r="M692" s="62">
        <f>(L692-G692)</f>
        <v>0</v>
      </c>
      <c r="N692" s="14"/>
      <c r="O692" s="38"/>
      <c r="P692" s="15"/>
      <c r="Q692" s="241"/>
      <c r="R692" s="38"/>
      <c r="S692" s="38"/>
      <c r="T692" s="38"/>
      <c r="U692" s="38"/>
      <c r="V692" s="38"/>
      <c r="W692" s="38"/>
      <c r="X692" s="167"/>
      <c r="Y692" s="280"/>
      <c r="Z692" s="16"/>
      <c r="AA692" s="16"/>
      <c r="AB692" s="16"/>
      <c r="AC692" s="16"/>
      <c r="AD692" s="16"/>
      <c r="AE692" s="16"/>
    </row>
    <row r="693" spans="1:31" ht="15.75" customHeight="1" x14ac:dyDescent="0.25">
      <c r="A693" s="109"/>
      <c r="B693" s="3"/>
      <c r="C693" s="13" t="s">
        <v>864</v>
      </c>
      <c r="D693" s="14"/>
      <c r="E693" s="14"/>
      <c r="F693" s="14"/>
      <c r="G693" s="61">
        <f>SUM(D693:F693)</f>
        <v>0</v>
      </c>
      <c r="H693" s="15"/>
      <c r="I693" s="14"/>
      <c r="J693" s="14"/>
      <c r="K693" s="14"/>
      <c r="L693" s="14">
        <f>SUM(I693:K693)</f>
        <v>0</v>
      </c>
      <c r="M693" s="62">
        <f>(L693-G693)</f>
        <v>0</v>
      </c>
      <c r="N693" s="14"/>
      <c r="O693" s="38"/>
      <c r="P693" s="15">
        <v>4539</v>
      </c>
      <c r="Q693" s="241"/>
      <c r="R693" s="38"/>
      <c r="S693" s="38"/>
      <c r="T693" s="38"/>
      <c r="U693" s="38"/>
      <c r="V693" s="38"/>
      <c r="W693" s="38"/>
      <c r="X693" s="167"/>
      <c r="Y693" s="280"/>
      <c r="Z693" s="16"/>
      <c r="AA693" s="16"/>
      <c r="AB693" s="16"/>
      <c r="AC693" s="16"/>
      <c r="AD693" s="16"/>
      <c r="AE693" s="16"/>
    </row>
    <row r="694" spans="1:31" ht="15.75" customHeight="1" x14ac:dyDescent="0.25">
      <c r="A694" s="109"/>
      <c r="B694" s="3"/>
      <c r="C694" s="13" t="s">
        <v>865</v>
      </c>
      <c r="D694" s="14"/>
      <c r="E694" s="14"/>
      <c r="F694" s="14"/>
      <c r="G694" s="61">
        <f>SUM(D694:F694)</f>
        <v>0</v>
      </c>
      <c r="H694" s="15"/>
      <c r="I694" s="14"/>
      <c r="J694" s="14"/>
      <c r="K694" s="14"/>
      <c r="L694" s="14">
        <f>SUM(I694:K694)</f>
        <v>0</v>
      </c>
      <c r="M694" s="62">
        <f>(L694-G694)</f>
        <v>0</v>
      </c>
      <c r="N694" s="14"/>
      <c r="O694" s="38"/>
      <c r="P694" s="15">
        <v>5082</v>
      </c>
      <c r="Q694" s="241"/>
      <c r="R694" s="38"/>
      <c r="S694" s="38"/>
      <c r="T694" s="38"/>
      <c r="U694" s="38"/>
      <c r="V694" s="38"/>
      <c r="W694" s="38"/>
      <c r="X694" s="167"/>
      <c r="Y694" s="280"/>
      <c r="Z694" s="16"/>
      <c r="AA694" s="16"/>
      <c r="AB694" s="16"/>
      <c r="AC694" s="16"/>
      <c r="AD694" s="16"/>
      <c r="AE694" s="16"/>
    </row>
    <row r="695" spans="1:31" ht="15.75" customHeight="1" x14ac:dyDescent="0.25">
      <c r="A695" s="109"/>
      <c r="B695" s="3"/>
      <c r="C695" s="13" t="s">
        <v>866</v>
      </c>
      <c r="D695" s="14"/>
      <c r="E695" s="14"/>
      <c r="F695" s="14"/>
      <c r="G695" s="61">
        <f>SUM(D695:F695)</f>
        <v>0</v>
      </c>
      <c r="H695" s="15"/>
      <c r="I695" s="14"/>
      <c r="J695" s="14"/>
      <c r="K695" s="14"/>
      <c r="L695" s="14">
        <f>SUM(I695:K695)</f>
        <v>0</v>
      </c>
      <c r="M695" s="62">
        <f>(L695-G695)</f>
        <v>0</v>
      </c>
      <c r="N695" s="14"/>
      <c r="O695" s="38"/>
      <c r="P695" s="15">
        <v>3230</v>
      </c>
      <c r="Q695" s="241"/>
      <c r="R695" s="38"/>
      <c r="S695" s="38"/>
      <c r="T695" s="38"/>
      <c r="U695" s="38"/>
      <c r="V695" s="38"/>
      <c r="W695" s="38"/>
      <c r="X695" s="167"/>
      <c r="Y695" s="280"/>
      <c r="Z695" s="16"/>
      <c r="AA695" s="16"/>
      <c r="AB695" s="16"/>
      <c r="AC695" s="16"/>
      <c r="AD695" s="16"/>
      <c r="AE695" s="16"/>
    </row>
    <row r="696" spans="1:31" ht="15.75" customHeight="1" x14ac:dyDescent="0.25">
      <c r="A696" s="16"/>
      <c r="B696" s="16"/>
      <c r="C696" s="40" t="s">
        <v>188</v>
      </c>
      <c r="D696" s="96">
        <f>SUM(D681:D691)</f>
        <v>174583</v>
      </c>
      <c r="E696" s="96">
        <f>SUM(E681:E691)</f>
        <v>49682</v>
      </c>
      <c r="F696" s="96">
        <f>SUM(F681:F691)</f>
        <v>0</v>
      </c>
      <c r="G696" s="27">
        <f t="shared" si="322"/>
        <v>224265</v>
      </c>
      <c r="H696" s="96">
        <f>SUM(H681:H695)</f>
        <v>12143</v>
      </c>
      <c r="I696" s="96">
        <f>SUM(I681:I695)</f>
        <v>193944</v>
      </c>
      <c r="J696" s="96">
        <f>SUM(J681:J695)</f>
        <v>73173</v>
      </c>
      <c r="K696" s="96">
        <f>SUM(K681:K695)</f>
        <v>0</v>
      </c>
      <c r="L696" s="89">
        <f t="shared" si="323"/>
        <v>267117</v>
      </c>
      <c r="M696" s="28">
        <f t="shared" si="324"/>
        <v>42852</v>
      </c>
      <c r="N696" s="96">
        <f t="shared" ref="N696:X696" si="325">SUM(N681:N695)</f>
        <v>169460</v>
      </c>
      <c r="O696" s="96">
        <f t="shared" si="325"/>
        <v>0</v>
      </c>
      <c r="P696" s="96">
        <f t="shared" si="325"/>
        <v>12851</v>
      </c>
      <c r="Q696" s="260">
        <f t="shared" si="325"/>
        <v>0</v>
      </c>
      <c r="R696" s="96">
        <f t="shared" si="325"/>
        <v>0</v>
      </c>
      <c r="S696" s="96">
        <f t="shared" si="325"/>
        <v>5024</v>
      </c>
      <c r="T696" s="96">
        <f t="shared" si="325"/>
        <v>0</v>
      </c>
      <c r="U696" s="96">
        <f t="shared" si="325"/>
        <v>0</v>
      </c>
      <c r="V696" s="96">
        <f t="shared" si="325"/>
        <v>0</v>
      </c>
      <c r="W696" s="96">
        <f t="shared" si="325"/>
        <v>0</v>
      </c>
      <c r="X696" s="96">
        <f t="shared" si="325"/>
        <v>0</v>
      </c>
      <c r="Y696" s="280"/>
      <c r="Z696" s="16"/>
      <c r="AA696" s="16"/>
      <c r="AB696" s="16"/>
      <c r="AC696" s="16"/>
      <c r="AD696" s="16"/>
      <c r="AE696" s="16"/>
    </row>
    <row r="697" spans="1:31" ht="15.75" customHeight="1" x14ac:dyDescent="0.25">
      <c r="A697" s="6" t="s">
        <v>68</v>
      </c>
      <c r="B697" s="32" t="s">
        <v>70</v>
      </c>
      <c r="C697" s="32" t="s">
        <v>70</v>
      </c>
      <c r="D697" s="74">
        <v>136550</v>
      </c>
      <c r="E697" s="74">
        <v>40387</v>
      </c>
      <c r="F697" s="74">
        <v>3200</v>
      </c>
      <c r="G697" s="61">
        <f t="shared" si="322"/>
        <v>180137</v>
      </c>
      <c r="H697" s="15">
        <v>9050</v>
      </c>
      <c r="I697" s="74">
        <v>152564</v>
      </c>
      <c r="J697" s="74">
        <v>57637</v>
      </c>
      <c r="K697" s="74"/>
      <c r="L697" s="14">
        <f t="shared" si="323"/>
        <v>210201</v>
      </c>
      <c r="M697" s="62">
        <f t="shared" si="324"/>
        <v>30064</v>
      </c>
      <c r="N697" s="74"/>
      <c r="O697" s="102"/>
      <c r="P697" s="90"/>
      <c r="Q697" s="247"/>
      <c r="R697" s="102"/>
      <c r="S697" s="102"/>
      <c r="T697" s="102"/>
      <c r="U697" s="102"/>
      <c r="V697" s="102"/>
      <c r="W697" s="102"/>
      <c r="X697" s="179"/>
      <c r="Y697" s="279"/>
      <c r="Z697" s="3"/>
      <c r="AA697" s="3"/>
      <c r="AB697" s="3"/>
      <c r="AC697" s="3"/>
      <c r="AD697" s="3"/>
      <c r="AE697" s="3"/>
    </row>
    <row r="698" spans="1:31" ht="15.75" customHeight="1" x14ac:dyDescent="0.25">
      <c r="A698" s="6" t="s">
        <v>68</v>
      </c>
      <c r="B698" s="32" t="s">
        <v>70</v>
      </c>
      <c r="C698" s="13" t="s">
        <v>414</v>
      </c>
      <c r="D698" s="14"/>
      <c r="E698" s="14">
        <v>23442</v>
      </c>
      <c r="F698" s="14"/>
      <c r="G698" s="61">
        <f t="shared" si="322"/>
        <v>23442</v>
      </c>
      <c r="H698" s="15"/>
      <c r="I698" s="14"/>
      <c r="J698" s="14">
        <v>31802</v>
      </c>
      <c r="K698" s="30"/>
      <c r="L698" s="14">
        <f t="shared" si="323"/>
        <v>31802</v>
      </c>
      <c r="M698" s="62">
        <f t="shared" si="324"/>
        <v>8360</v>
      </c>
      <c r="N698" s="14"/>
      <c r="O698" s="38"/>
      <c r="P698" s="15"/>
      <c r="Q698" s="241"/>
      <c r="R698" s="38"/>
      <c r="S698" s="38"/>
      <c r="T698" s="38"/>
      <c r="U698" s="38"/>
      <c r="V698" s="38"/>
      <c r="W698" s="38"/>
      <c r="X698" s="167"/>
      <c r="Y698" s="279"/>
      <c r="Z698" s="3"/>
      <c r="AA698" s="3"/>
      <c r="AB698" s="3"/>
      <c r="AC698" s="3"/>
      <c r="AD698" s="3"/>
      <c r="AE698" s="3"/>
    </row>
    <row r="699" spans="1:31" ht="15.75" customHeight="1" x14ac:dyDescent="0.25">
      <c r="A699" s="6" t="s">
        <v>68</v>
      </c>
      <c r="B699" s="32" t="s">
        <v>70</v>
      </c>
      <c r="C699" s="13" t="s">
        <v>400</v>
      </c>
      <c r="D699" s="14">
        <v>166967</v>
      </c>
      <c r="E699" s="14"/>
      <c r="F699" s="14"/>
      <c r="G699" s="61">
        <f t="shared" si="322"/>
        <v>166967</v>
      </c>
      <c r="H699" s="15"/>
      <c r="I699" s="14">
        <v>189404</v>
      </c>
      <c r="J699" s="14"/>
      <c r="K699" s="30"/>
      <c r="L699" s="14">
        <f t="shared" si="323"/>
        <v>189404</v>
      </c>
      <c r="M699" s="62">
        <f t="shared" si="324"/>
        <v>22437</v>
      </c>
      <c r="N699" s="14"/>
      <c r="O699" s="38"/>
      <c r="P699" s="15"/>
      <c r="Q699" s="241"/>
      <c r="R699" s="38"/>
      <c r="S699" s="38"/>
      <c r="T699" s="38"/>
      <c r="U699" s="38"/>
      <c r="V699" s="38"/>
      <c r="W699" s="38"/>
      <c r="X699" s="167"/>
      <c r="Y699" s="279"/>
      <c r="Z699" s="3"/>
      <c r="AA699" s="3"/>
      <c r="AB699" s="3"/>
      <c r="AC699" s="3"/>
      <c r="AD699" s="3"/>
      <c r="AE699" s="3"/>
    </row>
    <row r="700" spans="1:31" ht="15.75" customHeight="1" x14ac:dyDescent="0.25">
      <c r="A700" s="6" t="s">
        <v>68</v>
      </c>
      <c r="B700" s="32" t="s">
        <v>70</v>
      </c>
      <c r="C700" s="13" t="s">
        <v>401</v>
      </c>
      <c r="D700" s="15"/>
      <c r="E700" s="15"/>
      <c r="F700" s="15"/>
      <c r="G700" s="61">
        <f t="shared" si="322"/>
        <v>0</v>
      </c>
      <c r="H700" s="15"/>
      <c r="I700" s="30"/>
      <c r="J700" s="14"/>
      <c r="K700" s="30"/>
      <c r="L700" s="14">
        <f t="shared" si="323"/>
        <v>0</v>
      </c>
      <c r="M700" s="62">
        <f t="shared" si="324"/>
        <v>0</v>
      </c>
      <c r="N700" s="14">
        <v>51710</v>
      </c>
      <c r="O700" s="38"/>
      <c r="P700" s="15"/>
      <c r="Q700" s="241"/>
      <c r="R700" s="38"/>
      <c r="S700" s="38"/>
      <c r="T700" s="38"/>
      <c r="U700" s="38"/>
      <c r="V700" s="38"/>
      <c r="W700" s="38"/>
      <c r="X700" s="167"/>
      <c r="Y700" s="279"/>
      <c r="Z700" s="3"/>
      <c r="AA700" s="3"/>
      <c r="AB700" s="3"/>
      <c r="AC700" s="3"/>
      <c r="AD700" s="3"/>
      <c r="AE700" s="3"/>
    </row>
    <row r="701" spans="1:31" ht="15.75" customHeight="1" x14ac:dyDescent="0.25">
      <c r="A701" s="6" t="s">
        <v>68</v>
      </c>
      <c r="B701" s="32" t="s">
        <v>70</v>
      </c>
      <c r="C701" s="13" t="s">
        <v>402</v>
      </c>
      <c r="D701" s="15"/>
      <c r="E701" s="15"/>
      <c r="F701" s="15"/>
      <c r="G701" s="61">
        <f t="shared" si="322"/>
        <v>0</v>
      </c>
      <c r="H701" s="15"/>
      <c r="I701" s="30"/>
      <c r="J701" s="14"/>
      <c r="K701" s="30"/>
      <c r="L701" s="14">
        <f t="shared" si="323"/>
        <v>0</v>
      </c>
      <c r="M701" s="62">
        <f t="shared" si="324"/>
        <v>0</v>
      </c>
      <c r="N701" s="14"/>
      <c r="O701" s="38"/>
      <c r="P701" s="15"/>
      <c r="Q701" s="241"/>
      <c r="R701" s="38"/>
      <c r="S701" s="38"/>
      <c r="T701" s="38"/>
      <c r="U701" s="38"/>
      <c r="V701" s="38"/>
      <c r="W701" s="38"/>
      <c r="X701" s="167"/>
      <c r="Y701" s="279"/>
      <c r="Z701" s="3"/>
      <c r="AA701" s="3"/>
      <c r="AB701" s="3"/>
      <c r="AC701" s="3"/>
      <c r="AD701" s="3"/>
      <c r="AE701" s="3"/>
    </row>
    <row r="702" spans="1:31" ht="15.75" customHeight="1" x14ac:dyDescent="0.25">
      <c r="A702" s="6" t="s">
        <v>68</v>
      </c>
      <c r="B702" s="32" t="s">
        <v>70</v>
      </c>
      <c r="C702" s="13" t="s">
        <v>859</v>
      </c>
      <c r="D702" s="15"/>
      <c r="E702" s="15"/>
      <c r="F702" s="15"/>
      <c r="G702" s="61">
        <f t="shared" si="322"/>
        <v>0</v>
      </c>
      <c r="H702" s="15"/>
      <c r="I702" s="30"/>
      <c r="J702" s="14"/>
      <c r="K702" s="30"/>
      <c r="L702" s="14">
        <f t="shared" si="323"/>
        <v>0</v>
      </c>
      <c r="M702" s="62">
        <f t="shared" si="324"/>
        <v>0</v>
      </c>
      <c r="N702" s="14"/>
      <c r="O702" s="38"/>
      <c r="P702" s="15"/>
      <c r="Q702" s="241"/>
      <c r="R702" s="38"/>
      <c r="S702" s="38"/>
      <c r="T702" s="38"/>
      <c r="U702" s="38"/>
      <c r="V702" s="38"/>
      <c r="W702" s="38"/>
      <c r="X702" s="167"/>
      <c r="Y702" s="279"/>
      <c r="Z702" s="3"/>
      <c r="AA702" s="3"/>
      <c r="AB702" s="3"/>
      <c r="AC702" s="3"/>
      <c r="AD702" s="3"/>
      <c r="AE702" s="3"/>
    </row>
    <row r="703" spans="1:31" ht="15.75" customHeight="1" x14ac:dyDescent="0.25">
      <c r="A703" s="6" t="s">
        <v>68</v>
      </c>
      <c r="B703" s="32" t="s">
        <v>70</v>
      </c>
      <c r="C703" s="17" t="s">
        <v>867</v>
      </c>
      <c r="D703" s="15"/>
      <c r="E703" s="15"/>
      <c r="F703" s="14"/>
      <c r="G703" s="61">
        <f t="shared" si="322"/>
        <v>0</v>
      </c>
      <c r="H703" s="15"/>
      <c r="I703" s="30"/>
      <c r="J703" s="14"/>
      <c r="K703" s="45">
        <v>161</v>
      </c>
      <c r="L703" s="14">
        <f t="shared" si="323"/>
        <v>161</v>
      </c>
      <c r="M703" s="62">
        <f t="shared" si="324"/>
        <v>161</v>
      </c>
      <c r="N703" s="14"/>
      <c r="O703" s="38"/>
      <c r="P703" s="15"/>
      <c r="Q703" s="241"/>
      <c r="R703" s="38"/>
      <c r="S703" s="38"/>
      <c r="T703" s="38"/>
      <c r="U703" s="38"/>
      <c r="V703" s="38"/>
      <c r="W703" s="38"/>
      <c r="X703" s="167"/>
    </row>
    <row r="704" spans="1:31" ht="15.75" customHeight="1" x14ac:dyDescent="0.25">
      <c r="A704" s="6" t="s">
        <v>68</v>
      </c>
      <c r="B704" s="32" t="s">
        <v>70</v>
      </c>
      <c r="C704" s="17" t="s">
        <v>868</v>
      </c>
      <c r="D704" s="19"/>
      <c r="E704" s="18"/>
      <c r="F704" s="18"/>
      <c r="G704" s="61">
        <f t="shared" si="322"/>
        <v>0</v>
      </c>
      <c r="H704" s="15"/>
      <c r="I704" s="20"/>
      <c r="J704" s="18"/>
      <c r="K704" s="20"/>
      <c r="L704" s="14">
        <f t="shared" si="323"/>
        <v>0</v>
      </c>
      <c r="M704" s="62">
        <f t="shared" si="324"/>
        <v>0</v>
      </c>
      <c r="N704" s="18"/>
      <c r="O704" s="168"/>
      <c r="P704" s="19"/>
      <c r="Q704" s="242"/>
      <c r="R704" s="168"/>
      <c r="S704" s="168"/>
      <c r="T704" s="168"/>
      <c r="U704" s="168"/>
      <c r="V704" s="168"/>
      <c r="W704" s="168"/>
      <c r="X704" s="169"/>
      <c r="Y704" s="280"/>
      <c r="Z704" s="16"/>
      <c r="AA704" s="16"/>
      <c r="AB704" s="16"/>
      <c r="AC704" s="16"/>
      <c r="AD704" s="16"/>
      <c r="AE704" s="16"/>
    </row>
    <row r="705" spans="1:31" ht="15.75" customHeight="1" x14ac:dyDescent="0.25">
      <c r="A705" s="6" t="s">
        <v>68</v>
      </c>
      <c r="B705" s="32" t="s">
        <v>70</v>
      </c>
      <c r="C705" s="17" t="s">
        <v>869</v>
      </c>
      <c r="D705" s="19"/>
      <c r="E705" s="18"/>
      <c r="F705" s="18"/>
      <c r="G705" s="61">
        <f t="shared" si="322"/>
        <v>0</v>
      </c>
      <c r="H705" s="15"/>
      <c r="I705" s="20"/>
      <c r="J705" s="18"/>
      <c r="K705" s="20"/>
      <c r="L705" s="14">
        <f t="shared" si="323"/>
        <v>0</v>
      </c>
      <c r="M705" s="62">
        <f t="shared" si="324"/>
        <v>0</v>
      </c>
      <c r="N705" s="18"/>
      <c r="O705" s="168"/>
      <c r="P705" s="19"/>
      <c r="Q705" s="242"/>
      <c r="R705" s="168"/>
      <c r="S705" s="168"/>
      <c r="T705" s="168"/>
      <c r="U705" s="168"/>
      <c r="V705" s="168"/>
      <c r="W705" s="168"/>
      <c r="X705" s="169"/>
      <c r="Y705" s="280"/>
      <c r="Z705" s="16"/>
      <c r="AA705" s="16"/>
      <c r="AB705" s="16"/>
      <c r="AC705" s="16"/>
      <c r="AD705" s="16"/>
      <c r="AE705" s="16"/>
    </row>
    <row r="706" spans="1:31" ht="15.75" customHeight="1" x14ac:dyDescent="0.25">
      <c r="A706" s="6" t="s">
        <v>68</v>
      </c>
      <c r="B706" s="32" t="s">
        <v>70</v>
      </c>
      <c r="C706" s="17" t="s">
        <v>861</v>
      </c>
      <c r="D706" s="19"/>
      <c r="E706" s="19"/>
      <c r="F706" s="19"/>
      <c r="G706" s="61">
        <f t="shared" si="322"/>
        <v>0</v>
      </c>
      <c r="H706" s="15"/>
      <c r="I706" s="20"/>
      <c r="J706" s="18"/>
      <c r="K706" s="20"/>
      <c r="L706" s="14">
        <f t="shared" si="323"/>
        <v>0</v>
      </c>
      <c r="M706" s="62">
        <f t="shared" si="324"/>
        <v>0</v>
      </c>
      <c r="N706" s="18"/>
      <c r="O706" s="168"/>
      <c r="P706" s="19"/>
      <c r="Q706" s="242"/>
      <c r="R706" s="168"/>
      <c r="S706" s="168"/>
      <c r="T706" s="168"/>
      <c r="U706" s="168"/>
      <c r="V706" s="168"/>
      <c r="W706" s="168"/>
      <c r="X706" s="169"/>
      <c r="Y706" s="280"/>
      <c r="Z706" s="16"/>
      <c r="AA706" s="16"/>
      <c r="AB706" s="16"/>
      <c r="AC706" s="16"/>
      <c r="AD706" s="16"/>
      <c r="AE706" s="16"/>
    </row>
    <row r="707" spans="1:31" ht="15.75" customHeight="1" x14ac:dyDescent="0.25">
      <c r="A707" s="6" t="s">
        <v>68</v>
      </c>
      <c r="B707" s="32" t="s">
        <v>70</v>
      </c>
      <c r="C707" s="17" t="s">
        <v>870</v>
      </c>
      <c r="D707" s="19"/>
      <c r="E707" s="19"/>
      <c r="F707" s="19"/>
      <c r="G707" s="61">
        <f t="shared" si="322"/>
        <v>0</v>
      </c>
      <c r="H707" s="15"/>
      <c r="I707" s="19"/>
      <c r="J707" s="18"/>
      <c r="K707" s="19"/>
      <c r="L707" s="14">
        <f t="shared" si="323"/>
        <v>0</v>
      </c>
      <c r="M707" s="62">
        <f t="shared" si="324"/>
        <v>0</v>
      </c>
      <c r="N707" s="18"/>
      <c r="O707" s="168"/>
      <c r="P707" s="19"/>
      <c r="Q707" s="242"/>
      <c r="R707" s="168"/>
      <c r="S707" s="168">
        <v>500</v>
      </c>
      <c r="T707" s="168"/>
      <c r="U707" s="168"/>
      <c r="V707" s="168"/>
      <c r="W707" s="168"/>
      <c r="X707" s="169"/>
      <c r="Y707" s="280"/>
      <c r="Z707" s="16"/>
      <c r="AA707" s="16"/>
      <c r="AB707" s="16"/>
      <c r="AC707" s="16"/>
      <c r="AD707" s="16"/>
      <c r="AE707" s="16"/>
    </row>
    <row r="708" spans="1:31" ht="15.75" customHeight="1" x14ac:dyDescent="0.25">
      <c r="A708" s="6" t="s">
        <v>68</v>
      </c>
      <c r="B708" s="32" t="s">
        <v>70</v>
      </c>
      <c r="C708" s="17" t="s">
        <v>871</v>
      </c>
      <c r="D708" s="19"/>
      <c r="E708" s="19"/>
      <c r="F708" s="19"/>
      <c r="G708" s="61">
        <f t="shared" si="322"/>
        <v>0</v>
      </c>
      <c r="H708" s="15"/>
      <c r="I708" s="19"/>
      <c r="J708" s="19"/>
      <c r="K708" s="19"/>
      <c r="L708" s="14">
        <f t="shared" si="323"/>
        <v>0</v>
      </c>
      <c r="M708" s="62">
        <f t="shared" si="324"/>
        <v>0</v>
      </c>
      <c r="N708" s="18"/>
      <c r="O708" s="168"/>
      <c r="P708" s="19"/>
      <c r="Q708" s="242"/>
      <c r="R708" s="168"/>
      <c r="S708" s="168">
        <v>1000</v>
      </c>
      <c r="T708" s="168">
        <v>1000</v>
      </c>
      <c r="U708" s="168"/>
      <c r="V708" s="168"/>
      <c r="W708" s="168"/>
      <c r="X708" s="169"/>
      <c r="Y708" s="280"/>
      <c r="Z708" s="16"/>
      <c r="AA708" s="16"/>
      <c r="AB708" s="16"/>
      <c r="AC708" s="16"/>
      <c r="AD708" s="16"/>
      <c r="AE708" s="16"/>
    </row>
    <row r="709" spans="1:31" ht="15.75" customHeight="1" x14ac:dyDescent="0.25">
      <c r="A709" s="6" t="s">
        <v>68</v>
      </c>
      <c r="B709" s="32" t="s">
        <v>70</v>
      </c>
      <c r="C709" s="17" t="s">
        <v>872</v>
      </c>
      <c r="D709" s="19"/>
      <c r="E709" s="19"/>
      <c r="F709" s="19"/>
      <c r="G709" s="61">
        <f t="shared" si="322"/>
        <v>0</v>
      </c>
      <c r="H709" s="15"/>
      <c r="I709" s="19"/>
      <c r="J709" s="19"/>
      <c r="K709" s="19"/>
      <c r="L709" s="14">
        <f t="shared" si="323"/>
        <v>0</v>
      </c>
      <c r="M709" s="62">
        <f t="shared" si="324"/>
        <v>0</v>
      </c>
      <c r="N709" s="18"/>
      <c r="O709" s="168"/>
      <c r="P709" s="19"/>
      <c r="Q709" s="242"/>
      <c r="R709" s="168"/>
      <c r="S709" s="168">
        <v>1000</v>
      </c>
      <c r="T709" s="168">
        <v>1000</v>
      </c>
      <c r="U709" s="168"/>
      <c r="V709" s="168"/>
      <c r="W709" s="168"/>
      <c r="X709" s="169"/>
      <c r="Y709" s="280"/>
      <c r="Z709" s="16"/>
      <c r="AA709" s="16"/>
      <c r="AB709" s="16"/>
      <c r="AC709" s="16"/>
      <c r="AD709" s="16"/>
      <c r="AE709" s="16"/>
    </row>
    <row r="710" spans="1:31" ht="15.75" customHeight="1" x14ac:dyDescent="0.25">
      <c r="A710" s="6" t="s">
        <v>68</v>
      </c>
      <c r="B710" s="32" t="s">
        <v>70</v>
      </c>
      <c r="C710" s="17" t="s">
        <v>873</v>
      </c>
      <c r="D710" s="19"/>
      <c r="E710" s="19"/>
      <c r="F710" s="19"/>
      <c r="G710" s="61">
        <f t="shared" si="322"/>
        <v>0</v>
      </c>
      <c r="H710" s="15"/>
      <c r="I710" s="19"/>
      <c r="J710" s="19"/>
      <c r="K710" s="19"/>
      <c r="L710" s="14">
        <f t="shared" si="323"/>
        <v>0</v>
      </c>
      <c r="M710" s="62">
        <f t="shared" si="324"/>
        <v>0</v>
      </c>
      <c r="N710" s="18"/>
      <c r="O710" s="168"/>
      <c r="P710" s="19"/>
      <c r="Q710" s="242"/>
      <c r="R710" s="168"/>
      <c r="S710" s="168">
        <v>24000</v>
      </c>
      <c r="T710" s="168">
        <v>24000</v>
      </c>
      <c r="U710" s="168"/>
      <c r="V710" s="168"/>
      <c r="W710" s="168"/>
      <c r="X710" s="169"/>
      <c r="Y710" s="280"/>
      <c r="Z710" s="16"/>
      <c r="AA710" s="16"/>
      <c r="AB710" s="16"/>
      <c r="AC710" s="16"/>
      <c r="AD710" s="16"/>
      <c r="AE710" s="16"/>
    </row>
    <row r="711" spans="1:31" ht="15.75" customHeight="1" x14ac:dyDescent="0.25">
      <c r="A711" s="6" t="s">
        <v>68</v>
      </c>
      <c r="B711" s="32" t="s">
        <v>70</v>
      </c>
      <c r="C711" s="17" t="s">
        <v>874</v>
      </c>
      <c r="D711" s="19"/>
      <c r="E711" s="19"/>
      <c r="F711" s="19"/>
      <c r="G711" s="61">
        <f t="shared" si="322"/>
        <v>0</v>
      </c>
      <c r="H711" s="15"/>
      <c r="I711" s="19"/>
      <c r="J711" s="19"/>
      <c r="K711" s="19"/>
      <c r="L711" s="14">
        <f t="shared" si="323"/>
        <v>0</v>
      </c>
      <c r="M711" s="62">
        <f t="shared" si="324"/>
        <v>0</v>
      </c>
      <c r="N711" s="18"/>
      <c r="O711" s="168"/>
      <c r="P711" s="19"/>
      <c r="Q711" s="242"/>
      <c r="R711" s="168"/>
      <c r="S711" s="168">
        <v>23020</v>
      </c>
      <c r="T711" s="168">
        <v>26607</v>
      </c>
      <c r="U711" s="168"/>
      <c r="V711" s="168"/>
      <c r="W711" s="168"/>
      <c r="X711" s="169"/>
      <c r="Y711" s="280"/>
      <c r="Z711" s="16"/>
      <c r="AA711" s="16"/>
      <c r="AB711" s="16"/>
      <c r="AC711" s="16"/>
      <c r="AD711" s="16"/>
      <c r="AE711" s="16"/>
    </row>
    <row r="712" spans="1:31" ht="15.75" customHeight="1" x14ac:dyDescent="0.25">
      <c r="A712" s="6" t="s">
        <v>68</v>
      </c>
      <c r="B712" s="32" t="s">
        <v>70</v>
      </c>
      <c r="C712" s="17" t="s">
        <v>875</v>
      </c>
      <c r="D712" s="19"/>
      <c r="E712" s="19"/>
      <c r="F712" s="19"/>
      <c r="G712" s="61">
        <f t="shared" si="322"/>
        <v>0</v>
      </c>
      <c r="H712" s="15"/>
      <c r="I712" s="19"/>
      <c r="J712" s="19"/>
      <c r="K712" s="19"/>
      <c r="L712" s="14">
        <f t="shared" si="323"/>
        <v>0</v>
      </c>
      <c r="M712" s="62">
        <f t="shared" si="324"/>
        <v>0</v>
      </c>
      <c r="N712" s="18"/>
      <c r="O712" s="168"/>
      <c r="P712" s="19"/>
      <c r="Q712" s="242"/>
      <c r="R712" s="168"/>
      <c r="S712" s="168">
        <v>8142</v>
      </c>
      <c r="T712" s="168">
        <v>8142</v>
      </c>
      <c r="U712" s="168"/>
      <c r="V712" s="168"/>
      <c r="W712" s="168"/>
      <c r="X712" s="169"/>
      <c r="Y712" s="280"/>
      <c r="Z712" s="16"/>
      <c r="AA712" s="16"/>
      <c r="AB712" s="16"/>
      <c r="AC712" s="16"/>
      <c r="AD712" s="16"/>
      <c r="AE712" s="16"/>
    </row>
    <row r="713" spans="1:31" ht="15.75" customHeight="1" x14ac:dyDescent="0.25">
      <c r="A713" s="6" t="s">
        <v>68</v>
      </c>
      <c r="B713" s="32" t="s">
        <v>70</v>
      </c>
      <c r="C713" s="17" t="s">
        <v>876</v>
      </c>
      <c r="D713" s="19"/>
      <c r="E713" s="19"/>
      <c r="F713" s="19"/>
      <c r="G713" s="61">
        <f t="shared" si="322"/>
        <v>0</v>
      </c>
      <c r="H713" s="15"/>
      <c r="I713" s="19"/>
      <c r="J713" s="19"/>
      <c r="K713" s="19"/>
      <c r="L713" s="14">
        <f t="shared" si="323"/>
        <v>0</v>
      </c>
      <c r="M713" s="62">
        <f t="shared" si="324"/>
        <v>0</v>
      </c>
      <c r="N713" s="18"/>
      <c r="O713" s="168"/>
      <c r="P713" s="19"/>
      <c r="Q713" s="242"/>
      <c r="R713" s="168"/>
      <c r="S713" s="168">
        <v>11159</v>
      </c>
      <c r="T713" s="168">
        <v>11159</v>
      </c>
      <c r="U713" s="168"/>
      <c r="V713" s="168"/>
      <c r="W713" s="168"/>
      <c r="X713" s="169"/>
      <c r="Y713" s="280"/>
      <c r="Z713" s="16"/>
      <c r="AA713" s="16"/>
      <c r="AB713" s="16"/>
      <c r="AC713" s="16"/>
      <c r="AD713" s="16"/>
      <c r="AE713" s="16"/>
    </row>
    <row r="714" spans="1:31" ht="15.75" customHeight="1" x14ac:dyDescent="0.25">
      <c r="A714" s="6" t="s">
        <v>68</v>
      </c>
      <c r="B714" s="32" t="s">
        <v>70</v>
      </c>
      <c r="C714" s="17" t="s">
        <v>877</v>
      </c>
      <c r="D714" s="19"/>
      <c r="E714" s="19"/>
      <c r="F714" s="19"/>
      <c r="G714" s="61">
        <f t="shared" si="322"/>
        <v>0</v>
      </c>
      <c r="H714" s="15"/>
      <c r="I714" s="19"/>
      <c r="J714" s="19"/>
      <c r="K714" s="19"/>
      <c r="L714" s="14">
        <f t="shared" si="323"/>
        <v>0</v>
      </c>
      <c r="M714" s="62">
        <f t="shared" si="324"/>
        <v>0</v>
      </c>
      <c r="N714" s="18"/>
      <c r="O714" s="168"/>
      <c r="P714" s="19"/>
      <c r="Q714" s="242"/>
      <c r="R714" s="168"/>
      <c r="S714" s="168">
        <v>5525</v>
      </c>
      <c r="T714" s="168">
        <v>5525</v>
      </c>
      <c r="U714" s="168"/>
      <c r="V714" s="168"/>
      <c r="W714" s="168"/>
      <c r="X714" s="169"/>
      <c r="Y714" s="280"/>
      <c r="Z714" s="16"/>
      <c r="AA714" s="16"/>
      <c r="AB714" s="16"/>
      <c r="AC714" s="16"/>
      <c r="AD714" s="16"/>
      <c r="AE714" s="16"/>
    </row>
    <row r="715" spans="1:31" ht="15.75" customHeight="1" x14ac:dyDescent="0.25">
      <c r="A715" s="6" t="s">
        <v>68</v>
      </c>
      <c r="B715" s="32" t="s">
        <v>70</v>
      </c>
      <c r="C715" s="17" t="s">
        <v>878</v>
      </c>
      <c r="D715" s="19"/>
      <c r="E715" s="19"/>
      <c r="F715" s="19"/>
      <c r="G715" s="61">
        <f t="shared" si="322"/>
        <v>0</v>
      </c>
      <c r="H715" s="15"/>
      <c r="I715" s="19"/>
      <c r="J715" s="19"/>
      <c r="K715" s="19"/>
      <c r="L715" s="14">
        <f t="shared" si="323"/>
        <v>0</v>
      </c>
      <c r="M715" s="62">
        <f t="shared" si="324"/>
        <v>0</v>
      </c>
      <c r="N715" s="18"/>
      <c r="O715" s="168"/>
      <c r="P715" s="19"/>
      <c r="Q715" s="242"/>
      <c r="R715" s="168"/>
      <c r="S715" s="168"/>
      <c r="T715" s="168">
        <v>2367</v>
      </c>
      <c r="U715" s="168"/>
      <c r="V715" s="168"/>
      <c r="W715" s="168"/>
      <c r="X715" s="169"/>
      <c r="Y715" s="280"/>
      <c r="Z715" s="16"/>
      <c r="AA715" s="16"/>
      <c r="AB715" s="16"/>
      <c r="AC715" s="16"/>
      <c r="AD715" s="16"/>
      <c r="AE715" s="16"/>
    </row>
    <row r="716" spans="1:31" ht="15.75" customHeight="1" x14ac:dyDescent="0.25">
      <c r="A716" s="6" t="s">
        <v>68</v>
      </c>
      <c r="B716" s="32" t="s">
        <v>70</v>
      </c>
      <c r="C716" s="17" t="s">
        <v>879</v>
      </c>
      <c r="D716" s="19"/>
      <c r="E716" s="19"/>
      <c r="F716" s="19"/>
      <c r="G716" s="61">
        <f t="shared" si="322"/>
        <v>0</v>
      </c>
      <c r="H716" s="15"/>
      <c r="I716" s="19"/>
      <c r="J716" s="19"/>
      <c r="K716" s="19"/>
      <c r="L716" s="14">
        <f t="shared" si="323"/>
        <v>0</v>
      </c>
      <c r="M716" s="62">
        <f t="shared" si="324"/>
        <v>0</v>
      </c>
      <c r="N716" s="18"/>
      <c r="O716" s="168"/>
      <c r="P716" s="19"/>
      <c r="Q716" s="242"/>
      <c r="R716" s="168"/>
      <c r="S716" s="168"/>
      <c r="T716" s="168"/>
      <c r="U716" s="168"/>
      <c r="V716" s="168"/>
      <c r="W716" s="168"/>
      <c r="X716" s="169"/>
      <c r="Y716" s="280"/>
      <c r="Z716" s="16"/>
      <c r="AA716" s="16"/>
      <c r="AB716" s="16"/>
      <c r="AC716" s="16"/>
      <c r="AD716" s="16"/>
      <c r="AE716" s="16"/>
    </row>
    <row r="717" spans="1:31" ht="15.75" customHeight="1" x14ac:dyDescent="0.25">
      <c r="A717" s="6" t="s">
        <v>68</v>
      </c>
      <c r="B717" s="32" t="s">
        <v>70</v>
      </c>
      <c r="C717" s="17" t="s">
        <v>880</v>
      </c>
      <c r="D717" s="19"/>
      <c r="E717" s="19"/>
      <c r="F717" s="19"/>
      <c r="G717" s="61">
        <f t="shared" si="322"/>
        <v>0</v>
      </c>
      <c r="H717" s="15"/>
      <c r="I717" s="19"/>
      <c r="J717" s="19"/>
      <c r="K717" s="19"/>
      <c r="L717" s="14">
        <f t="shared" si="323"/>
        <v>0</v>
      </c>
      <c r="M717" s="62">
        <f t="shared" si="324"/>
        <v>0</v>
      </c>
      <c r="N717" s="18"/>
      <c r="O717" s="168"/>
      <c r="P717" s="19"/>
      <c r="Q717" s="242"/>
      <c r="R717" s="168"/>
      <c r="S717" s="168"/>
      <c r="T717" s="168">
        <v>12081</v>
      </c>
      <c r="U717" s="168"/>
      <c r="V717" s="168"/>
      <c r="W717" s="168"/>
      <c r="X717" s="169"/>
      <c r="Y717" s="280"/>
      <c r="Z717" s="16"/>
      <c r="AA717" s="16"/>
      <c r="AB717" s="16"/>
      <c r="AC717" s="16"/>
      <c r="AD717" s="16"/>
      <c r="AE717" s="16"/>
    </row>
    <row r="718" spans="1:31" ht="15.75" customHeight="1" x14ac:dyDescent="0.25">
      <c r="A718" s="6" t="s">
        <v>68</v>
      </c>
      <c r="B718" s="32" t="s">
        <v>70</v>
      </c>
      <c r="C718" s="17" t="s">
        <v>881</v>
      </c>
      <c r="D718" s="19"/>
      <c r="E718" s="19"/>
      <c r="F718" s="19"/>
      <c r="G718" s="61">
        <f t="shared" si="322"/>
        <v>0</v>
      </c>
      <c r="H718" s="15"/>
      <c r="I718" s="19"/>
      <c r="J718" s="19"/>
      <c r="K718" s="19"/>
      <c r="L718" s="14">
        <f t="shared" si="323"/>
        <v>0</v>
      </c>
      <c r="M718" s="62">
        <f t="shared" si="324"/>
        <v>0</v>
      </c>
      <c r="N718" s="18"/>
      <c r="O718" s="168"/>
      <c r="P718" s="19"/>
      <c r="Q718" s="242"/>
      <c r="R718" s="168"/>
      <c r="S718" s="168"/>
      <c r="T718" s="168">
        <v>10000</v>
      </c>
      <c r="U718" s="168"/>
      <c r="V718" s="168"/>
      <c r="W718" s="168"/>
      <c r="X718" s="169"/>
      <c r="Y718" s="280"/>
      <c r="Z718" s="16"/>
      <c r="AA718" s="16"/>
      <c r="AB718" s="16"/>
      <c r="AC718" s="16"/>
      <c r="AD718" s="16"/>
      <c r="AE718" s="16"/>
    </row>
    <row r="719" spans="1:31" ht="15.75" customHeight="1" x14ac:dyDescent="0.25">
      <c r="A719" s="109"/>
      <c r="B719" s="3"/>
      <c r="C719" s="31" t="s">
        <v>231</v>
      </c>
      <c r="D719" s="14"/>
      <c r="E719" s="14"/>
      <c r="F719" s="14"/>
      <c r="G719" s="61">
        <f t="shared" ref="G719:G724" si="326">SUM(D719:F719)</f>
        <v>0</v>
      </c>
      <c r="H719" s="15"/>
      <c r="I719" s="14"/>
      <c r="J719" s="14"/>
      <c r="K719" s="14"/>
      <c r="L719" s="14">
        <f t="shared" ref="L719:L724" si="327">SUM(I719:K719)</f>
        <v>0</v>
      </c>
      <c r="M719" s="62">
        <f t="shared" ref="M719:M724" si="328">(L719-G719)</f>
        <v>0</v>
      </c>
      <c r="N719" s="14"/>
      <c r="O719" s="38"/>
      <c r="P719" s="15"/>
      <c r="Q719" s="241"/>
      <c r="R719" s="38"/>
      <c r="S719" s="38"/>
      <c r="T719" s="38"/>
      <c r="U719" s="38"/>
      <c r="V719" s="38"/>
      <c r="W719" s="38"/>
      <c r="X719" s="167"/>
      <c r="Y719" s="280"/>
      <c r="Z719" s="16"/>
      <c r="AA719" s="16"/>
      <c r="AB719" s="16"/>
      <c r="AC719" s="16"/>
      <c r="AD719" s="16"/>
      <c r="AE719" s="16"/>
    </row>
    <row r="720" spans="1:31" ht="15.75" customHeight="1" x14ac:dyDescent="0.25">
      <c r="A720" s="109"/>
      <c r="B720" s="3"/>
      <c r="C720" s="13" t="s">
        <v>408</v>
      </c>
      <c r="D720" s="14"/>
      <c r="E720" s="14"/>
      <c r="F720" s="14"/>
      <c r="G720" s="61">
        <f t="shared" si="326"/>
        <v>0</v>
      </c>
      <c r="H720" s="15"/>
      <c r="I720" s="14"/>
      <c r="J720" s="14"/>
      <c r="K720" s="14"/>
      <c r="L720" s="14">
        <f t="shared" si="327"/>
        <v>0</v>
      </c>
      <c r="M720" s="62">
        <f t="shared" si="328"/>
        <v>0</v>
      </c>
      <c r="N720" s="14"/>
      <c r="O720" s="38"/>
      <c r="P720" s="15">
        <v>2500</v>
      </c>
      <c r="Q720" s="241"/>
      <c r="R720" s="38"/>
      <c r="S720" s="38"/>
      <c r="T720" s="38"/>
      <c r="U720" s="38"/>
      <c r="V720" s="38"/>
      <c r="W720" s="38"/>
      <c r="X720" s="167"/>
      <c r="Y720" s="280" t="s">
        <v>882</v>
      </c>
      <c r="Z720" s="16"/>
      <c r="AA720" s="16"/>
      <c r="AB720" s="16"/>
      <c r="AC720" s="16"/>
      <c r="AD720" s="16"/>
      <c r="AE720" s="16"/>
    </row>
    <row r="721" spans="1:31" ht="15.75" customHeight="1" x14ac:dyDescent="0.25">
      <c r="A721" s="109"/>
      <c r="B721" s="3"/>
      <c r="C721" s="13" t="s">
        <v>883</v>
      </c>
      <c r="D721" s="14"/>
      <c r="E721" s="14"/>
      <c r="F721" s="14"/>
      <c r="G721" s="61">
        <f t="shared" si="326"/>
        <v>0</v>
      </c>
      <c r="H721" s="15"/>
      <c r="I721" s="14"/>
      <c r="J721" s="14"/>
      <c r="K721" s="14"/>
      <c r="L721" s="14">
        <f t="shared" si="327"/>
        <v>0</v>
      </c>
      <c r="M721" s="62">
        <f t="shared" si="328"/>
        <v>0</v>
      </c>
      <c r="N721" s="14"/>
      <c r="O721" s="38"/>
      <c r="P721" s="310">
        <v>4000</v>
      </c>
      <c r="Q721" s="241">
        <v>2500</v>
      </c>
      <c r="R721" s="38"/>
      <c r="S721" s="38"/>
      <c r="T721" s="38"/>
      <c r="U721" s="38"/>
      <c r="V721" s="38"/>
      <c r="W721" s="38"/>
      <c r="X721" s="167"/>
      <c r="Y721" s="280" t="s">
        <v>884</v>
      </c>
      <c r="Z721" s="16"/>
      <c r="AA721" s="16"/>
      <c r="AB721" s="16"/>
      <c r="AC721" s="16"/>
      <c r="AD721" s="16"/>
      <c r="AE721" s="16"/>
    </row>
    <row r="722" spans="1:31" ht="15.75" customHeight="1" x14ac:dyDescent="0.25">
      <c r="A722" s="109"/>
      <c r="B722" s="3"/>
      <c r="C722" s="13" t="s">
        <v>885</v>
      </c>
      <c r="D722" s="14"/>
      <c r="E722" s="14"/>
      <c r="F722" s="14"/>
      <c r="G722" s="61">
        <f t="shared" si="326"/>
        <v>0</v>
      </c>
      <c r="H722" s="15"/>
      <c r="I722" s="14"/>
      <c r="J722" s="14"/>
      <c r="K722" s="14"/>
      <c r="L722" s="14">
        <f t="shared" si="327"/>
        <v>0</v>
      </c>
      <c r="M722" s="62">
        <f t="shared" si="328"/>
        <v>0</v>
      </c>
      <c r="N722" s="14"/>
      <c r="O722" s="38"/>
      <c r="P722" s="15">
        <v>1200</v>
      </c>
      <c r="Q722" s="241"/>
      <c r="R722" s="38"/>
      <c r="S722" s="38"/>
      <c r="T722" s="38"/>
      <c r="U722" s="38"/>
      <c r="V722" s="38"/>
      <c r="W722" s="38"/>
      <c r="X722" s="167"/>
      <c r="Y722" s="280"/>
      <c r="Z722" s="16"/>
      <c r="AA722" s="16"/>
      <c r="AB722" s="16"/>
      <c r="AC722" s="16"/>
      <c r="AD722" s="16"/>
      <c r="AE722" s="16"/>
    </row>
    <row r="723" spans="1:31" ht="15.75" customHeight="1" x14ac:dyDescent="0.25">
      <c r="A723" s="109"/>
      <c r="B723" s="3"/>
      <c r="C723" s="13" t="s">
        <v>886</v>
      </c>
      <c r="D723" s="14"/>
      <c r="E723" s="14"/>
      <c r="F723" s="14"/>
      <c r="G723" s="61">
        <f t="shared" si="326"/>
        <v>0</v>
      </c>
      <c r="H723" s="15"/>
      <c r="I723" s="14"/>
      <c r="J723" s="14"/>
      <c r="K723" s="14"/>
      <c r="L723" s="14">
        <f t="shared" si="327"/>
        <v>0</v>
      </c>
      <c r="M723" s="62">
        <f t="shared" si="328"/>
        <v>0</v>
      </c>
      <c r="N723" s="14"/>
      <c r="O723" s="38"/>
      <c r="P723" s="15">
        <v>3300</v>
      </c>
      <c r="Q723" s="241"/>
      <c r="R723" s="38"/>
      <c r="S723" s="38"/>
      <c r="T723" s="38"/>
      <c r="U723" s="38"/>
      <c r="V723" s="38"/>
      <c r="W723" s="38"/>
      <c r="X723" s="167"/>
      <c r="Y723" s="280"/>
      <c r="Z723" s="16"/>
      <c r="AA723" s="16"/>
      <c r="AB723" s="16"/>
      <c r="AC723" s="16"/>
      <c r="AD723" s="16"/>
      <c r="AE723" s="16"/>
    </row>
    <row r="724" spans="1:31" ht="15.75" customHeight="1" x14ac:dyDescent="0.25">
      <c r="A724" s="109"/>
      <c r="B724" s="3"/>
      <c r="C724" s="13" t="s">
        <v>409</v>
      </c>
      <c r="D724" s="14"/>
      <c r="E724" s="14"/>
      <c r="F724" s="14"/>
      <c r="G724" s="61">
        <f t="shared" si="326"/>
        <v>0</v>
      </c>
      <c r="H724" s="15"/>
      <c r="I724" s="14"/>
      <c r="J724" s="14"/>
      <c r="K724" s="14"/>
      <c r="L724" s="14">
        <f t="shared" si="327"/>
        <v>0</v>
      </c>
      <c r="M724" s="62">
        <f t="shared" si="328"/>
        <v>0</v>
      </c>
      <c r="N724" s="14"/>
      <c r="O724" s="38"/>
      <c r="P724" s="15">
        <v>4000</v>
      </c>
      <c r="Q724" s="241"/>
      <c r="R724" s="38"/>
      <c r="S724" s="38"/>
      <c r="T724" s="38"/>
      <c r="U724" s="38"/>
      <c r="V724" s="38"/>
      <c r="W724" s="38"/>
      <c r="X724" s="167"/>
      <c r="Y724" s="280"/>
      <c r="Z724" s="16"/>
      <c r="AA724" s="16"/>
      <c r="AB724" s="16"/>
      <c r="AC724" s="16"/>
      <c r="AD724" s="16"/>
      <c r="AE724" s="16"/>
    </row>
    <row r="725" spans="1:31" ht="15.75" customHeight="1" x14ac:dyDescent="0.25">
      <c r="A725" s="16"/>
      <c r="B725" s="16"/>
      <c r="C725" s="40" t="s">
        <v>188</v>
      </c>
      <c r="D725" s="96">
        <f>SUM(D697:D718)</f>
        <v>303517</v>
      </c>
      <c r="E725" s="96">
        <f>SUM(E697:E718)</f>
        <v>63829</v>
      </c>
      <c r="F725" s="96">
        <f>SUM(F697:F718)</f>
        <v>3200</v>
      </c>
      <c r="G725" s="27">
        <f t="shared" si="322"/>
        <v>370546</v>
      </c>
      <c r="H725" s="96">
        <f>SUM(H697:H724)</f>
        <v>9050</v>
      </c>
      <c r="I725" s="96">
        <f>SUM(I697:I724)</f>
        <v>341968</v>
      </c>
      <c r="J725" s="96">
        <f>SUM(J697:J724)</f>
        <v>89439</v>
      </c>
      <c r="K725" s="96">
        <f>SUM(K697:K724)</f>
        <v>161</v>
      </c>
      <c r="L725" s="89">
        <f t="shared" si="323"/>
        <v>431568</v>
      </c>
      <c r="M725" s="28">
        <f t="shared" si="324"/>
        <v>61022</v>
      </c>
      <c r="N725" s="96">
        <f t="shared" ref="N725:X725" si="329">SUM(N697:N724)</f>
        <v>51710</v>
      </c>
      <c r="O725" s="96">
        <f t="shared" si="329"/>
        <v>0</v>
      </c>
      <c r="P725" s="96">
        <f t="shared" si="329"/>
        <v>15000</v>
      </c>
      <c r="Q725" s="260">
        <f t="shared" si="329"/>
        <v>2500</v>
      </c>
      <c r="R725" s="96">
        <f t="shared" si="329"/>
        <v>0</v>
      </c>
      <c r="S725" s="96">
        <f t="shared" si="329"/>
        <v>74346</v>
      </c>
      <c r="T725" s="96">
        <f t="shared" si="329"/>
        <v>101881</v>
      </c>
      <c r="U725" s="96">
        <f t="shared" si="329"/>
        <v>0</v>
      </c>
      <c r="V725" s="96">
        <f t="shared" si="329"/>
        <v>0</v>
      </c>
      <c r="W725" s="96">
        <f t="shared" si="329"/>
        <v>0</v>
      </c>
      <c r="X725" s="96">
        <f t="shared" si="329"/>
        <v>0</v>
      </c>
      <c r="Y725" s="280"/>
      <c r="Z725" s="16"/>
      <c r="AA725" s="16"/>
      <c r="AB725" s="16"/>
      <c r="AC725" s="16"/>
      <c r="AD725" s="16"/>
      <c r="AE725" s="16"/>
    </row>
    <row r="726" spans="1:31" ht="15.75" customHeight="1" x14ac:dyDescent="0.25">
      <c r="A726" s="6" t="s">
        <v>68</v>
      </c>
      <c r="B726" s="32" t="s">
        <v>69</v>
      </c>
      <c r="C726" s="32" t="s">
        <v>69</v>
      </c>
      <c r="D726" s="74">
        <v>213291</v>
      </c>
      <c r="E726" s="74">
        <v>77576</v>
      </c>
      <c r="F726" s="74">
        <v>5450</v>
      </c>
      <c r="G726" s="61">
        <f t="shared" si="322"/>
        <v>296317</v>
      </c>
      <c r="H726" s="15">
        <v>21382</v>
      </c>
      <c r="I726" s="74">
        <v>244005</v>
      </c>
      <c r="J726" s="74">
        <v>130441</v>
      </c>
      <c r="K726" s="74"/>
      <c r="L726" s="14">
        <f t="shared" si="323"/>
        <v>374446</v>
      </c>
      <c r="M726" s="62">
        <f t="shared" si="324"/>
        <v>78129</v>
      </c>
      <c r="N726" s="74"/>
      <c r="O726" s="102"/>
      <c r="P726" s="90"/>
      <c r="Q726" s="247"/>
      <c r="R726" s="102"/>
      <c r="S726" s="102"/>
      <c r="T726" s="102"/>
      <c r="U726" s="102"/>
      <c r="V726" s="102"/>
      <c r="W726" s="102"/>
      <c r="X726" s="179"/>
      <c r="Y726" s="279"/>
      <c r="Z726" s="3"/>
      <c r="AA726" s="3"/>
      <c r="AB726" s="3"/>
      <c r="AC726" s="3"/>
      <c r="AD726" s="3"/>
      <c r="AE726" s="3"/>
    </row>
    <row r="727" spans="1:31" ht="15.75" customHeight="1" x14ac:dyDescent="0.25">
      <c r="A727" s="6" t="s">
        <v>68</v>
      </c>
      <c r="B727" s="32" t="s">
        <v>69</v>
      </c>
      <c r="C727" s="13" t="s">
        <v>414</v>
      </c>
      <c r="D727" s="14"/>
      <c r="E727" s="14">
        <v>40847</v>
      </c>
      <c r="F727" s="14"/>
      <c r="G727" s="61">
        <f t="shared" si="322"/>
        <v>40847</v>
      </c>
      <c r="H727" s="15"/>
      <c r="I727" s="30"/>
      <c r="J727" s="14">
        <v>48592</v>
      </c>
      <c r="K727" s="14"/>
      <c r="L727" s="14">
        <f t="shared" si="323"/>
        <v>48592</v>
      </c>
      <c r="M727" s="62">
        <f t="shared" si="324"/>
        <v>7745</v>
      </c>
      <c r="N727" s="14"/>
      <c r="O727" s="38"/>
      <c r="P727" s="15"/>
      <c r="Q727" s="241"/>
      <c r="R727" s="38"/>
      <c r="S727" s="38"/>
      <c r="T727" s="38"/>
      <c r="U727" s="38"/>
      <c r="V727" s="38"/>
      <c r="W727" s="38"/>
      <c r="X727" s="167"/>
      <c r="Y727" s="279"/>
      <c r="Z727" s="3"/>
      <c r="AA727" s="3"/>
      <c r="AB727" s="3"/>
      <c r="AC727" s="3"/>
      <c r="AD727" s="3"/>
      <c r="AE727" s="3"/>
    </row>
    <row r="728" spans="1:31" ht="15.75" customHeight="1" x14ac:dyDescent="0.25">
      <c r="A728" s="6" t="s">
        <v>68</v>
      </c>
      <c r="B728" s="32" t="s">
        <v>69</v>
      </c>
      <c r="C728" s="13" t="s">
        <v>400</v>
      </c>
      <c r="D728" s="14">
        <v>285455</v>
      </c>
      <c r="E728" s="14"/>
      <c r="F728" s="14"/>
      <c r="G728" s="61">
        <f t="shared" si="322"/>
        <v>285455</v>
      </c>
      <c r="H728" s="15"/>
      <c r="I728" s="14">
        <v>327387</v>
      </c>
      <c r="J728" s="14"/>
      <c r="K728" s="14"/>
      <c r="L728" s="14">
        <f t="shared" si="323"/>
        <v>327387</v>
      </c>
      <c r="M728" s="62">
        <f t="shared" si="324"/>
        <v>41932</v>
      </c>
      <c r="N728" s="14"/>
      <c r="O728" s="38"/>
      <c r="P728" s="15"/>
      <c r="Q728" s="241"/>
      <c r="R728" s="38"/>
      <c r="S728" s="38"/>
      <c r="T728" s="38"/>
      <c r="U728" s="38"/>
      <c r="V728" s="38"/>
      <c r="W728" s="38"/>
      <c r="X728" s="167"/>
      <c r="Y728" s="279"/>
      <c r="Z728" s="3"/>
      <c r="AA728" s="3"/>
      <c r="AB728" s="3"/>
      <c r="AC728" s="3"/>
      <c r="AD728" s="3"/>
      <c r="AE728" s="3"/>
    </row>
    <row r="729" spans="1:31" ht="15.75" customHeight="1" x14ac:dyDescent="0.25">
      <c r="A729" s="6" t="s">
        <v>68</v>
      </c>
      <c r="B729" s="32" t="s">
        <v>69</v>
      </c>
      <c r="C729" s="13" t="s">
        <v>401</v>
      </c>
      <c r="D729" s="15"/>
      <c r="E729" s="15"/>
      <c r="F729" s="15"/>
      <c r="G729" s="61">
        <f t="shared" si="322"/>
        <v>0</v>
      </c>
      <c r="H729" s="15"/>
      <c r="I729" s="30"/>
      <c r="J729" s="14"/>
      <c r="K729" s="14"/>
      <c r="L729" s="14">
        <f t="shared" si="323"/>
        <v>0</v>
      </c>
      <c r="M729" s="62">
        <f t="shared" ref="M729:M754" si="330">(L729-G729)</f>
        <v>0</v>
      </c>
      <c r="N729" s="14">
        <v>91836</v>
      </c>
      <c r="O729" s="38"/>
      <c r="P729" s="15"/>
      <c r="Q729" s="241"/>
      <c r="R729" s="38"/>
      <c r="S729" s="38"/>
      <c r="T729" s="38"/>
      <c r="U729" s="38"/>
      <c r="V729" s="38"/>
      <c r="W729" s="38"/>
      <c r="X729" s="167"/>
      <c r="Y729" s="279"/>
      <c r="Z729" s="3"/>
      <c r="AA729" s="3"/>
      <c r="AB729" s="3"/>
      <c r="AC729" s="3"/>
      <c r="AD729" s="3"/>
      <c r="AE729" s="3"/>
    </row>
    <row r="730" spans="1:31" ht="15.75" customHeight="1" x14ac:dyDescent="0.25">
      <c r="A730" s="6" t="s">
        <v>68</v>
      </c>
      <c r="B730" s="32" t="s">
        <v>69</v>
      </c>
      <c r="C730" s="13" t="s">
        <v>402</v>
      </c>
      <c r="D730" s="15"/>
      <c r="E730" s="15"/>
      <c r="F730" s="15"/>
      <c r="G730" s="61">
        <f t="shared" si="322"/>
        <v>0</v>
      </c>
      <c r="H730" s="15"/>
      <c r="I730" s="30"/>
      <c r="J730" s="14"/>
      <c r="K730" s="14"/>
      <c r="L730" s="14">
        <f t="shared" si="323"/>
        <v>0</v>
      </c>
      <c r="M730" s="62">
        <f t="shared" si="330"/>
        <v>0</v>
      </c>
      <c r="N730" s="14"/>
      <c r="O730" s="38"/>
      <c r="P730" s="15"/>
      <c r="Q730" s="241"/>
      <c r="R730" s="38"/>
      <c r="S730" s="38"/>
      <c r="T730" s="38"/>
      <c r="U730" s="38"/>
      <c r="V730" s="38"/>
      <c r="W730" s="38"/>
      <c r="X730" s="167"/>
      <c r="Y730" s="279"/>
      <c r="Z730" s="3"/>
      <c r="AA730" s="3"/>
      <c r="AB730" s="3"/>
      <c r="AC730" s="3"/>
      <c r="AD730" s="3"/>
      <c r="AE730" s="3"/>
    </row>
    <row r="731" spans="1:31" ht="15.75" customHeight="1" x14ac:dyDescent="0.25">
      <c r="A731" s="6" t="s">
        <v>68</v>
      </c>
      <c r="B731" s="32" t="s">
        <v>69</v>
      </c>
      <c r="C731" s="13" t="s">
        <v>859</v>
      </c>
      <c r="D731" s="15"/>
      <c r="E731" s="15"/>
      <c r="F731" s="15"/>
      <c r="G731" s="61">
        <f t="shared" si="322"/>
        <v>0</v>
      </c>
      <c r="H731" s="15"/>
      <c r="I731" s="30"/>
      <c r="J731" s="14"/>
      <c r="K731" s="14"/>
      <c r="L731" s="14">
        <f t="shared" si="323"/>
        <v>0</v>
      </c>
      <c r="M731" s="62">
        <f t="shared" si="330"/>
        <v>0</v>
      </c>
      <c r="N731" s="15"/>
      <c r="O731" s="38"/>
      <c r="P731" s="15"/>
      <c r="Q731" s="241"/>
      <c r="R731" s="38"/>
      <c r="S731" s="38"/>
      <c r="T731" s="38"/>
      <c r="U731" s="38"/>
      <c r="V731" s="38"/>
      <c r="W731" s="38"/>
      <c r="X731" s="167"/>
      <c r="Y731" s="279"/>
      <c r="Z731" s="3"/>
      <c r="AA731" s="3"/>
      <c r="AB731" s="3"/>
      <c r="AC731" s="3"/>
      <c r="AD731" s="3"/>
      <c r="AE731" s="3"/>
    </row>
    <row r="732" spans="1:31" ht="15.75" customHeight="1" x14ac:dyDescent="0.25">
      <c r="A732" s="6" t="s">
        <v>68</v>
      </c>
      <c r="B732" s="32" t="s">
        <v>69</v>
      </c>
      <c r="C732" s="17" t="s">
        <v>860</v>
      </c>
      <c r="D732" s="15"/>
      <c r="E732" s="15"/>
      <c r="F732" s="14"/>
      <c r="G732" s="61">
        <f t="shared" si="322"/>
        <v>0</v>
      </c>
      <c r="H732" s="15"/>
      <c r="I732" s="30"/>
      <c r="J732" s="14"/>
      <c r="K732" s="14"/>
      <c r="L732" s="14">
        <f t="shared" ref="L732" si="331">SUM(I732:K732)</f>
        <v>0</v>
      </c>
      <c r="M732" s="62">
        <f t="shared" ref="M732" si="332">L732-G732</f>
        <v>0</v>
      </c>
      <c r="N732" s="15"/>
      <c r="O732" s="38"/>
      <c r="P732" s="15"/>
      <c r="Q732" s="241"/>
      <c r="R732" s="38"/>
      <c r="S732" s="38"/>
      <c r="T732" s="38"/>
      <c r="U732" s="38"/>
      <c r="V732" s="38"/>
      <c r="W732" s="38"/>
      <c r="X732" s="167"/>
      <c r="Y732" s="279"/>
      <c r="Z732" s="3"/>
      <c r="AA732" s="3"/>
      <c r="AB732" s="3"/>
      <c r="AC732" s="3"/>
      <c r="AD732" s="3"/>
      <c r="AE732" s="3"/>
    </row>
    <row r="733" spans="1:31" ht="15.75" customHeight="1" x14ac:dyDescent="0.25">
      <c r="A733" s="6" t="s">
        <v>68</v>
      </c>
      <c r="B733" s="32" t="s">
        <v>69</v>
      </c>
      <c r="C733" s="13" t="s">
        <v>887</v>
      </c>
      <c r="D733" s="14"/>
      <c r="E733" s="14"/>
      <c r="F733" s="14"/>
      <c r="G733" s="61">
        <f t="shared" si="322"/>
        <v>0</v>
      </c>
      <c r="H733" s="15"/>
      <c r="I733" s="30"/>
      <c r="J733" s="14"/>
      <c r="K733" s="14"/>
      <c r="L733" s="14">
        <f t="shared" ref="L733:L754" si="333">SUM(I733:K733)</f>
        <v>0</v>
      </c>
      <c r="M733" s="62">
        <f t="shared" si="330"/>
        <v>0</v>
      </c>
      <c r="N733" s="14"/>
      <c r="O733" s="38"/>
      <c r="P733" s="15"/>
      <c r="Q733" s="241"/>
      <c r="R733" s="38"/>
      <c r="S733" s="38"/>
      <c r="T733" s="38">
        <v>10000</v>
      </c>
      <c r="U733" s="38"/>
      <c r="V733" s="38"/>
      <c r="W733" s="38"/>
      <c r="X733" s="167"/>
      <c r="Y733" s="279"/>
      <c r="Z733" s="3"/>
      <c r="AA733" s="3"/>
      <c r="AB733" s="3"/>
      <c r="AC733" s="3"/>
      <c r="AD733" s="3"/>
      <c r="AE733" s="3"/>
    </row>
    <row r="734" spans="1:31" ht="15.75" customHeight="1" x14ac:dyDescent="0.25">
      <c r="A734" s="6" t="s">
        <v>68</v>
      </c>
      <c r="B734" s="32" t="s">
        <v>69</v>
      </c>
      <c r="C734" s="17" t="s">
        <v>888</v>
      </c>
      <c r="D734" s="19"/>
      <c r="E734" s="19"/>
      <c r="F734" s="19"/>
      <c r="G734" s="61">
        <f t="shared" si="322"/>
        <v>0</v>
      </c>
      <c r="H734" s="15"/>
      <c r="I734" s="20"/>
      <c r="J734" s="18"/>
      <c r="K734" s="20"/>
      <c r="L734" s="14">
        <f t="shared" si="333"/>
        <v>0</v>
      </c>
      <c r="M734" s="62">
        <f t="shared" si="330"/>
        <v>0</v>
      </c>
      <c r="N734" s="19"/>
      <c r="O734" s="168"/>
      <c r="P734" s="19"/>
      <c r="Q734" s="242"/>
      <c r="R734" s="168"/>
      <c r="S734" s="168"/>
      <c r="T734" s="168"/>
      <c r="U734" s="168"/>
      <c r="V734" s="168"/>
      <c r="W734" s="168"/>
      <c r="X734" s="169"/>
      <c r="Y734" s="280"/>
      <c r="Z734" s="16"/>
      <c r="AA734" s="16"/>
      <c r="AB734" s="16"/>
      <c r="AC734" s="16"/>
      <c r="AD734" s="16"/>
      <c r="AE734" s="16"/>
    </row>
    <row r="735" spans="1:31" ht="15.75" customHeight="1" x14ac:dyDescent="0.25">
      <c r="A735" s="6" t="s">
        <v>68</v>
      </c>
      <c r="B735" s="32" t="s">
        <v>69</v>
      </c>
      <c r="C735" s="17" t="s">
        <v>861</v>
      </c>
      <c r="D735" s="19"/>
      <c r="E735" s="19"/>
      <c r="F735" s="19"/>
      <c r="G735" s="61">
        <f t="shared" si="322"/>
        <v>0</v>
      </c>
      <c r="H735" s="15"/>
      <c r="I735" s="20"/>
      <c r="J735" s="18"/>
      <c r="K735" s="20"/>
      <c r="L735" s="14">
        <f t="shared" si="333"/>
        <v>0</v>
      </c>
      <c r="M735" s="62">
        <f t="shared" si="330"/>
        <v>0</v>
      </c>
      <c r="N735" s="19"/>
      <c r="O735" s="168"/>
      <c r="P735" s="19"/>
      <c r="Q735" s="242"/>
      <c r="R735" s="168"/>
      <c r="S735" s="168"/>
      <c r="T735" s="168"/>
      <c r="U735" s="168"/>
      <c r="V735" s="168"/>
      <c r="W735" s="168"/>
      <c r="X735" s="169"/>
      <c r="Y735" s="280"/>
      <c r="Z735" s="16"/>
      <c r="AA735" s="16"/>
      <c r="AB735" s="16"/>
      <c r="AC735" s="16"/>
      <c r="AD735" s="16"/>
      <c r="AE735" s="16"/>
    </row>
    <row r="736" spans="1:31" ht="15.75" customHeight="1" x14ac:dyDescent="0.25">
      <c r="A736" s="6" t="s">
        <v>68</v>
      </c>
      <c r="B736" s="32" t="s">
        <v>69</v>
      </c>
      <c r="C736" s="17" t="s">
        <v>889</v>
      </c>
      <c r="D736" s="19"/>
      <c r="E736" s="19"/>
      <c r="F736" s="19"/>
      <c r="G736" s="61">
        <f t="shared" si="322"/>
        <v>0</v>
      </c>
      <c r="H736" s="15"/>
      <c r="I736" s="19"/>
      <c r="J736" s="19"/>
      <c r="K736" s="19"/>
      <c r="L736" s="14">
        <f t="shared" si="333"/>
        <v>0</v>
      </c>
      <c r="M736" s="62">
        <f t="shared" si="330"/>
        <v>0</v>
      </c>
      <c r="N736" s="19"/>
      <c r="O736" s="168"/>
      <c r="P736" s="19"/>
      <c r="Q736" s="242"/>
      <c r="R736" s="168"/>
      <c r="S736" s="168">
        <v>7900</v>
      </c>
      <c r="T736" s="168"/>
      <c r="U736" s="168"/>
      <c r="V736" s="168"/>
      <c r="W736" s="168"/>
      <c r="X736" s="169"/>
      <c r="Y736" s="280"/>
      <c r="Z736" s="16"/>
      <c r="AA736" s="16"/>
      <c r="AB736" s="16"/>
      <c r="AC736" s="16"/>
      <c r="AD736" s="16"/>
      <c r="AE736" s="16"/>
    </row>
    <row r="737" spans="1:31" ht="15.75" customHeight="1" x14ac:dyDescent="0.25">
      <c r="A737" s="109"/>
      <c r="B737" s="3"/>
      <c r="C737" s="31" t="s">
        <v>231</v>
      </c>
      <c r="D737" s="14"/>
      <c r="E737" s="14"/>
      <c r="F737" s="14"/>
      <c r="G737" s="61">
        <f t="shared" ref="G737:G745" si="334">SUM(D737:F737)</f>
        <v>0</v>
      </c>
      <c r="H737" s="15"/>
      <c r="I737" s="14"/>
      <c r="J737" s="14"/>
      <c r="K737" s="14"/>
      <c r="L737" s="14">
        <f t="shared" ref="L737:L745" si="335">SUM(I737:K737)</f>
        <v>0</v>
      </c>
      <c r="M737" s="62">
        <f t="shared" ref="M737:M745" si="336">(L737-G737)</f>
        <v>0</v>
      </c>
      <c r="N737" s="14"/>
      <c r="O737" s="38"/>
      <c r="P737" s="15"/>
      <c r="Q737" s="241"/>
      <c r="R737" s="38"/>
      <c r="S737" s="38"/>
      <c r="T737" s="38"/>
      <c r="U737" s="38"/>
      <c r="V737" s="38"/>
      <c r="W737" s="38"/>
      <c r="X737" s="167"/>
      <c r="Y737" s="280"/>
      <c r="Z737" s="16"/>
      <c r="AA737" s="16"/>
      <c r="AB737" s="16"/>
      <c r="AC737" s="16"/>
      <c r="AD737" s="16"/>
      <c r="AE737" s="16"/>
    </row>
    <row r="738" spans="1:31" ht="15.75" customHeight="1" x14ac:dyDescent="0.25">
      <c r="A738" s="109"/>
      <c r="B738" s="3"/>
      <c r="C738" s="13" t="s">
        <v>890</v>
      </c>
      <c r="D738" s="14"/>
      <c r="E738" s="14"/>
      <c r="F738" s="14"/>
      <c r="G738" s="61">
        <f t="shared" si="334"/>
        <v>0</v>
      </c>
      <c r="H738" s="15"/>
      <c r="I738" s="14"/>
      <c r="J738" s="14"/>
      <c r="K738" s="14"/>
      <c r="L738" s="14">
        <f t="shared" si="335"/>
        <v>0</v>
      </c>
      <c r="M738" s="62">
        <f t="shared" si="336"/>
        <v>0</v>
      </c>
      <c r="N738" s="14"/>
      <c r="O738" s="38"/>
      <c r="P738" s="15"/>
      <c r="Q738" s="241">
        <v>1000</v>
      </c>
      <c r="R738" s="38"/>
      <c r="S738" s="38"/>
      <c r="T738" s="38"/>
      <c r="U738" s="38"/>
      <c r="V738" s="38"/>
      <c r="W738" s="38"/>
      <c r="X738" s="167"/>
      <c r="Y738" s="280"/>
      <c r="Z738" s="16"/>
      <c r="AA738" s="16"/>
      <c r="AB738" s="16"/>
      <c r="AC738" s="16"/>
      <c r="AD738" s="16"/>
      <c r="AE738" s="16"/>
    </row>
    <row r="739" spans="1:31" ht="15.75" customHeight="1" x14ac:dyDescent="0.25">
      <c r="A739" s="109"/>
      <c r="B739" s="3"/>
      <c r="C739" s="13" t="s">
        <v>891</v>
      </c>
      <c r="D739" s="14"/>
      <c r="E739" s="14"/>
      <c r="F739" s="14"/>
      <c r="G739" s="61">
        <f t="shared" si="334"/>
        <v>0</v>
      </c>
      <c r="H739" s="15"/>
      <c r="I739" s="14"/>
      <c r="J739" s="14"/>
      <c r="K739" s="14"/>
      <c r="L739" s="14">
        <f t="shared" si="335"/>
        <v>0</v>
      </c>
      <c r="M739" s="62">
        <f t="shared" si="336"/>
        <v>0</v>
      </c>
      <c r="N739" s="14"/>
      <c r="O739" s="38"/>
      <c r="P739" s="15">
        <v>8000</v>
      </c>
      <c r="Q739" s="241"/>
      <c r="R739" s="38"/>
      <c r="S739" s="38"/>
      <c r="T739" s="38"/>
      <c r="U739" s="38"/>
      <c r="V739" s="38"/>
      <c r="W739" s="38"/>
      <c r="X739" s="167"/>
      <c r="Y739" s="280"/>
      <c r="Z739" s="16"/>
      <c r="AA739" s="16"/>
      <c r="AB739" s="16"/>
      <c r="AC739" s="16"/>
      <c r="AD739" s="16"/>
      <c r="AE739" s="16"/>
    </row>
    <row r="740" spans="1:31" ht="15.75" customHeight="1" x14ac:dyDescent="0.25">
      <c r="A740" s="109"/>
      <c r="B740" s="3"/>
      <c r="C740" s="13" t="s">
        <v>412</v>
      </c>
      <c r="D740" s="14"/>
      <c r="E740" s="14"/>
      <c r="F740" s="14"/>
      <c r="G740" s="61">
        <f t="shared" si="334"/>
        <v>0</v>
      </c>
      <c r="H740" s="15"/>
      <c r="I740" s="14"/>
      <c r="J740" s="14"/>
      <c r="K740" s="14"/>
      <c r="L740" s="14">
        <f t="shared" si="335"/>
        <v>0</v>
      </c>
      <c r="M740" s="62">
        <f t="shared" si="336"/>
        <v>0</v>
      </c>
      <c r="N740" s="14"/>
      <c r="O740" s="38"/>
      <c r="P740" s="15">
        <v>2000</v>
      </c>
      <c r="Q740" s="241"/>
      <c r="R740" s="38"/>
      <c r="S740" s="38"/>
      <c r="T740" s="38"/>
      <c r="U740" s="38"/>
      <c r="V740" s="38"/>
      <c r="W740" s="38"/>
      <c r="X740" s="167"/>
      <c r="Y740" s="280"/>
      <c r="Z740" s="16"/>
      <c r="AA740" s="16"/>
      <c r="AB740" s="16"/>
      <c r="AC740" s="16"/>
      <c r="AD740" s="16"/>
      <c r="AE740" s="16"/>
    </row>
    <row r="741" spans="1:31" ht="15.75" customHeight="1" x14ac:dyDescent="0.25">
      <c r="A741" s="109"/>
      <c r="B741" s="3"/>
      <c r="C741" s="13" t="s">
        <v>413</v>
      </c>
      <c r="D741" s="14"/>
      <c r="E741" s="14"/>
      <c r="F741" s="14"/>
      <c r="G741" s="61">
        <f t="shared" si="334"/>
        <v>0</v>
      </c>
      <c r="H741" s="15"/>
      <c r="I741" s="14"/>
      <c r="J741" s="14"/>
      <c r="K741" s="14"/>
      <c r="L741" s="14">
        <f t="shared" si="335"/>
        <v>0</v>
      </c>
      <c r="M741" s="62">
        <f t="shared" si="336"/>
        <v>0</v>
      </c>
      <c r="N741" s="14"/>
      <c r="O741" s="38"/>
      <c r="P741" s="15">
        <v>5000</v>
      </c>
      <c r="Q741" s="241"/>
      <c r="R741" s="38"/>
      <c r="S741" s="38"/>
      <c r="T741" s="38"/>
      <c r="U741" s="38"/>
      <c r="V741" s="38"/>
      <c r="W741" s="38"/>
      <c r="X741" s="167"/>
      <c r="Y741" s="280"/>
      <c r="Z741" s="16"/>
      <c r="AA741" s="16"/>
      <c r="AB741" s="16"/>
      <c r="AC741" s="16"/>
      <c r="AD741" s="16"/>
      <c r="AE741" s="16"/>
    </row>
    <row r="742" spans="1:31" ht="15.75" customHeight="1" x14ac:dyDescent="0.25">
      <c r="A742" s="109"/>
      <c r="B742" s="3"/>
      <c r="C742" s="13" t="s">
        <v>506</v>
      </c>
      <c r="D742" s="14"/>
      <c r="E742" s="14"/>
      <c r="F742" s="14"/>
      <c r="G742" s="61">
        <f t="shared" si="334"/>
        <v>0</v>
      </c>
      <c r="H742" s="15"/>
      <c r="I742" s="14"/>
      <c r="J742" s="14"/>
      <c r="K742" s="14"/>
      <c r="L742" s="14">
        <f t="shared" si="335"/>
        <v>0</v>
      </c>
      <c r="M742" s="62">
        <f t="shared" si="336"/>
        <v>0</v>
      </c>
      <c r="N742" s="14"/>
      <c r="O742" s="38"/>
      <c r="P742" s="15">
        <v>550</v>
      </c>
      <c r="Q742" s="241"/>
      <c r="R742" s="38"/>
      <c r="S742" s="38"/>
      <c r="T742" s="38"/>
      <c r="U742" s="38"/>
      <c r="V742" s="38"/>
      <c r="W742" s="38"/>
      <c r="X742" s="167"/>
      <c r="Y742" s="280"/>
      <c r="Z742" s="16"/>
      <c r="AA742" s="16"/>
      <c r="AB742" s="16"/>
      <c r="AC742" s="16"/>
      <c r="AD742" s="16"/>
      <c r="AE742" s="16"/>
    </row>
    <row r="743" spans="1:31" ht="15.75" customHeight="1" x14ac:dyDescent="0.25">
      <c r="A743" s="109"/>
      <c r="B743" s="3"/>
      <c r="C743" s="13" t="s">
        <v>892</v>
      </c>
      <c r="D743" s="14"/>
      <c r="E743" s="14"/>
      <c r="F743" s="14"/>
      <c r="G743" s="61">
        <f t="shared" si="334"/>
        <v>0</v>
      </c>
      <c r="H743" s="15"/>
      <c r="I743" s="14"/>
      <c r="J743" s="14"/>
      <c r="K743" s="14"/>
      <c r="L743" s="14">
        <f t="shared" si="335"/>
        <v>0</v>
      </c>
      <c r="M743" s="62">
        <f t="shared" si="336"/>
        <v>0</v>
      </c>
      <c r="N743" s="14"/>
      <c r="O743" s="38"/>
      <c r="P743" s="15">
        <v>3000</v>
      </c>
      <c r="Q743" s="241"/>
      <c r="R743" s="38"/>
      <c r="S743" s="38"/>
      <c r="T743" s="38"/>
      <c r="U743" s="38"/>
      <c r="V743" s="38"/>
      <c r="W743" s="38"/>
      <c r="X743" s="167"/>
      <c r="Y743" s="280"/>
      <c r="Z743" s="16"/>
      <c r="AA743" s="16"/>
      <c r="AB743" s="16"/>
      <c r="AC743" s="16"/>
      <c r="AD743" s="16"/>
      <c r="AE743" s="16"/>
    </row>
    <row r="744" spans="1:31" ht="15.75" customHeight="1" x14ac:dyDescent="0.25">
      <c r="A744" s="109"/>
      <c r="B744" s="3"/>
      <c r="C744" s="13" t="s">
        <v>893</v>
      </c>
      <c r="D744" s="14"/>
      <c r="E744" s="14"/>
      <c r="F744" s="14"/>
      <c r="G744" s="61">
        <f t="shared" si="334"/>
        <v>0</v>
      </c>
      <c r="H744" s="15"/>
      <c r="I744" s="14"/>
      <c r="J744" s="14"/>
      <c r="K744" s="14"/>
      <c r="L744" s="14">
        <f t="shared" si="335"/>
        <v>0</v>
      </c>
      <c r="M744" s="62">
        <f t="shared" si="336"/>
        <v>0</v>
      </c>
      <c r="N744" s="14"/>
      <c r="O744" s="38"/>
      <c r="P744" s="15">
        <v>550</v>
      </c>
      <c r="Q744" s="241"/>
      <c r="R744" s="38"/>
      <c r="S744" s="38"/>
      <c r="T744" s="38"/>
      <c r="U744" s="38"/>
      <c r="V744" s="38"/>
      <c r="W744" s="38"/>
      <c r="X744" s="167"/>
      <c r="Y744" s="280"/>
      <c r="Z744" s="16"/>
      <c r="AA744" s="16"/>
      <c r="AB744" s="16"/>
      <c r="AC744" s="16"/>
      <c r="AD744" s="16"/>
      <c r="AE744" s="16"/>
    </row>
    <row r="745" spans="1:31" ht="15.75" customHeight="1" x14ac:dyDescent="0.25">
      <c r="A745" s="109"/>
      <c r="B745" s="3"/>
      <c r="C745" s="13" t="s">
        <v>416</v>
      </c>
      <c r="D745" s="14"/>
      <c r="E745" s="14"/>
      <c r="F745" s="14"/>
      <c r="G745" s="61">
        <f t="shared" si="334"/>
        <v>0</v>
      </c>
      <c r="H745" s="15"/>
      <c r="I745" s="14"/>
      <c r="J745" s="14"/>
      <c r="K745" s="14"/>
      <c r="L745" s="14">
        <f t="shared" si="335"/>
        <v>0</v>
      </c>
      <c r="M745" s="62">
        <f t="shared" si="336"/>
        <v>0</v>
      </c>
      <c r="N745" s="14"/>
      <c r="O745" s="38"/>
      <c r="P745" s="15">
        <v>1500</v>
      </c>
      <c r="Q745" s="241"/>
      <c r="R745" s="38"/>
      <c r="S745" s="38"/>
      <c r="T745" s="38"/>
      <c r="U745" s="38"/>
      <c r="V745" s="38"/>
      <c r="W745" s="38"/>
      <c r="X745" s="167"/>
      <c r="Y745" s="280"/>
      <c r="Z745" s="16"/>
      <c r="AA745" s="16"/>
      <c r="AB745" s="16"/>
      <c r="AC745" s="16"/>
      <c r="AD745" s="16"/>
      <c r="AE745" s="16"/>
    </row>
    <row r="746" spans="1:31" ht="15.75" customHeight="1" x14ac:dyDescent="0.25">
      <c r="A746" s="16"/>
      <c r="B746" s="16"/>
      <c r="C746" s="40" t="s">
        <v>188</v>
      </c>
      <c r="D746" s="89">
        <f>SUM(D726:D736)</f>
        <v>498746</v>
      </c>
      <c r="E746" s="89">
        <f>SUM(E726:E736)</f>
        <v>118423</v>
      </c>
      <c r="F746" s="89">
        <f>SUM(F726:F736)</f>
        <v>5450</v>
      </c>
      <c r="G746" s="27">
        <f t="shared" si="322"/>
        <v>622619</v>
      </c>
      <c r="H746" s="89">
        <f>SUM(H726:H745)</f>
        <v>21382</v>
      </c>
      <c r="I746" s="89">
        <f>SUM(I726:I745)</f>
        <v>571392</v>
      </c>
      <c r="J746" s="89">
        <f>SUM(J726:J745)</f>
        <v>179033</v>
      </c>
      <c r="K746" s="89">
        <f>SUM(K726:K745)</f>
        <v>0</v>
      </c>
      <c r="L746" s="89">
        <f t="shared" si="333"/>
        <v>750425</v>
      </c>
      <c r="M746" s="28">
        <f t="shared" si="330"/>
        <v>127806</v>
      </c>
      <c r="N746" s="89">
        <f t="shared" ref="N746:X746" si="337">SUM(N726:N745)</f>
        <v>91836</v>
      </c>
      <c r="O746" s="89">
        <f t="shared" si="337"/>
        <v>0</v>
      </c>
      <c r="P746" s="89">
        <f t="shared" si="337"/>
        <v>20600</v>
      </c>
      <c r="Q746" s="246">
        <f t="shared" si="337"/>
        <v>1000</v>
      </c>
      <c r="R746" s="89">
        <f t="shared" si="337"/>
        <v>0</v>
      </c>
      <c r="S746" s="89">
        <f t="shared" si="337"/>
        <v>7900</v>
      </c>
      <c r="T746" s="89">
        <f t="shared" si="337"/>
        <v>10000</v>
      </c>
      <c r="U746" s="89">
        <f t="shared" si="337"/>
        <v>0</v>
      </c>
      <c r="V746" s="89">
        <f t="shared" si="337"/>
        <v>0</v>
      </c>
      <c r="W746" s="89">
        <f t="shared" si="337"/>
        <v>0</v>
      </c>
      <c r="X746" s="89">
        <f t="shared" si="337"/>
        <v>0</v>
      </c>
      <c r="Y746" s="280"/>
      <c r="Z746" s="16"/>
      <c r="AA746" s="16"/>
      <c r="AB746" s="16"/>
      <c r="AC746" s="16"/>
      <c r="AD746" s="16"/>
      <c r="AE746" s="16"/>
    </row>
    <row r="747" spans="1:31" ht="15.75" customHeight="1" x14ac:dyDescent="0.25">
      <c r="A747" s="6" t="s">
        <v>68</v>
      </c>
      <c r="B747" s="32" t="s">
        <v>76</v>
      </c>
      <c r="C747" s="32" t="s">
        <v>76</v>
      </c>
      <c r="D747" s="74">
        <v>85705</v>
      </c>
      <c r="E747" s="74">
        <v>16709</v>
      </c>
      <c r="F747" s="74">
        <v>2400</v>
      </c>
      <c r="G747" s="61">
        <f t="shared" si="322"/>
        <v>104814</v>
      </c>
      <c r="H747" s="15">
        <v>5316</v>
      </c>
      <c r="I747" s="74">
        <v>99691</v>
      </c>
      <c r="J747" s="74">
        <v>30880</v>
      </c>
      <c r="K747" s="74"/>
      <c r="L747" s="14">
        <f t="shared" si="333"/>
        <v>130571</v>
      </c>
      <c r="M747" s="62">
        <f t="shared" si="330"/>
        <v>25757</v>
      </c>
      <c r="N747" s="74"/>
      <c r="O747" s="102"/>
      <c r="P747" s="90"/>
      <c r="Q747" s="247"/>
      <c r="R747" s="102"/>
      <c r="S747" s="102"/>
      <c r="T747" s="102"/>
      <c r="U747" s="102"/>
      <c r="V747" s="102"/>
      <c r="W747" s="102"/>
      <c r="X747" s="179"/>
      <c r="Y747" s="279"/>
      <c r="Z747" s="3"/>
      <c r="AA747" s="3"/>
      <c r="AB747" s="3"/>
      <c r="AC747" s="3"/>
      <c r="AD747" s="3"/>
      <c r="AE747" s="3"/>
    </row>
    <row r="748" spans="1:31" ht="15.75" customHeight="1" x14ac:dyDescent="0.25">
      <c r="A748" s="6" t="s">
        <v>68</v>
      </c>
      <c r="B748" s="32" t="s">
        <v>76</v>
      </c>
      <c r="C748" s="13" t="s">
        <v>414</v>
      </c>
      <c r="D748" s="14"/>
      <c r="E748" s="14">
        <v>8024</v>
      </c>
      <c r="F748" s="14"/>
      <c r="G748" s="61">
        <f t="shared" si="322"/>
        <v>8024</v>
      </c>
      <c r="H748" s="15"/>
      <c r="I748" s="14"/>
      <c r="J748" s="14">
        <v>9927</v>
      </c>
      <c r="K748" s="30"/>
      <c r="L748" s="14">
        <f t="shared" si="333"/>
        <v>9927</v>
      </c>
      <c r="M748" s="62">
        <f t="shared" si="330"/>
        <v>1903</v>
      </c>
      <c r="N748" s="14"/>
      <c r="O748" s="38"/>
      <c r="P748" s="15"/>
      <c r="Q748" s="241"/>
      <c r="R748" s="38"/>
      <c r="S748" s="38"/>
      <c r="T748" s="38"/>
      <c r="U748" s="38"/>
      <c r="V748" s="38"/>
      <c r="W748" s="38"/>
      <c r="X748" s="167"/>
      <c r="Y748" s="279"/>
      <c r="Z748" s="3"/>
      <c r="AA748" s="3"/>
      <c r="AB748" s="3"/>
      <c r="AC748" s="3"/>
      <c r="AD748" s="3"/>
      <c r="AE748" s="3"/>
    </row>
    <row r="749" spans="1:31" ht="15.75" customHeight="1" x14ac:dyDescent="0.25">
      <c r="A749" s="6" t="s">
        <v>68</v>
      </c>
      <c r="B749" s="32" t="s">
        <v>76</v>
      </c>
      <c r="C749" s="13" t="s">
        <v>400</v>
      </c>
      <c r="D749" s="14">
        <v>40121</v>
      </c>
      <c r="E749" s="14"/>
      <c r="F749" s="14"/>
      <c r="G749" s="61">
        <f t="shared" si="322"/>
        <v>40121</v>
      </c>
      <c r="H749" s="15"/>
      <c r="I749" s="14">
        <v>65078</v>
      </c>
      <c r="J749" s="30"/>
      <c r="K749" s="30"/>
      <c r="L749" s="14">
        <f t="shared" si="333"/>
        <v>65078</v>
      </c>
      <c r="M749" s="62">
        <f t="shared" si="330"/>
        <v>24957</v>
      </c>
      <c r="N749" s="14"/>
      <c r="O749" s="38"/>
      <c r="P749" s="15"/>
      <c r="Q749" s="241"/>
      <c r="R749" s="38"/>
      <c r="S749" s="38"/>
      <c r="T749" s="38"/>
      <c r="U749" s="38"/>
      <c r="V749" s="38"/>
      <c r="W749" s="38"/>
      <c r="X749" s="167"/>
      <c r="Y749" s="279"/>
      <c r="Z749" s="3"/>
      <c r="AA749" s="3"/>
      <c r="AB749" s="3"/>
      <c r="AC749" s="3"/>
      <c r="AD749" s="3"/>
      <c r="AE749" s="3"/>
    </row>
    <row r="750" spans="1:31" ht="15.75" customHeight="1" x14ac:dyDescent="0.25">
      <c r="A750" s="6" t="s">
        <v>68</v>
      </c>
      <c r="B750" s="32" t="s">
        <v>76</v>
      </c>
      <c r="C750" s="13" t="s">
        <v>401</v>
      </c>
      <c r="D750" s="15"/>
      <c r="E750" s="15"/>
      <c r="F750" s="15"/>
      <c r="G750" s="61">
        <f t="shared" si="322"/>
        <v>0</v>
      </c>
      <c r="H750" s="15"/>
      <c r="I750" s="14"/>
      <c r="J750" s="30"/>
      <c r="K750" s="30"/>
      <c r="L750" s="14">
        <f t="shared" si="333"/>
        <v>0</v>
      </c>
      <c r="M750" s="62">
        <f t="shared" si="330"/>
        <v>0</v>
      </c>
      <c r="N750" s="14">
        <v>12575</v>
      </c>
      <c r="O750" s="38"/>
      <c r="P750" s="15"/>
      <c r="Q750" s="241"/>
      <c r="R750" s="38"/>
      <c r="S750" s="38"/>
      <c r="T750" s="38"/>
      <c r="U750" s="38"/>
      <c r="V750" s="38"/>
      <c r="W750" s="38"/>
      <c r="X750" s="167"/>
      <c r="Y750" s="279"/>
      <c r="Z750" s="3"/>
      <c r="AA750" s="3"/>
      <c r="AB750" s="3"/>
      <c r="AC750" s="3"/>
      <c r="AD750" s="3"/>
      <c r="AE750" s="3"/>
    </row>
    <row r="751" spans="1:31" ht="15.75" customHeight="1" x14ac:dyDescent="0.25">
      <c r="A751" s="6" t="s">
        <v>68</v>
      </c>
      <c r="B751" s="32" t="s">
        <v>76</v>
      </c>
      <c r="C751" s="13" t="s">
        <v>402</v>
      </c>
      <c r="D751" s="15"/>
      <c r="E751" s="15"/>
      <c r="F751" s="15"/>
      <c r="G751" s="61">
        <f t="shared" si="322"/>
        <v>0</v>
      </c>
      <c r="H751" s="15"/>
      <c r="I751" s="30"/>
      <c r="J751" s="30"/>
      <c r="K751" s="30"/>
      <c r="L751" s="14">
        <f t="shared" si="333"/>
        <v>0</v>
      </c>
      <c r="M751" s="62">
        <f t="shared" si="330"/>
        <v>0</v>
      </c>
      <c r="N751" s="14"/>
      <c r="O751" s="38"/>
      <c r="P751" s="15"/>
      <c r="Q751" s="241"/>
      <c r="R751" s="38"/>
      <c r="S751" s="38"/>
      <c r="T751" s="38"/>
      <c r="U751" s="38"/>
      <c r="V751" s="38"/>
      <c r="W751" s="38"/>
      <c r="X751" s="167"/>
      <c r="Y751" s="279"/>
      <c r="Z751" s="3"/>
      <c r="AA751" s="3"/>
      <c r="AB751" s="3"/>
      <c r="AC751" s="3"/>
      <c r="AD751" s="3"/>
      <c r="AE751" s="3"/>
    </row>
    <row r="752" spans="1:31" ht="15.75" customHeight="1" x14ac:dyDescent="0.25">
      <c r="A752" s="6" t="s">
        <v>68</v>
      </c>
      <c r="B752" s="32" t="s">
        <v>76</v>
      </c>
      <c r="C752" s="13" t="s">
        <v>859</v>
      </c>
      <c r="D752" s="15"/>
      <c r="E752" s="15"/>
      <c r="F752" s="15"/>
      <c r="G752" s="61">
        <f t="shared" si="322"/>
        <v>0</v>
      </c>
      <c r="H752" s="15"/>
      <c r="I752" s="15"/>
      <c r="J752" s="15"/>
      <c r="K752" s="15"/>
      <c r="L752" s="14">
        <f t="shared" si="333"/>
        <v>0</v>
      </c>
      <c r="M752" s="62">
        <f t="shared" si="330"/>
        <v>0</v>
      </c>
      <c r="N752" s="15"/>
      <c r="O752" s="38"/>
      <c r="P752" s="15"/>
      <c r="Q752" s="241"/>
      <c r="R752" s="38"/>
      <c r="S752" s="38"/>
      <c r="T752" s="38"/>
      <c r="U752" s="38"/>
      <c r="V752" s="38"/>
      <c r="W752" s="38"/>
      <c r="X752" s="167"/>
      <c r="Y752" s="279"/>
      <c r="Z752" s="3"/>
      <c r="AA752" s="3"/>
      <c r="AB752" s="3"/>
      <c r="AC752" s="3"/>
      <c r="AD752" s="3"/>
      <c r="AE752" s="3"/>
    </row>
    <row r="753" spans="1:31" ht="15.75" customHeight="1" x14ac:dyDescent="0.25">
      <c r="A753" s="6" t="s">
        <v>68</v>
      </c>
      <c r="B753" s="32" t="s">
        <v>76</v>
      </c>
      <c r="C753" s="13" t="s">
        <v>894</v>
      </c>
      <c r="D753" s="15"/>
      <c r="E753" s="15"/>
      <c r="F753" s="15"/>
      <c r="G753" s="61">
        <f t="shared" si="322"/>
        <v>0</v>
      </c>
      <c r="H753" s="15"/>
      <c r="I753" s="15"/>
      <c r="J753" s="15"/>
      <c r="K753" s="15"/>
      <c r="L753" s="14">
        <f t="shared" si="333"/>
        <v>0</v>
      </c>
      <c r="M753" s="62">
        <f t="shared" si="330"/>
        <v>0</v>
      </c>
      <c r="N753" s="15"/>
      <c r="O753" s="38"/>
      <c r="P753" s="15"/>
      <c r="Q753" s="241"/>
      <c r="R753" s="38"/>
      <c r="S753" s="38">
        <v>4998</v>
      </c>
      <c r="T753" s="38"/>
      <c r="U753" s="38"/>
      <c r="V753" s="38"/>
      <c r="W753" s="38"/>
      <c r="X753" s="167"/>
      <c r="Y753" s="279"/>
      <c r="Z753" s="3"/>
      <c r="AA753" s="3"/>
      <c r="AB753" s="3"/>
      <c r="AC753" s="3"/>
      <c r="AD753" s="3"/>
      <c r="AE753" s="3"/>
    </row>
    <row r="754" spans="1:31" ht="15.75" customHeight="1" x14ac:dyDescent="0.25">
      <c r="A754" s="6" t="s">
        <v>68</v>
      </c>
      <c r="B754" s="32" t="s">
        <v>76</v>
      </c>
      <c r="C754" s="13" t="s">
        <v>895</v>
      </c>
      <c r="D754" s="15"/>
      <c r="E754" s="15"/>
      <c r="F754" s="15"/>
      <c r="G754" s="61">
        <f t="shared" si="322"/>
        <v>0</v>
      </c>
      <c r="H754" s="15"/>
      <c r="I754" s="15"/>
      <c r="J754" s="15"/>
      <c r="K754" s="15"/>
      <c r="L754" s="14">
        <f t="shared" si="333"/>
        <v>0</v>
      </c>
      <c r="M754" s="62">
        <f t="shared" si="330"/>
        <v>0</v>
      </c>
      <c r="N754" s="15"/>
      <c r="O754" s="38"/>
      <c r="P754" s="15"/>
      <c r="Q754" s="241"/>
      <c r="R754" s="38"/>
      <c r="S754" s="38">
        <v>4998</v>
      </c>
      <c r="T754" s="38"/>
      <c r="U754" s="38"/>
      <c r="V754" s="38"/>
      <c r="W754" s="38"/>
      <c r="X754" s="167"/>
    </row>
    <row r="755" spans="1:31" ht="15.75" customHeight="1" x14ac:dyDescent="0.25">
      <c r="A755" s="6" t="s">
        <v>68</v>
      </c>
      <c r="B755" s="32" t="s">
        <v>76</v>
      </c>
      <c r="C755" s="13" t="s">
        <v>896</v>
      </c>
      <c r="D755" s="15"/>
      <c r="E755" s="15"/>
      <c r="F755" s="15"/>
      <c r="G755" s="61">
        <f t="shared" ref="G755" si="338">SUM(D755:F755)</f>
        <v>0</v>
      </c>
      <c r="H755" s="15"/>
      <c r="I755" s="15"/>
      <c r="J755" s="15"/>
      <c r="K755" s="15"/>
      <c r="L755" s="14">
        <f t="shared" ref="L755" si="339">SUM(I755:K755)</f>
        <v>0</v>
      </c>
      <c r="M755" s="62">
        <f t="shared" ref="M755" si="340">L755-G755</f>
        <v>0</v>
      </c>
      <c r="N755" s="15"/>
      <c r="O755" s="38"/>
      <c r="P755" s="15"/>
      <c r="Q755" s="241"/>
      <c r="R755" s="38"/>
      <c r="S755" s="38">
        <v>2841</v>
      </c>
      <c r="T755" s="38"/>
      <c r="U755" s="38"/>
      <c r="V755" s="38"/>
      <c r="W755" s="38"/>
      <c r="X755" s="167"/>
    </row>
    <row r="756" spans="1:31" ht="15.75" customHeight="1" x14ac:dyDescent="0.25">
      <c r="A756" s="6" t="s">
        <v>68</v>
      </c>
      <c r="B756" s="32" t="s">
        <v>76</v>
      </c>
      <c r="C756" s="13" t="s">
        <v>897</v>
      </c>
      <c r="D756" s="19"/>
      <c r="E756" s="19"/>
      <c r="F756" s="19"/>
      <c r="G756" s="61">
        <f t="shared" ref="G756:G791" si="341">SUM(D756:F756)</f>
        <v>0</v>
      </c>
      <c r="H756" s="15"/>
      <c r="I756" s="19"/>
      <c r="J756" s="19"/>
      <c r="K756" s="19"/>
      <c r="L756" s="14">
        <f t="shared" ref="L756:L791" si="342">SUM(I756:K756)</f>
        <v>0</v>
      </c>
      <c r="M756" s="62">
        <f t="shared" ref="M756:M791" si="343">(L756-G756)</f>
        <v>0</v>
      </c>
      <c r="N756" s="19"/>
      <c r="O756" s="168"/>
      <c r="P756" s="19"/>
      <c r="Q756" s="242"/>
      <c r="R756" s="168"/>
      <c r="S756" s="168"/>
      <c r="T756" s="168">
        <v>9500</v>
      </c>
      <c r="U756" s="168"/>
      <c r="V756" s="168"/>
      <c r="W756" s="168"/>
      <c r="X756" s="169"/>
      <c r="Y756" s="280"/>
      <c r="Z756" s="16"/>
      <c r="AA756" s="16"/>
      <c r="AB756" s="16"/>
      <c r="AC756" s="16"/>
      <c r="AD756" s="16"/>
      <c r="AE756" s="16"/>
    </row>
    <row r="757" spans="1:31" ht="15.75" customHeight="1" x14ac:dyDescent="0.25">
      <c r="A757" s="109"/>
      <c r="B757" s="3"/>
      <c r="C757" s="31" t="s">
        <v>231</v>
      </c>
      <c r="D757" s="14"/>
      <c r="E757" s="14"/>
      <c r="F757" s="14"/>
      <c r="G757" s="61">
        <f>SUM(D757:F757)</f>
        <v>0</v>
      </c>
      <c r="H757" s="15"/>
      <c r="I757" s="14"/>
      <c r="J757" s="14"/>
      <c r="K757" s="14"/>
      <c r="L757" s="14">
        <f>SUM(I757:K757)</f>
        <v>0</v>
      </c>
      <c r="M757" s="62">
        <f>(L757-G757)</f>
        <v>0</v>
      </c>
      <c r="N757" s="14"/>
      <c r="O757" s="38"/>
      <c r="P757" s="15"/>
      <c r="Q757" s="241"/>
      <c r="R757" s="38"/>
      <c r="S757" s="38"/>
      <c r="T757" s="38"/>
      <c r="U757" s="38"/>
      <c r="V757" s="38"/>
      <c r="W757" s="38"/>
      <c r="X757" s="167"/>
      <c r="Y757" s="280"/>
      <c r="Z757" s="16"/>
      <c r="AA757" s="16"/>
      <c r="AB757" s="16"/>
      <c r="AC757" s="16"/>
      <c r="AD757" s="16"/>
      <c r="AE757" s="16"/>
    </row>
    <row r="758" spans="1:31" ht="15.75" customHeight="1" x14ac:dyDescent="0.25">
      <c r="A758" s="109"/>
      <c r="B758" s="3"/>
      <c r="C758" s="13" t="s">
        <v>890</v>
      </c>
      <c r="D758" s="14"/>
      <c r="E758" s="14"/>
      <c r="F758" s="14"/>
      <c r="G758" s="61">
        <f>SUM(D758:F758)</f>
        <v>0</v>
      </c>
      <c r="H758" s="15"/>
      <c r="I758" s="14"/>
      <c r="J758" s="14"/>
      <c r="K758" s="14"/>
      <c r="L758" s="14">
        <f>SUM(I758:K758)</f>
        <v>0</v>
      </c>
      <c r="M758" s="62">
        <f>(L758-G758)</f>
        <v>0</v>
      </c>
      <c r="N758" s="14"/>
      <c r="O758" s="38"/>
      <c r="P758" s="15"/>
      <c r="Q758" s="241">
        <v>1000</v>
      </c>
      <c r="R758" s="38"/>
      <c r="S758" s="38"/>
      <c r="T758" s="38"/>
      <c r="U758" s="38"/>
      <c r="V758" s="38"/>
      <c r="W758" s="38"/>
      <c r="X758" s="167"/>
      <c r="Y758" s="280"/>
      <c r="Z758" s="16"/>
      <c r="AA758" s="16"/>
      <c r="AB758" s="16"/>
      <c r="AC758" s="16"/>
      <c r="AD758" s="16"/>
      <c r="AE758" s="16"/>
    </row>
    <row r="759" spans="1:31" ht="15.75" customHeight="1" x14ac:dyDescent="0.25">
      <c r="A759" s="109"/>
      <c r="B759" s="3"/>
      <c r="C759" s="13" t="s">
        <v>898</v>
      </c>
      <c r="D759" s="14"/>
      <c r="E759" s="14"/>
      <c r="F759" s="14"/>
      <c r="G759" s="61">
        <f>SUM(D759:F759)</f>
        <v>0</v>
      </c>
      <c r="H759" s="15"/>
      <c r="I759" s="14"/>
      <c r="J759" s="14"/>
      <c r="K759" s="14"/>
      <c r="L759" s="14">
        <f>SUM(I759:K759)</f>
        <v>0</v>
      </c>
      <c r="M759" s="62">
        <f>(L759-G759)</f>
        <v>0</v>
      </c>
      <c r="N759" s="14"/>
      <c r="O759" s="38"/>
      <c r="P759" s="15">
        <v>14847</v>
      </c>
      <c r="Q759" s="241"/>
      <c r="R759" s="38"/>
      <c r="S759" s="38"/>
      <c r="T759" s="38"/>
      <c r="U759" s="38"/>
      <c r="V759" s="38"/>
      <c r="W759" s="38"/>
      <c r="X759" s="167"/>
      <c r="Y759" s="280"/>
      <c r="Z759" s="16"/>
      <c r="AA759" s="16"/>
      <c r="AB759" s="16"/>
      <c r="AC759" s="16"/>
      <c r="AD759" s="16"/>
      <c r="AE759" s="16"/>
    </row>
    <row r="760" spans="1:31" ht="15.75" customHeight="1" x14ac:dyDescent="0.25">
      <c r="A760" s="109"/>
      <c r="B760" s="3"/>
      <c r="C760" s="13" t="s">
        <v>899</v>
      </c>
      <c r="D760" s="14"/>
      <c r="E760" s="14"/>
      <c r="F760" s="14"/>
      <c r="G760" s="61">
        <f>SUM(D760:F760)</f>
        <v>0</v>
      </c>
      <c r="H760" s="15"/>
      <c r="I760" s="14"/>
      <c r="J760" s="14"/>
      <c r="K760" s="14"/>
      <c r="L760" s="14">
        <f>SUM(I760:K760)</f>
        <v>0</v>
      </c>
      <c r="M760" s="62">
        <f>(L760-G760)</f>
        <v>0</v>
      </c>
      <c r="N760" s="14"/>
      <c r="O760" s="38"/>
      <c r="P760" s="15">
        <v>3200</v>
      </c>
      <c r="Q760" s="241"/>
      <c r="R760" s="38"/>
      <c r="S760" s="38"/>
      <c r="T760" s="38"/>
      <c r="U760" s="38"/>
      <c r="V760" s="38"/>
      <c r="W760" s="38"/>
      <c r="X760" s="167"/>
      <c r="Y760" s="280"/>
      <c r="Z760" s="16"/>
      <c r="AA760" s="16"/>
      <c r="AB760" s="16"/>
      <c r="AC760" s="16"/>
      <c r="AD760" s="16"/>
      <c r="AE760" s="16"/>
    </row>
    <row r="761" spans="1:31" ht="15.75" customHeight="1" x14ac:dyDescent="0.25">
      <c r="A761" s="16"/>
      <c r="B761" s="16"/>
      <c r="C761" s="40" t="s">
        <v>188</v>
      </c>
      <c r="D761" s="96">
        <f>SUM(D747:D756)</f>
        <v>125826</v>
      </c>
      <c r="E761" s="96">
        <f>SUM(E747:E756)</f>
        <v>24733</v>
      </c>
      <c r="F761" s="96">
        <f>SUM(F747:F756)</f>
        <v>2400</v>
      </c>
      <c r="G761" s="27">
        <f t="shared" si="341"/>
        <v>152959</v>
      </c>
      <c r="H761" s="96">
        <f>SUM(H747:H760)</f>
        <v>5316</v>
      </c>
      <c r="I761" s="96">
        <f>SUM(I747:I760)</f>
        <v>164769</v>
      </c>
      <c r="J761" s="96">
        <f>SUM(J747:J760)</f>
        <v>40807</v>
      </c>
      <c r="K761" s="96">
        <f>SUM(K747:K760)</f>
        <v>0</v>
      </c>
      <c r="L761" s="89">
        <f t="shared" si="342"/>
        <v>205576</v>
      </c>
      <c r="M761" s="28">
        <f t="shared" si="343"/>
        <v>52617</v>
      </c>
      <c r="N761" s="96">
        <f t="shared" ref="N761:X761" si="344">SUM(N747:N760)</f>
        <v>12575</v>
      </c>
      <c r="O761" s="96">
        <f t="shared" si="344"/>
        <v>0</v>
      </c>
      <c r="P761" s="96">
        <f t="shared" si="344"/>
        <v>18047</v>
      </c>
      <c r="Q761" s="260">
        <f t="shared" si="344"/>
        <v>1000</v>
      </c>
      <c r="R761" s="96">
        <f t="shared" si="344"/>
        <v>0</v>
      </c>
      <c r="S761" s="96">
        <f t="shared" si="344"/>
        <v>12837</v>
      </c>
      <c r="T761" s="96">
        <f t="shared" si="344"/>
        <v>9500</v>
      </c>
      <c r="U761" s="96">
        <f t="shared" si="344"/>
        <v>0</v>
      </c>
      <c r="V761" s="96">
        <f t="shared" si="344"/>
        <v>0</v>
      </c>
      <c r="W761" s="96">
        <f t="shared" si="344"/>
        <v>0</v>
      </c>
      <c r="X761" s="96">
        <f t="shared" si="344"/>
        <v>0</v>
      </c>
      <c r="Y761" s="280"/>
      <c r="Z761" s="16"/>
      <c r="AA761" s="16"/>
      <c r="AB761" s="16"/>
      <c r="AC761" s="16"/>
      <c r="AD761" s="16"/>
      <c r="AE761" s="16"/>
    </row>
    <row r="762" spans="1:31" ht="15.75" customHeight="1" x14ac:dyDescent="0.25">
      <c r="A762" s="6" t="s">
        <v>68</v>
      </c>
      <c r="B762" s="32" t="s">
        <v>80</v>
      </c>
      <c r="C762" s="32" t="s">
        <v>80</v>
      </c>
      <c r="D762" s="74">
        <v>30560</v>
      </c>
      <c r="E762" s="74">
        <v>12149</v>
      </c>
      <c r="F762" s="74"/>
      <c r="G762" s="61">
        <f t="shared" si="341"/>
        <v>42709</v>
      </c>
      <c r="H762" s="15">
        <v>6486</v>
      </c>
      <c r="I762" s="74">
        <v>37123</v>
      </c>
      <c r="J762" s="74">
        <v>17624</v>
      </c>
      <c r="K762" s="91"/>
      <c r="L762" s="14">
        <f t="shared" si="342"/>
        <v>54747</v>
      </c>
      <c r="M762" s="62">
        <f t="shared" si="343"/>
        <v>12038</v>
      </c>
      <c r="N762" s="74"/>
      <c r="O762" s="102"/>
      <c r="P762" s="90"/>
      <c r="Q762" s="247"/>
      <c r="R762" s="102"/>
      <c r="S762" s="102"/>
      <c r="T762" s="102"/>
      <c r="U762" s="102"/>
      <c r="V762" s="102"/>
      <c r="W762" s="102"/>
      <c r="X762" s="179"/>
      <c r="Y762" s="279"/>
      <c r="Z762" s="3"/>
      <c r="AA762" s="3"/>
      <c r="AB762" s="3"/>
      <c r="AC762" s="3"/>
      <c r="AD762" s="3"/>
      <c r="AE762" s="3"/>
    </row>
    <row r="763" spans="1:31" ht="15.75" customHeight="1" x14ac:dyDescent="0.25">
      <c r="A763" s="6" t="s">
        <v>68</v>
      </c>
      <c r="B763" s="32" t="s">
        <v>80</v>
      </c>
      <c r="C763" s="13" t="s">
        <v>414</v>
      </c>
      <c r="D763" s="14"/>
      <c r="E763" s="14">
        <v>3195</v>
      </c>
      <c r="F763" s="14"/>
      <c r="G763" s="61">
        <f t="shared" si="341"/>
        <v>3195</v>
      </c>
      <c r="H763" s="15"/>
      <c r="I763" s="14"/>
      <c r="J763" s="14">
        <v>4150</v>
      </c>
      <c r="K763" s="30"/>
      <c r="L763" s="14">
        <f t="shared" si="342"/>
        <v>4150</v>
      </c>
      <c r="M763" s="62">
        <f t="shared" si="343"/>
        <v>955</v>
      </c>
      <c r="N763" s="14"/>
      <c r="O763" s="38"/>
      <c r="P763" s="15"/>
      <c r="Q763" s="241"/>
      <c r="R763" s="38"/>
      <c r="S763" s="38"/>
      <c r="T763" s="38"/>
      <c r="U763" s="38"/>
      <c r="V763" s="38"/>
      <c r="W763" s="38"/>
      <c r="X763" s="167"/>
      <c r="Y763" s="279"/>
      <c r="Z763" s="3"/>
      <c r="AA763" s="3"/>
      <c r="AB763" s="3"/>
      <c r="AC763" s="3"/>
      <c r="AD763" s="3"/>
      <c r="AE763" s="3"/>
    </row>
    <row r="764" spans="1:31" ht="15.75" customHeight="1" x14ac:dyDescent="0.25">
      <c r="A764" s="6" t="s">
        <v>68</v>
      </c>
      <c r="B764" s="32" t="s">
        <v>80</v>
      </c>
      <c r="C764" s="13" t="s">
        <v>400</v>
      </c>
      <c r="D764" s="14">
        <v>25397</v>
      </c>
      <c r="E764" s="14"/>
      <c r="F764" s="14"/>
      <c r="G764" s="61">
        <f t="shared" si="341"/>
        <v>25397</v>
      </c>
      <c r="H764" s="15"/>
      <c r="I764" s="14">
        <v>31962</v>
      </c>
      <c r="J764" s="30"/>
      <c r="K764" s="30"/>
      <c r="L764" s="14">
        <f t="shared" si="342"/>
        <v>31962</v>
      </c>
      <c r="M764" s="62">
        <f t="shared" si="343"/>
        <v>6565</v>
      </c>
      <c r="N764" s="14"/>
      <c r="O764" s="38"/>
      <c r="P764" s="15"/>
      <c r="Q764" s="241"/>
      <c r="R764" s="38"/>
      <c r="S764" s="38"/>
      <c r="T764" s="38"/>
      <c r="U764" s="38"/>
      <c r="V764" s="38"/>
      <c r="W764" s="38"/>
      <c r="X764" s="167"/>
      <c r="Y764" s="279"/>
      <c r="Z764" s="3"/>
      <c r="AA764" s="3"/>
      <c r="AB764" s="3"/>
      <c r="AC764" s="3"/>
      <c r="AD764" s="3"/>
      <c r="AE764" s="3"/>
    </row>
    <row r="765" spans="1:31" ht="15.75" customHeight="1" x14ac:dyDescent="0.25">
      <c r="A765" s="6" t="s">
        <v>68</v>
      </c>
      <c r="B765" s="32" t="s">
        <v>80</v>
      </c>
      <c r="C765" s="13" t="s">
        <v>401</v>
      </c>
      <c r="D765" s="15"/>
      <c r="E765" s="15"/>
      <c r="F765" s="15"/>
      <c r="G765" s="61">
        <f t="shared" si="341"/>
        <v>0</v>
      </c>
      <c r="H765" s="15"/>
      <c r="I765" s="30"/>
      <c r="J765" s="30"/>
      <c r="K765" s="30"/>
      <c r="L765" s="14">
        <f t="shared" si="342"/>
        <v>0</v>
      </c>
      <c r="M765" s="62">
        <f t="shared" si="343"/>
        <v>0</v>
      </c>
      <c r="N765" s="14">
        <v>10067</v>
      </c>
      <c r="O765" s="38"/>
      <c r="P765" s="15"/>
      <c r="Q765" s="241"/>
      <c r="R765" s="38"/>
      <c r="S765" s="38"/>
      <c r="T765" s="38"/>
      <c r="U765" s="38"/>
      <c r="V765" s="38"/>
      <c r="W765" s="38"/>
      <c r="X765" s="167"/>
      <c r="Y765" s="279"/>
      <c r="Z765" s="3"/>
      <c r="AA765" s="3"/>
      <c r="AB765" s="3"/>
      <c r="AC765" s="3"/>
      <c r="AD765" s="3"/>
      <c r="AE765" s="3"/>
    </row>
    <row r="766" spans="1:31" ht="15.75" customHeight="1" x14ac:dyDescent="0.25">
      <c r="A766" s="6" t="s">
        <v>68</v>
      </c>
      <c r="B766" s="32" t="s">
        <v>80</v>
      </c>
      <c r="C766" s="13" t="s">
        <v>402</v>
      </c>
      <c r="D766" s="15"/>
      <c r="E766" s="15"/>
      <c r="F766" s="15"/>
      <c r="G766" s="61">
        <f t="shared" si="341"/>
        <v>0</v>
      </c>
      <c r="H766" s="15"/>
      <c r="I766" s="30"/>
      <c r="J766" s="30"/>
      <c r="K766" s="30"/>
      <c r="L766" s="14">
        <f t="shared" si="342"/>
        <v>0</v>
      </c>
      <c r="M766" s="62">
        <f t="shared" si="343"/>
        <v>0</v>
      </c>
      <c r="N766" s="14"/>
      <c r="O766" s="38"/>
      <c r="P766" s="15"/>
      <c r="Q766" s="241"/>
      <c r="R766" s="38"/>
      <c r="S766" s="38"/>
      <c r="T766" s="38"/>
      <c r="U766" s="38"/>
      <c r="V766" s="38"/>
      <c r="W766" s="38"/>
      <c r="X766" s="167"/>
      <c r="Y766" s="279"/>
      <c r="Z766" s="3"/>
      <c r="AA766" s="3"/>
      <c r="AB766" s="3"/>
      <c r="AC766" s="3"/>
      <c r="AD766" s="3"/>
      <c r="AE766" s="3"/>
    </row>
    <row r="767" spans="1:31" ht="15.75" customHeight="1" x14ac:dyDescent="0.25">
      <c r="A767" s="6" t="s">
        <v>68</v>
      </c>
      <c r="B767" s="32" t="s">
        <v>80</v>
      </c>
      <c r="C767" s="13" t="s">
        <v>859</v>
      </c>
      <c r="D767" s="15"/>
      <c r="E767" s="15"/>
      <c r="F767" s="15"/>
      <c r="G767" s="61">
        <f t="shared" si="341"/>
        <v>0</v>
      </c>
      <c r="H767" s="15"/>
      <c r="I767" s="30"/>
      <c r="J767" s="30"/>
      <c r="K767" s="30"/>
      <c r="L767" s="14">
        <f t="shared" si="342"/>
        <v>0</v>
      </c>
      <c r="M767" s="62">
        <f t="shared" si="343"/>
        <v>0</v>
      </c>
      <c r="N767" s="15"/>
      <c r="O767" s="38"/>
      <c r="P767" s="15"/>
      <c r="Q767" s="241"/>
      <c r="R767" s="38"/>
      <c r="S767" s="38"/>
      <c r="T767" s="38"/>
      <c r="U767" s="38"/>
      <c r="V767" s="38"/>
      <c r="W767" s="38"/>
      <c r="X767" s="167"/>
    </row>
    <row r="768" spans="1:31" ht="15.75" customHeight="1" x14ac:dyDescent="0.25">
      <c r="A768" s="6" t="s">
        <v>68</v>
      </c>
      <c r="B768" s="32" t="s">
        <v>80</v>
      </c>
      <c r="C768" s="13" t="s">
        <v>900</v>
      </c>
      <c r="D768" s="14"/>
      <c r="E768" s="14"/>
      <c r="F768" s="14"/>
      <c r="G768" s="61">
        <f t="shared" si="341"/>
        <v>0</v>
      </c>
      <c r="H768" s="15"/>
      <c r="I768" s="30"/>
      <c r="J768" s="30"/>
      <c r="K768" s="14"/>
      <c r="L768" s="14">
        <f t="shared" si="342"/>
        <v>0</v>
      </c>
      <c r="M768" s="62">
        <f t="shared" si="343"/>
        <v>0</v>
      </c>
      <c r="N768" s="14"/>
      <c r="O768" s="38"/>
      <c r="P768" s="15"/>
      <c r="Q768" s="241"/>
      <c r="R768" s="38"/>
      <c r="S768" s="38"/>
      <c r="T768" s="38">
        <v>2400</v>
      </c>
      <c r="U768" s="38"/>
      <c r="V768" s="38"/>
      <c r="W768" s="38"/>
      <c r="X768" s="167"/>
      <c r="Y768" s="279"/>
      <c r="Z768" s="3"/>
      <c r="AA768" s="3"/>
      <c r="AB768" s="3"/>
      <c r="AC768" s="3"/>
      <c r="AD768" s="3"/>
      <c r="AE768" s="3"/>
    </row>
    <row r="769" spans="1:31" ht="15.75" customHeight="1" x14ac:dyDescent="0.25">
      <c r="A769" s="6" t="s">
        <v>68</v>
      </c>
      <c r="B769" s="32" t="s">
        <v>80</v>
      </c>
      <c r="C769" s="17" t="s">
        <v>700</v>
      </c>
      <c r="D769" s="14"/>
      <c r="E769" s="14"/>
      <c r="F769" s="14"/>
      <c r="G769" s="61">
        <f t="shared" si="341"/>
        <v>0</v>
      </c>
      <c r="H769" s="15"/>
      <c r="I769" s="14"/>
      <c r="J769" s="14"/>
      <c r="K769" s="14"/>
      <c r="L769" s="14">
        <f t="shared" si="342"/>
        <v>0</v>
      </c>
      <c r="M769" s="62">
        <f t="shared" si="343"/>
        <v>0</v>
      </c>
      <c r="N769" s="14"/>
      <c r="O769" s="38"/>
      <c r="P769" s="15"/>
      <c r="Q769" s="241"/>
      <c r="R769" s="38"/>
      <c r="S769" s="38"/>
      <c r="T769" s="38"/>
      <c r="U769" s="38"/>
      <c r="V769" s="38"/>
      <c r="W769" s="38"/>
      <c r="X769" s="167"/>
      <c r="Y769" s="279"/>
      <c r="Z769" s="3"/>
      <c r="AA769" s="3"/>
      <c r="AB769" s="3"/>
      <c r="AC769" s="3"/>
      <c r="AD769" s="3"/>
      <c r="AE769" s="3"/>
    </row>
    <row r="770" spans="1:31" ht="15.75" customHeight="1" x14ac:dyDescent="0.25">
      <c r="A770" s="6" t="s">
        <v>68</v>
      </c>
      <c r="B770" s="32" t="s">
        <v>80</v>
      </c>
      <c r="C770" s="17" t="s">
        <v>901</v>
      </c>
      <c r="D770" s="19"/>
      <c r="E770" s="19"/>
      <c r="F770" s="18"/>
      <c r="G770" s="61">
        <f t="shared" si="341"/>
        <v>0</v>
      </c>
      <c r="H770" s="15"/>
      <c r="I770" s="19"/>
      <c r="J770" s="19"/>
      <c r="K770" s="19"/>
      <c r="L770" s="14">
        <f t="shared" si="342"/>
        <v>0</v>
      </c>
      <c r="M770" s="62">
        <f t="shared" si="343"/>
        <v>0</v>
      </c>
      <c r="N770" s="19"/>
      <c r="O770" s="168"/>
      <c r="P770" s="19"/>
      <c r="Q770" s="242"/>
      <c r="R770" s="168"/>
      <c r="S770" s="168"/>
      <c r="T770" s="168"/>
      <c r="U770" s="168"/>
      <c r="V770" s="168"/>
      <c r="W770" s="168"/>
      <c r="X770" s="169"/>
      <c r="Y770" s="280"/>
      <c r="Z770" s="16"/>
      <c r="AA770" s="16"/>
      <c r="AB770" s="16"/>
      <c r="AC770" s="16"/>
      <c r="AD770" s="16"/>
      <c r="AE770" s="16"/>
    </row>
    <row r="771" spans="1:31" ht="15.75" customHeight="1" x14ac:dyDescent="0.25">
      <c r="A771" s="109"/>
      <c r="B771" s="3"/>
      <c r="C771" s="31" t="s">
        <v>231</v>
      </c>
      <c r="D771" s="14"/>
      <c r="E771" s="14"/>
      <c r="F771" s="14"/>
      <c r="G771" s="61">
        <f t="shared" ref="G771:G776" si="345">SUM(D771:F771)</f>
        <v>0</v>
      </c>
      <c r="H771" s="15"/>
      <c r="I771" s="14"/>
      <c r="J771" s="14"/>
      <c r="K771" s="14"/>
      <c r="L771" s="14">
        <f t="shared" ref="L771:L776" si="346">SUM(I771:K771)</f>
        <v>0</v>
      </c>
      <c r="M771" s="62">
        <f t="shared" ref="M771:M776" si="347">(L771-G771)</f>
        <v>0</v>
      </c>
      <c r="N771" s="14"/>
      <c r="O771" s="38"/>
      <c r="P771" s="15"/>
      <c r="Q771" s="241"/>
      <c r="R771" s="38"/>
      <c r="S771" s="38"/>
      <c r="T771" s="38"/>
      <c r="U771" s="38"/>
      <c r="V771" s="38"/>
      <c r="W771" s="38"/>
      <c r="X771" s="167"/>
      <c r="Y771" s="280"/>
      <c r="Z771" s="16"/>
      <c r="AA771" s="16"/>
      <c r="AB771" s="16"/>
      <c r="AC771" s="16"/>
      <c r="AD771" s="16"/>
      <c r="AE771" s="16"/>
    </row>
    <row r="772" spans="1:31" ht="15.75" customHeight="1" x14ac:dyDescent="0.25">
      <c r="A772" s="109"/>
      <c r="B772" s="3"/>
      <c r="C772" s="13" t="s">
        <v>902</v>
      </c>
      <c r="D772" s="14"/>
      <c r="E772" s="14"/>
      <c r="F772" s="14"/>
      <c r="G772" s="61">
        <f t="shared" si="345"/>
        <v>0</v>
      </c>
      <c r="H772" s="15"/>
      <c r="I772" s="14"/>
      <c r="J772" s="14"/>
      <c r="K772" s="14"/>
      <c r="L772" s="14">
        <f t="shared" si="346"/>
        <v>0</v>
      </c>
      <c r="M772" s="62">
        <f t="shared" si="347"/>
        <v>0</v>
      </c>
      <c r="N772" s="14"/>
      <c r="O772" s="38"/>
      <c r="P772" s="15">
        <v>1000</v>
      </c>
      <c r="Q772" s="241"/>
      <c r="R772" s="38"/>
      <c r="S772" s="38"/>
      <c r="T772" s="38"/>
      <c r="U772" s="38"/>
      <c r="V772" s="38"/>
      <c r="W772" s="38"/>
      <c r="X772" s="167"/>
      <c r="Y772" s="280"/>
      <c r="Z772" s="16"/>
      <c r="AA772" s="16"/>
      <c r="AB772" s="16"/>
      <c r="AC772" s="16"/>
      <c r="AD772" s="16"/>
      <c r="AE772" s="16"/>
    </row>
    <row r="773" spans="1:31" ht="15.75" customHeight="1" x14ac:dyDescent="0.25">
      <c r="A773" s="109"/>
      <c r="B773" s="3"/>
      <c r="C773" s="13" t="s">
        <v>415</v>
      </c>
      <c r="D773" s="14"/>
      <c r="E773" s="14"/>
      <c r="F773" s="14"/>
      <c r="G773" s="61">
        <f t="shared" si="345"/>
        <v>0</v>
      </c>
      <c r="H773" s="15"/>
      <c r="I773" s="14"/>
      <c r="J773" s="14"/>
      <c r="K773" s="14"/>
      <c r="L773" s="14">
        <f t="shared" si="346"/>
        <v>0</v>
      </c>
      <c r="M773" s="62">
        <f t="shared" si="347"/>
        <v>0</v>
      </c>
      <c r="N773" s="14"/>
      <c r="O773" s="38"/>
      <c r="P773" s="15">
        <v>3000</v>
      </c>
      <c r="Q773" s="241"/>
      <c r="R773" s="38"/>
      <c r="S773" s="38"/>
      <c r="T773" s="38"/>
      <c r="U773" s="38"/>
      <c r="V773" s="38"/>
      <c r="W773" s="38"/>
      <c r="X773" s="167"/>
      <c r="Y773" s="280"/>
      <c r="Z773" s="16"/>
      <c r="AA773" s="16"/>
      <c r="AB773" s="16"/>
      <c r="AC773" s="16"/>
      <c r="AD773" s="16"/>
      <c r="AE773" s="16"/>
    </row>
    <row r="774" spans="1:31" ht="15.75" customHeight="1" x14ac:dyDescent="0.25">
      <c r="A774" s="109"/>
      <c r="B774" s="3"/>
      <c r="C774" s="13" t="s">
        <v>903</v>
      </c>
      <c r="D774" s="14"/>
      <c r="E774" s="14"/>
      <c r="F774" s="14"/>
      <c r="G774" s="61">
        <f t="shared" si="345"/>
        <v>0</v>
      </c>
      <c r="H774" s="15"/>
      <c r="I774" s="14"/>
      <c r="J774" s="14"/>
      <c r="K774" s="14"/>
      <c r="L774" s="14">
        <f t="shared" si="346"/>
        <v>0</v>
      </c>
      <c r="M774" s="62">
        <f t="shared" si="347"/>
        <v>0</v>
      </c>
      <c r="N774" s="14"/>
      <c r="O774" s="38"/>
      <c r="P774" s="15">
        <v>620</v>
      </c>
      <c r="Q774" s="241"/>
      <c r="R774" s="38"/>
      <c r="S774" s="38"/>
      <c r="T774" s="38"/>
      <c r="U774" s="38"/>
      <c r="V774" s="38"/>
      <c r="W774" s="38"/>
      <c r="X774" s="167"/>
      <c r="Y774" s="280"/>
      <c r="Z774" s="16"/>
      <c r="AA774" s="16"/>
      <c r="AB774" s="16"/>
      <c r="AC774" s="16"/>
      <c r="AD774" s="16"/>
      <c r="AE774" s="16"/>
    </row>
    <row r="775" spans="1:31" ht="15.75" customHeight="1" x14ac:dyDescent="0.25">
      <c r="A775" s="109"/>
      <c r="B775" s="3"/>
      <c r="C775" s="13" t="s">
        <v>416</v>
      </c>
      <c r="D775" s="14"/>
      <c r="E775" s="14"/>
      <c r="F775" s="14"/>
      <c r="G775" s="61">
        <f t="shared" si="345"/>
        <v>0</v>
      </c>
      <c r="H775" s="15"/>
      <c r="I775" s="14"/>
      <c r="J775" s="14"/>
      <c r="K775" s="14"/>
      <c r="L775" s="14">
        <f t="shared" si="346"/>
        <v>0</v>
      </c>
      <c r="M775" s="62">
        <f t="shared" si="347"/>
        <v>0</v>
      </c>
      <c r="N775" s="14"/>
      <c r="O775" s="38"/>
      <c r="P775" s="15">
        <v>1500</v>
      </c>
      <c r="Q775" s="241"/>
      <c r="R775" s="38"/>
      <c r="S775" s="38"/>
      <c r="T775" s="38"/>
      <c r="U775" s="38"/>
      <c r="V775" s="38"/>
      <c r="W775" s="38"/>
      <c r="X775" s="167"/>
      <c r="Y775" s="280"/>
      <c r="Z775" s="16"/>
      <c r="AA775" s="16"/>
      <c r="AB775" s="16"/>
      <c r="AC775" s="16"/>
      <c r="AD775" s="16"/>
      <c r="AE775" s="16"/>
    </row>
    <row r="776" spans="1:31" ht="15.75" customHeight="1" x14ac:dyDescent="0.25">
      <c r="A776" s="109"/>
      <c r="B776" s="3"/>
      <c r="C776" s="13" t="s">
        <v>417</v>
      </c>
      <c r="D776" s="14"/>
      <c r="E776" s="14"/>
      <c r="F776" s="14"/>
      <c r="G776" s="61">
        <f t="shared" si="345"/>
        <v>0</v>
      </c>
      <c r="H776" s="15"/>
      <c r="I776" s="14"/>
      <c r="J776" s="14"/>
      <c r="K776" s="14"/>
      <c r="L776" s="14">
        <f t="shared" si="346"/>
        <v>0</v>
      </c>
      <c r="M776" s="62">
        <f t="shared" si="347"/>
        <v>0</v>
      </c>
      <c r="N776" s="14"/>
      <c r="O776" s="38"/>
      <c r="P776" s="15">
        <v>3200</v>
      </c>
      <c r="Q776" s="241"/>
      <c r="R776" s="38"/>
      <c r="S776" s="38"/>
      <c r="T776" s="38"/>
      <c r="U776" s="38"/>
      <c r="V776" s="38"/>
      <c r="W776" s="38"/>
      <c r="X776" s="167"/>
      <c r="Y776" s="280" t="s">
        <v>904</v>
      </c>
      <c r="Z776" s="16"/>
      <c r="AA776" s="16"/>
      <c r="AB776" s="16"/>
      <c r="AC776" s="16"/>
      <c r="AD776" s="16"/>
      <c r="AE776" s="16"/>
    </row>
    <row r="777" spans="1:31" ht="15.75" customHeight="1" x14ac:dyDescent="0.25">
      <c r="A777" s="16"/>
      <c r="B777" s="16"/>
      <c r="C777" s="40" t="s">
        <v>188</v>
      </c>
      <c r="D777" s="96">
        <f>SUM(D762:D770)</f>
        <v>55957</v>
      </c>
      <c r="E777" s="96">
        <f>SUM(E762:E770)</f>
        <v>15344</v>
      </c>
      <c r="F777" s="96">
        <f>SUM(F762:F770)</f>
        <v>0</v>
      </c>
      <c r="G777" s="27">
        <f t="shared" si="341"/>
        <v>71301</v>
      </c>
      <c r="H777" s="96">
        <f>SUM(H762:H776)</f>
        <v>6486</v>
      </c>
      <c r="I777" s="96">
        <f>SUM(I762:I776)</f>
        <v>69085</v>
      </c>
      <c r="J777" s="96">
        <f>SUM(J762:J776)</f>
        <v>21774</v>
      </c>
      <c r="K777" s="96">
        <f>SUM(K762:K776)</f>
        <v>0</v>
      </c>
      <c r="L777" s="89">
        <f t="shared" si="342"/>
        <v>90859</v>
      </c>
      <c r="M777" s="28">
        <f t="shared" si="343"/>
        <v>19558</v>
      </c>
      <c r="N777" s="96">
        <f t="shared" ref="N777:X777" si="348">SUM(N762:N776)</f>
        <v>10067</v>
      </c>
      <c r="O777" s="96">
        <f t="shared" si="348"/>
        <v>0</v>
      </c>
      <c r="P777" s="96">
        <f t="shared" si="348"/>
        <v>9320</v>
      </c>
      <c r="Q777" s="260">
        <f t="shared" si="348"/>
        <v>0</v>
      </c>
      <c r="R777" s="96">
        <f t="shared" si="348"/>
        <v>0</v>
      </c>
      <c r="S777" s="96">
        <f t="shared" si="348"/>
        <v>0</v>
      </c>
      <c r="T777" s="96">
        <f t="shared" si="348"/>
        <v>2400</v>
      </c>
      <c r="U777" s="96">
        <f t="shared" si="348"/>
        <v>0</v>
      </c>
      <c r="V777" s="96">
        <f t="shared" si="348"/>
        <v>0</v>
      </c>
      <c r="W777" s="96">
        <f t="shared" si="348"/>
        <v>0</v>
      </c>
      <c r="X777" s="96">
        <f t="shared" si="348"/>
        <v>0</v>
      </c>
      <c r="Y777" s="280"/>
      <c r="Z777" s="16"/>
      <c r="AA777" s="16"/>
      <c r="AB777" s="16"/>
      <c r="AC777" s="16"/>
      <c r="AD777" s="16"/>
      <c r="AE777" s="16"/>
    </row>
    <row r="778" spans="1:31" ht="15.75" customHeight="1" x14ac:dyDescent="0.25">
      <c r="A778" s="6" t="s">
        <v>68</v>
      </c>
      <c r="B778" s="32" t="s">
        <v>79</v>
      </c>
      <c r="C778" s="32" t="s">
        <v>79</v>
      </c>
      <c r="D778" s="74">
        <v>42214</v>
      </c>
      <c r="E778" s="74">
        <v>5781</v>
      </c>
      <c r="F778" s="74">
        <v>1200</v>
      </c>
      <c r="G778" s="61">
        <f t="shared" si="341"/>
        <v>49195</v>
      </c>
      <c r="H778" s="15">
        <v>8996</v>
      </c>
      <c r="I778" s="74">
        <v>42214</v>
      </c>
      <c r="J778" s="74">
        <v>5295</v>
      </c>
      <c r="K778" s="74"/>
      <c r="L778" s="14">
        <f t="shared" si="342"/>
        <v>47509</v>
      </c>
      <c r="M778" s="62">
        <f t="shared" si="343"/>
        <v>-1686</v>
      </c>
      <c r="N778" s="74"/>
      <c r="O778" s="102"/>
      <c r="P778" s="90"/>
      <c r="Q778" s="247"/>
      <c r="R778" s="102"/>
      <c r="S778" s="102"/>
      <c r="T778" s="102"/>
      <c r="U778" s="102"/>
      <c r="V778" s="102"/>
      <c r="W778" s="102"/>
      <c r="X778" s="179"/>
      <c r="Y778" s="279"/>
      <c r="Z778" s="3"/>
      <c r="AA778" s="3"/>
      <c r="AB778" s="3"/>
      <c r="AC778" s="3"/>
      <c r="AD778" s="3"/>
      <c r="AE778" s="3"/>
    </row>
    <row r="779" spans="1:31" ht="15.75" customHeight="1" x14ac:dyDescent="0.25">
      <c r="A779" s="6" t="s">
        <v>68</v>
      </c>
      <c r="B779" s="32" t="s">
        <v>79</v>
      </c>
      <c r="C779" s="13" t="s">
        <v>414</v>
      </c>
      <c r="D779" s="14"/>
      <c r="E779" s="14">
        <v>5436</v>
      </c>
      <c r="F779" s="14"/>
      <c r="G779" s="61">
        <f t="shared" si="341"/>
        <v>5436</v>
      </c>
      <c r="H779" s="15"/>
      <c r="I779" s="14"/>
      <c r="J779" s="14"/>
      <c r="K779" s="30"/>
      <c r="L779" s="14">
        <f t="shared" si="342"/>
        <v>0</v>
      </c>
      <c r="M779" s="62">
        <f t="shared" si="343"/>
        <v>-5436</v>
      </c>
      <c r="N779" s="14"/>
      <c r="O779" s="38"/>
      <c r="P779" s="15"/>
      <c r="Q779" s="241"/>
      <c r="R779" s="38"/>
      <c r="S779" s="38"/>
      <c r="T779" s="38"/>
      <c r="U779" s="38"/>
      <c r="V779" s="38"/>
      <c r="W779" s="38"/>
      <c r="X779" s="167"/>
      <c r="Y779" s="279"/>
      <c r="Z779" s="3"/>
      <c r="AA779" s="3"/>
      <c r="AB779" s="3"/>
      <c r="AC779" s="3"/>
      <c r="AD779" s="3"/>
      <c r="AE779" s="3"/>
    </row>
    <row r="780" spans="1:31" ht="15.75" customHeight="1" x14ac:dyDescent="0.25">
      <c r="A780" s="6" t="s">
        <v>68</v>
      </c>
      <c r="B780" s="32" t="s">
        <v>79</v>
      </c>
      <c r="C780" s="13" t="s">
        <v>400</v>
      </c>
      <c r="D780" s="14">
        <v>26562</v>
      </c>
      <c r="E780" s="14"/>
      <c r="F780" s="14"/>
      <c r="G780" s="61">
        <f t="shared" si="341"/>
        <v>26562</v>
      </c>
      <c r="H780" s="15"/>
      <c r="I780" s="14">
        <v>26524</v>
      </c>
      <c r="J780" s="30"/>
      <c r="K780" s="30"/>
      <c r="L780" s="14">
        <f t="shared" si="342"/>
        <v>26524</v>
      </c>
      <c r="M780" s="62">
        <f t="shared" si="343"/>
        <v>-38</v>
      </c>
      <c r="N780" s="14"/>
      <c r="O780" s="38"/>
      <c r="P780" s="15"/>
      <c r="Q780" s="241"/>
      <c r="R780" s="38"/>
      <c r="S780" s="38"/>
      <c r="T780" s="38"/>
      <c r="U780" s="38"/>
      <c r="V780" s="38"/>
      <c r="W780" s="38"/>
      <c r="X780" s="167"/>
      <c r="Y780" s="279"/>
      <c r="Z780" s="3"/>
      <c r="AA780" s="3"/>
      <c r="AB780" s="3"/>
      <c r="AC780" s="3"/>
      <c r="AD780" s="3"/>
      <c r="AE780" s="3"/>
    </row>
    <row r="781" spans="1:31" ht="15.75" customHeight="1" x14ac:dyDescent="0.25">
      <c r="A781" s="6" t="s">
        <v>68</v>
      </c>
      <c r="B781" s="32" t="s">
        <v>79</v>
      </c>
      <c r="C781" s="13" t="s">
        <v>401</v>
      </c>
      <c r="D781" s="15"/>
      <c r="E781" s="15"/>
      <c r="F781" s="15"/>
      <c r="G781" s="61">
        <f t="shared" si="341"/>
        <v>0</v>
      </c>
      <c r="H781" s="15"/>
      <c r="I781" s="30"/>
      <c r="J781" s="30"/>
      <c r="K781" s="30"/>
      <c r="L781" s="14">
        <f t="shared" si="342"/>
        <v>0</v>
      </c>
      <c r="M781" s="62">
        <f t="shared" si="343"/>
        <v>0</v>
      </c>
      <c r="N781" s="14">
        <v>7060</v>
      </c>
      <c r="O781" s="38"/>
      <c r="P781" s="15"/>
      <c r="Q781" s="241"/>
      <c r="R781" s="38"/>
      <c r="S781" s="38"/>
      <c r="T781" s="38"/>
      <c r="U781" s="38"/>
      <c r="V781" s="38"/>
      <c r="W781" s="38"/>
      <c r="X781" s="167"/>
      <c r="Y781" s="279"/>
      <c r="Z781" s="3"/>
      <c r="AA781" s="3"/>
      <c r="AB781" s="3"/>
      <c r="AC781" s="3"/>
      <c r="AD781" s="3"/>
      <c r="AE781" s="3"/>
    </row>
    <row r="782" spans="1:31" ht="15.75" customHeight="1" x14ac:dyDescent="0.25">
      <c r="A782" s="6" t="s">
        <v>68</v>
      </c>
      <c r="B782" s="32" t="s">
        <v>79</v>
      </c>
      <c r="C782" s="13" t="s">
        <v>402</v>
      </c>
      <c r="D782" s="15"/>
      <c r="E782" s="15"/>
      <c r="F782" s="15"/>
      <c r="G782" s="61">
        <f t="shared" si="341"/>
        <v>0</v>
      </c>
      <c r="H782" s="15"/>
      <c r="I782" s="15"/>
      <c r="J782" s="15"/>
      <c r="K782" s="15"/>
      <c r="L782" s="14">
        <f t="shared" si="342"/>
        <v>0</v>
      </c>
      <c r="M782" s="62">
        <f t="shared" si="343"/>
        <v>0</v>
      </c>
      <c r="N782" s="14"/>
      <c r="O782" s="38"/>
      <c r="P782" s="15"/>
      <c r="Q782" s="241"/>
      <c r="R782" s="38"/>
      <c r="S782" s="38"/>
      <c r="T782" s="38"/>
      <c r="U782" s="38"/>
      <c r="V782" s="38"/>
      <c r="W782" s="38"/>
      <c r="X782" s="167"/>
      <c r="Y782" s="279"/>
      <c r="Z782" s="3"/>
      <c r="AA782" s="3"/>
      <c r="AB782" s="3"/>
      <c r="AC782" s="3"/>
      <c r="AD782" s="3"/>
      <c r="AE782" s="3"/>
    </row>
    <row r="783" spans="1:31" ht="15.75" customHeight="1" x14ac:dyDescent="0.25">
      <c r="A783" s="6" t="s">
        <v>68</v>
      </c>
      <c r="B783" s="32" t="s">
        <v>79</v>
      </c>
      <c r="C783" s="13" t="s">
        <v>859</v>
      </c>
      <c r="D783" s="15"/>
      <c r="E783" s="15"/>
      <c r="F783" s="15"/>
      <c r="G783" s="61">
        <f t="shared" si="341"/>
        <v>0</v>
      </c>
      <c r="H783" s="15"/>
      <c r="I783" s="15"/>
      <c r="J783" s="15"/>
      <c r="K783" s="15"/>
      <c r="L783" s="14">
        <f t="shared" si="342"/>
        <v>0</v>
      </c>
      <c r="M783" s="62">
        <f t="shared" si="343"/>
        <v>0</v>
      </c>
      <c r="N783" s="15"/>
      <c r="O783" s="38"/>
      <c r="P783" s="15"/>
      <c r="Q783" s="241"/>
      <c r="R783" s="38"/>
      <c r="S783" s="38"/>
      <c r="T783" s="38"/>
      <c r="U783" s="38"/>
      <c r="V783" s="38"/>
      <c r="W783" s="38"/>
      <c r="X783" s="167"/>
      <c r="Y783" s="279"/>
      <c r="Z783" s="3"/>
      <c r="AA783" s="3"/>
      <c r="AB783" s="3"/>
      <c r="AC783" s="3"/>
      <c r="AD783" s="3"/>
      <c r="AE783" s="3"/>
    </row>
    <row r="784" spans="1:31" ht="15.75" customHeight="1" x14ac:dyDescent="0.25">
      <c r="C784" s="40" t="s">
        <v>188</v>
      </c>
      <c r="D784" s="89">
        <f>SUM(D778:D783)</f>
        <v>68776</v>
      </c>
      <c r="E784" s="89">
        <f>SUM(E778:E783)</f>
        <v>11217</v>
      </c>
      <c r="F784" s="89">
        <f>SUM(F778:F783)</f>
        <v>1200</v>
      </c>
      <c r="G784" s="27">
        <f t="shared" si="341"/>
        <v>81193</v>
      </c>
      <c r="H784" s="89">
        <f>SUM(H778:H783)</f>
        <v>8996</v>
      </c>
      <c r="I784" s="89">
        <f>SUM(I778:I783)</f>
        <v>68738</v>
      </c>
      <c r="J784" s="89">
        <f>SUM(J778:J783)</f>
        <v>5295</v>
      </c>
      <c r="K784" s="89">
        <f>SUM(K778:K783)</f>
        <v>0</v>
      </c>
      <c r="L784" s="89">
        <f t="shared" si="342"/>
        <v>74033</v>
      </c>
      <c r="M784" s="28">
        <f t="shared" si="343"/>
        <v>-7160</v>
      </c>
      <c r="N784" s="89">
        <f t="shared" ref="N784:X784" si="349">SUM(N778:N783)</f>
        <v>7060</v>
      </c>
      <c r="O784" s="107">
        <f t="shared" si="349"/>
        <v>0</v>
      </c>
      <c r="P784" s="210">
        <f t="shared" si="349"/>
        <v>0</v>
      </c>
      <c r="Q784" s="246">
        <f>SUM(Q778:Q783)</f>
        <v>0</v>
      </c>
      <c r="R784" s="107">
        <f t="shared" si="349"/>
        <v>0</v>
      </c>
      <c r="S784" s="107">
        <f t="shared" si="349"/>
        <v>0</v>
      </c>
      <c r="T784" s="107">
        <f t="shared" si="349"/>
        <v>0</v>
      </c>
      <c r="U784" s="107">
        <f t="shared" si="349"/>
        <v>0</v>
      </c>
      <c r="V784" s="107">
        <f t="shared" si="349"/>
        <v>0</v>
      </c>
      <c r="W784" s="107">
        <f t="shared" si="349"/>
        <v>0</v>
      </c>
      <c r="X784" s="107">
        <f t="shared" si="349"/>
        <v>0</v>
      </c>
    </row>
    <row r="785" spans="1:31" ht="15.75" customHeight="1" x14ac:dyDescent="0.25">
      <c r="A785" s="6" t="s">
        <v>68</v>
      </c>
      <c r="B785" s="32" t="s">
        <v>75</v>
      </c>
      <c r="C785" s="32" t="s">
        <v>75</v>
      </c>
      <c r="D785" s="74">
        <v>78665</v>
      </c>
      <c r="E785" s="74">
        <v>14791</v>
      </c>
      <c r="F785" s="74"/>
      <c r="G785" s="61">
        <f t="shared" si="341"/>
        <v>93456</v>
      </c>
      <c r="H785" s="15">
        <v>8316</v>
      </c>
      <c r="I785" s="74">
        <v>94810</v>
      </c>
      <c r="J785" s="74">
        <v>18627</v>
      </c>
      <c r="K785" s="74"/>
      <c r="L785" s="14">
        <f t="shared" si="342"/>
        <v>113437</v>
      </c>
      <c r="M785" s="62">
        <f t="shared" si="343"/>
        <v>19981</v>
      </c>
      <c r="N785" s="74"/>
      <c r="O785" s="102"/>
      <c r="P785" s="90"/>
      <c r="Q785" s="247"/>
      <c r="R785" s="102"/>
      <c r="S785" s="102"/>
      <c r="T785" s="102"/>
      <c r="U785" s="102"/>
      <c r="V785" s="102"/>
      <c r="W785" s="102"/>
      <c r="X785" s="179"/>
      <c r="Y785" s="279"/>
      <c r="Z785" s="3"/>
      <c r="AA785" s="3"/>
      <c r="AB785" s="3"/>
      <c r="AC785" s="3"/>
      <c r="AD785" s="3"/>
      <c r="AE785" s="3"/>
    </row>
    <row r="786" spans="1:31" ht="15.75" customHeight="1" x14ac:dyDescent="0.25">
      <c r="A786" s="6" t="s">
        <v>68</v>
      </c>
      <c r="B786" s="32" t="s">
        <v>75</v>
      </c>
      <c r="C786" s="13" t="s">
        <v>414</v>
      </c>
      <c r="D786" s="14"/>
      <c r="E786" s="14">
        <v>10427</v>
      </c>
      <c r="F786" s="14"/>
      <c r="G786" s="61">
        <f t="shared" si="341"/>
        <v>10427</v>
      </c>
      <c r="H786" s="15"/>
      <c r="I786" s="14"/>
      <c r="J786" s="14">
        <v>11594</v>
      </c>
      <c r="K786" s="30"/>
      <c r="L786" s="14">
        <f t="shared" si="342"/>
        <v>11594</v>
      </c>
      <c r="M786" s="62">
        <f t="shared" si="343"/>
        <v>1167</v>
      </c>
      <c r="N786" s="14"/>
      <c r="O786" s="38"/>
      <c r="P786" s="15"/>
      <c r="Q786" s="241"/>
      <c r="R786" s="38"/>
      <c r="S786" s="38"/>
      <c r="T786" s="38"/>
      <c r="U786" s="38"/>
      <c r="V786" s="38"/>
      <c r="W786" s="38"/>
      <c r="X786" s="167"/>
      <c r="Y786" s="279"/>
      <c r="Z786" s="3"/>
      <c r="AA786" s="3"/>
      <c r="AB786" s="3"/>
      <c r="AC786" s="3"/>
      <c r="AD786" s="3"/>
      <c r="AE786" s="3"/>
    </row>
    <row r="787" spans="1:31" ht="15.75" customHeight="1" x14ac:dyDescent="0.25">
      <c r="A787" s="6" t="s">
        <v>68</v>
      </c>
      <c r="B787" s="32" t="s">
        <v>75</v>
      </c>
      <c r="C787" s="13" t="s">
        <v>400</v>
      </c>
      <c r="D787" s="14">
        <v>64188</v>
      </c>
      <c r="E787" s="14"/>
      <c r="F787" s="14"/>
      <c r="G787" s="61">
        <f t="shared" si="341"/>
        <v>64188</v>
      </c>
      <c r="H787" s="15"/>
      <c r="I787" s="14">
        <v>89544</v>
      </c>
      <c r="J787" s="14"/>
      <c r="K787" s="30"/>
      <c r="L787" s="14">
        <f t="shared" si="342"/>
        <v>89544</v>
      </c>
      <c r="M787" s="62">
        <f t="shared" si="343"/>
        <v>25356</v>
      </c>
      <c r="N787" s="14"/>
      <c r="O787" s="38"/>
      <c r="P787" s="15"/>
      <c r="Q787" s="241"/>
      <c r="R787" s="38"/>
      <c r="S787" s="38"/>
      <c r="T787" s="38"/>
      <c r="U787" s="38"/>
      <c r="V787" s="38"/>
      <c r="W787" s="38"/>
      <c r="X787" s="167"/>
      <c r="Y787" s="279"/>
      <c r="Z787" s="3"/>
      <c r="AA787" s="3"/>
      <c r="AB787" s="3"/>
      <c r="AC787" s="3"/>
      <c r="AD787" s="3"/>
      <c r="AE787" s="3"/>
    </row>
    <row r="788" spans="1:31" ht="15.75" customHeight="1" x14ac:dyDescent="0.25">
      <c r="A788" s="6" t="s">
        <v>68</v>
      </c>
      <c r="B788" s="32" t="s">
        <v>75</v>
      </c>
      <c r="C788" s="13" t="s">
        <v>401</v>
      </c>
      <c r="D788" s="14"/>
      <c r="E788" s="15"/>
      <c r="F788" s="15"/>
      <c r="G788" s="61">
        <f t="shared" si="341"/>
        <v>0</v>
      </c>
      <c r="H788" s="15"/>
      <c r="I788" s="30"/>
      <c r="J788" s="14"/>
      <c r="K788" s="30"/>
      <c r="L788" s="14">
        <f t="shared" si="342"/>
        <v>0</v>
      </c>
      <c r="M788" s="62">
        <f t="shared" si="343"/>
        <v>0</v>
      </c>
      <c r="N788" s="14">
        <v>18752</v>
      </c>
      <c r="O788" s="38"/>
      <c r="P788" s="15"/>
      <c r="Q788" s="241"/>
      <c r="R788" s="38"/>
      <c r="S788" s="38"/>
      <c r="T788" s="38"/>
      <c r="U788" s="38"/>
      <c r="V788" s="38"/>
      <c r="W788" s="38"/>
      <c r="X788" s="167"/>
      <c r="Y788" s="279"/>
      <c r="Z788" s="3"/>
      <c r="AA788" s="3"/>
      <c r="AB788" s="3"/>
      <c r="AC788" s="3"/>
      <c r="AD788" s="3"/>
      <c r="AE788" s="3"/>
    </row>
    <row r="789" spans="1:31" ht="15.75" customHeight="1" x14ac:dyDescent="0.25">
      <c r="A789" s="6" t="s">
        <v>68</v>
      </c>
      <c r="B789" s="32" t="s">
        <v>75</v>
      </c>
      <c r="C789" s="13" t="s">
        <v>402</v>
      </c>
      <c r="D789" s="14"/>
      <c r="E789" s="15"/>
      <c r="F789" s="15"/>
      <c r="G789" s="61">
        <f t="shared" si="341"/>
        <v>0</v>
      </c>
      <c r="H789" s="15"/>
      <c r="I789" s="30"/>
      <c r="J789" s="14"/>
      <c r="K789" s="30"/>
      <c r="L789" s="14">
        <f t="shared" si="342"/>
        <v>0</v>
      </c>
      <c r="M789" s="62">
        <f t="shared" si="343"/>
        <v>0</v>
      </c>
      <c r="N789" s="14"/>
      <c r="O789" s="38"/>
      <c r="P789" s="15"/>
      <c r="Q789" s="241"/>
      <c r="R789" s="38"/>
      <c r="S789" s="38"/>
      <c r="T789" s="38"/>
      <c r="U789" s="38"/>
      <c r="V789" s="38"/>
      <c r="W789" s="38"/>
      <c r="X789" s="167"/>
      <c r="Y789" s="279"/>
      <c r="Z789" s="3"/>
      <c r="AA789" s="3"/>
      <c r="AB789" s="3"/>
      <c r="AC789" s="3"/>
      <c r="AD789" s="3"/>
      <c r="AE789" s="3"/>
    </row>
    <row r="790" spans="1:31" ht="15.75" customHeight="1" x14ac:dyDescent="0.25">
      <c r="A790" s="6" t="s">
        <v>68</v>
      </c>
      <c r="B790" s="32" t="s">
        <v>75</v>
      </c>
      <c r="C790" s="13" t="s">
        <v>859</v>
      </c>
      <c r="D790" s="14"/>
      <c r="E790" s="15"/>
      <c r="F790" s="15"/>
      <c r="G790" s="61">
        <f t="shared" si="341"/>
        <v>0</v>
      </c>
      <c r="H790" s="15"/>
      <c r="I790" s="30"/>
      <c r="J790" s="14"/>
      <c r="K790" s="30"/>
      <c r="L790" s="14">
        <f t="shared" si="342"/>
        <v>0</v>
      </c>
      <c r="M790" s="62">
        <f t="shared" si="343"/>
        <v>0</v>
      </c>
      <c r="N790" s="14"/>
      <c r="O790" s="38"/>
      <c r="P790" s="15"/>
      <c r="Q790" s="241"/>
      <c r="R790" s="38"/>
      <c r="S790" s="38"/>
      <c r="T790" s="38"/>
      <c r="U790" s="38"/>
      <c r="V790" s="38"/>
      <c r="W790" s="38"/>
      <c r="X790" s="167"/>
    </row>
    <row r="791" spans="1:31" ht="15.75" customHeight="1" x14ac:dyDescent="0.25">
      <c r="A791" s="6" t="s">
        <v>68</v>
      </c>
      <c r="B791" s="32" t="s">
        <v>75</v>
      </c>
      <c r="C791" s="17" t="s">
        <v>861</v>
      </c>
      <c r="D791" s="19"/>
      <c r="E791" s="19"/>
      <c r="F791" s="19"/>
      <c r="G791" s="61">
        <f t="shared" si="341"/>
        <v>0</v>
      </c>
      <c r="H791" s="15"/>
      <c r="I791" s="20"/>
      <c r="J791" s="18"/>
      <c r="K791" s="20"/>
      <c r="L791" s="14">
        <f t="shared" si="342"/>
        <v>0</v>
      </c>
      <c r="M791" s="62">
        <f t="shared" si="343"/>
        <v>0</v>
      </c>
      <c r="N791" s="19"/>
      <c r="O791" s="168"/>
      <c r="P791" s="19"/>
      <c r="Q791" s="242"/>
      <c r="R791" s="168"/>
      <c r="S791" s="168"/>
      <c r="T791" s="168"/>
      <c r="U791" s="168"/>
      <c r="V791" s="168"/>
      <c r="W791" s="168"/>
      <c r="X791" s="169"/>
      <c r="Y791" s="280"/>
      <c r="Z791" s="16"/>
      <c r="AA791" s="16"/>
      <c r="AB791" s="16"/>
      <c r="AC791" s="16"/>
      <c r="AD791" s="16"/>
      <c r="AE791" s="16"/>
    </row>
    <row r="792" spans="1:31" ht="15.75" customHeight="1" x14ac:dyDescent="0.25">
      <c r="A792" s="109"/>
      <c r="B792" s="12"/>
      <c r="C792" s="31" t="s">
        <v>231</v>
      </c>
      <c r="D792" s="14"/>
      <c r="E792" s="14"/>
      <c r="F792" s="14"/>
      <c r="G792" s="61">
        <f>SUM(D792:F792)</f>
        <v>0</v>
      </c>
      <c r="H792" s="15"/>
      <c r="I792" s="14"/>
      <c r="J792" s="14"/>
      <c r="K792" s="14"/>
      <c r="L792" s="14">
        <f>SUM(I792:K792)</f>
        <v>0</v>
      </c>
      <c r="M792" s="62">
        <f>(L792-G792)</f>
        <v>0</v>
      </c>
      <c r="N792" s="14"/>
      <c r="O792" s="38"/>
      <c r="P792" s="15"/>
      <c r="Q792" s="241"/>
      <c r="R792" s="38"/>
      <c r="S792" s="38"/>
      <c r="T792" s="38"/>
      <c r="U792" s="38"/>
      <c r="V792" s="38"/>
      <c r="W792" s="38"/>
      <c r="X792" s="167"/>
      <c r="Y792" s="280"/>
      <c r="Z792" s="16"/>
      <c r="AA792" s="16"/>
      <c r="AB792" s="16"/>
      <c r="AC792" s="16"/>
      <c r="AD792" s="16"/>
      <c r="AE792" s="16"/>
    </row>
    <row r="793" spans="1:31" ht="15.75" customHeight="1" x14ac:dyDescent="0.25">
      <c r="A793" s="109"/>
      <c r="B793" s="12"/>
      <c r="C793" s="13" t="s">
        <v>905</v>
      </c>
      <c r="D793" s="14"/>
      <c r="E793" s="14"/>
      <c r="F793" s="14"/>
      <c r="G793" s="61">
        <f>SUM(D793:F793)</f>
        <v>0</v>
      </c>
      <c r="H793" s="15"/>
      <c r="I793" s="14"/>
      <c r="J793" s="14"/>
      <c r="K793" s="14"/>
      <c r="L793" s="14">
        <f>SUM(I793:K793)</f>
        <v>0</v>
      </c>
      <c r="M793" s="62">
        <f>(L793-G793)</f>
        <v>0</v>
      </c>
      <c r="N793" s="14"/>
      <c r="O793" s="38"/>
      <c r="P793" s="15"/>
      <c r="Q793" s="241">
        <v>1000</v>
      </c>
      <c r="R793" s="38"/>
      <c r="S793" s="38"/>
      <c r="T793" s="38"/>
      <c r="U793" s="38"/>
      <c r="V793" s="38"/>
      <c r="W793" s="38"/>
      <c r="X793" s="167"/>
      <c r="Y793" s="280"/>
      <c r="Z793" s="16"/>
      <c r="AA793" s="16"/>
      <c r="AB793" s="16"/>
      <c r="AC793" s="16"/>
      <c r="AD793" s="16"/>
      <c r="AE793" s="16"/>
    </row>
    <row r="794" spans="1:31" ht="15.75" customHeight="1" x14ac:dyDescent="0.25">
      <c r="A794" s="6" t="s">
        <v>68</v>
      </c>
      <c r="B794" s="32" t="s">
        <v>75</v>
      </c>
      <c r="C794" s="17" t="s">
        <v>906</v>
      </c>
      <c r="D794" s="19"/>
      <c r="E794" s="19"/>
      <c r="F794" s="19"/>
      <c r="G794" s="61">
        <f t="shared" ref="G794" si="350">SUM(D794:F794)</f>
        <v>0</v>
      </c>
      <c r="H794" s="15"/>
      <c r="I794" s="19"/>
      <c r="J794" s="19"/>
      <c r="K794" s="19"/>
      <c r="L794" s="14">
        <f t="shared" ref="L794" si="351">SUM(I794:K794)</f>
        <v>0</v>
      </c>
      <c r="M794" s="62">
        <f t="shared" ref="M794" si="352">L794-G794</f>
        <v>0</v>
      </c>
      <c r="N794" s="19"/>
      <c r="O794" s="168">
        <v>4534</v>
      </c>
      <c r="P794" s="19"/>
      <c r="Q794" s="242"/>
      <c r="R794" s="168"/>
      <c r="S794" s="168"/>
      <c r="T794" s="168">
        <v>8910</v>
      </c>
      <c r="U794" s="168"/>
      <c r="V794" s="168"/>
      <c r="W794" s="168"/>
      <c r="X794" s="169"/>
      <c r="Y794" s="280"/>
      <c r="Z794" s="16"/>
      <c r="AA794" s="16"/>
      <c r="AB794" s="16"/>
      <c r="AC794" s="16"/>
      <c r="AD794" s="16"/>
      <c r="AE794" s="16"/>
    </row>
    <row r="795" spans="1:31" ht="15.75" customHeight="1" x14ac:dyDescent="0.25">
      <c r="A795" s="109"/>
      <c r="B795" s="3"/>
      <c r="C795" s="13" t="s">
        <v>907</v>
      </c>
      <c r="D795" s="14"/>
      <c r="E795" s="14"/>
      <c r="F795" s="14"/>
      <c r="G795" s="61">
        <f>SUM(D795:F795)</f>
        <v>0</v>
      </c>
      <c r="H795" s="15"/>
      <c r="I795" s="14"/>
      <c r="J795" s="14"/>
      <c r="K795" s="14"/>
      <c r="L795" s="14">
        <f>SUM(I795:K795)</f>
        <v>0</v>
      </c>
      <c r="M795" s="62">
        <f>(L795-G795)</f>
        <v>0</v>
      </c>
      <c r="N795" s="14"/>
      <c r="O795" s="38"/>
      <c r="P795" s="15"/>
      <c r="Q795" s="241">
        <v>500</v>
      </c>
      <c r="R795" s="38"/>
      <c r="S795" s="38"/>
      <c r="T795" s="38"/>
      <c r="U795" s="38"/>
      <c r="V795" s="38"/>
      <c r="W795" s="38"/>
      <c r="X795" s="167"/>
      <c r="Y795" s="280" t="s">
        <v>908</v>
      </c>
      <c r="Z795" s="16"/>
      <c r="AA795" s="16"/>
      <c r="AB795" s="16"/>
      <c r="AC795" s="16"/>
      <c r="AD795" s="16"/>
      <c r="AE795" s="16"/>
    </row>
    <row r="796" spans="1:31" ht="15.75" customHeight="1" x14ac:dyDescent="0.25">
      <c r="A796" s="109"/>
      <c r="B796" s="3"/>
      <c r="C796" s="13" t="s">
        <v>909</v>
      </c>
      <c r="D796" s="14"/>
      <c r="E796" s="14"/>
      <c r="F796" s="14"/>
      <c r="G796" s="61">
        <f>SUM(D796:F796)</f>
        <v>0</v>
      </c>
      <c r="H796" s="15"/>
      <c r="I796" s="14"/>
      <c r="J796" s="14"/>
      <c r="K796" s="14"/>
      <c r="L796" s="14">
        <f>SUM(I796:K796)</f>
        <v>0</v>
      </c>
      <c r="M796" s="62">
        <f>(L796-G796)</f>
        <v>0</v>
      </c>
      <c r="N796" s="14"/>
      <c r="O796" s="38"/>
      <c r="P796" s="15">
        <v>150</v>
      </c>
      <c r="Q796" s="241"/>
      <c r="R796" s="38"/>
      <c r="S796" s="38"/>
      <c r="T796" s="38"/>
      <c r="U796" s="38"/>
      <c r="V796" s="38"/>
      <c r="W796" s="38"/>
      <c r="X796" s="167"/>
      <c r="Y796" s="280" t="s">
        <v>910</v>
      </c>
      <c r="Z796" s="16"/>
      <c r="AA796" s="16"/>
      <c r="AB796" s="16"/>
      <c r="AC796" s="16"/>
      <c r="AD796" s="16"/>
      <c r="AE796" s="16"/>
    </row>
    <row r="797" spans="1:31" ht="15.75" customHeight="1" x14ac:dyDescent="0.25">
      <c r="A797" s="109"/>
      <c r="B797" s="3"/>
      <c r="C797" s="13" t="s">
        <v>911</v>
      </c>
      <c r="D797" s="14"/>
      <c r="E797" s="14"/>
      <c r="F797" s="14"/>
      <c r="G797" s="61">
        <f>SUM(D797:F797)</f>
        <v>0</v>
      </c>
      <c r="H797" s="15"/>
      <c r="I797" s="14"/>
      <c r="J797" s="14"/>
      <c r="K797" s="14"/>
      <c r="L797" s="14">
        <f>SUM(I797:K797)</f>
        <v>0</v>
      </c>
      <c r="M797" s="62">
        <f>(L797-G797)</f>
        <v>0</v>
      </c>
      <c r="N797" s="14"/>
      <c r="O797" s="38"/>
      <c r="P797" s="15">
        <v>150</v>
      </c>
      <c r="Q797" s="241"/>
      <c r="R797" s="38"/>
      <c r="S797" s="38"/>
      <c r="T797" s="38"/>
      <c r="U797" s="38"/>
      <c r="V797" s="38"/>
      <c r="W797" s="38"/>
      <c r="X797" s="167"/>
      <c r="Y797" s="280" t="s">
        <v>910</v>
      </c>
      <c r="Z797" s="16"/>
      <c r="AA797" s="16"/>
      <c r="AB797" s="16"/>
      <c r="AC797" s="16"/>
      <c r="AD797" s="16"/>
      <c r="AE797" s="16"/>
    </row>
    <row r="798" spans="1:31" ht="15.75" customHeight="1" x14ac:dyDescent="0.25">
      <c r="A798" s="109"/>
      <c r="B798" s="3"/>
      <c r="C798" s="13" t="s">
        <v>912</v>
      </c>
      <c r="D798" s="14"/>
      <c r="E798" s="14"/>
      <c r="F798" s="14"/>
      <c r="G798" s="61">
        <f>SUM(D798:F798)</f>
        <v>0</v>
      </c>
      <c r="H798" s="15"/>
      <c r="I798" s="14"/>
      <c r="J798" s="14"/>
      <c r="K798" s="14"/>
      <c r="L798" s="14">
        <f>SUM(I798:K798)</f>
        <v>0</v>
      </c>
      <c r="M798" s="62">
        <f>(L798-G798)</f>
        <v>0</v>
      </c>
      <c r="N798" s="14"/>
      <c r="O798" s="38"/>
      <c r="P798" s="15">
        <v>150</v>
      </c>
      <c r="Q798" s="241"/>
      <c r="R798" s="38"/>
      <c r="S798" s="38"/>
      <c r="T798" s="38"/>
      <c r="U798" s="38"/>
      <c r="V798" s="38"/>
      <c r="W798" s="38"/>
      <c r="X798" s="167"/>
      <c r="Y798" s="280"/>
      <c r="Z798" s="16"/>
      <c r="AA798" s="16"/>
      <c r="AB798" s="16"/>
      <c r="AC798" s="16"/>
      <c r="AD798" s="16"/>
      <c r="AE798" s="16"/>
    </row>
    <row r="799" spans="1:31" ht="15.75" customHeight="1" x14ac:dyDescent="0.25">
      <c r="A799" s="109"/>
      <c r="B799" s="3"/>
      <c r="C799" s="13" t="s">
        <v>913</v>
      </c>
      <c r="D799" s="14"/>
      <c r="E799" s="14"/>
      <c r="F799" s="14"/>
      <c r="G799" s="61">
        <f>SUM(D799:F799)</f>
        <v>0</v>
      </c>
      <c r="H799" s="15"/>
      <c r="I799" s="14"/>
      <c r="J799" s="14"/>
      <c r="K799" s="14"/>
      <c r="L799" s="14">
        <f>SUM(I799:K799)</f>
        <v>0</v>
      </c>
      <c r="M799" s="62">
        <f>(L799-G799)</f>
        <v>0</v>
      </c>
      <c r="N799" s="14"/>
      <c r="O799" s="38"/>
      <c r="P799" s="15">
        <v>1230</v>
      </c>
      <c r="Q799" s="241"/>
      <c r="R799" s="38"/>
      <c r="S799" s="38"/>
      <c r="T799" s="38"/>
      <c r="U799" s="38"/>
      <c r="V799" s="38"/>
      <c r="W799" s="38"/>
      <c r="X799" s="167"/>
      <c r="Y799" s="280"/>
      <c r="Z799" s="16"/>
      <c r="AA799" s="16"/>
      <c r="AB799" s="16"/>
      <c r="AC799" s="16"/>
      <c r="AD799" s="16"/>
      <c r="AE799" s="16"/>
    </row>
    <row r="800" spans="1:31" ht="15.75" customHeight="1" x14ac:dyDescent="0.25">
      <c r="A800" s="16"/>
      <c r="B800" s="16"/>
      <c r="C800" s="40" t="s">
        <v>188</v>
      </c>
      <c r="D800" s="96">
        <f>SUM(D785:D794)</f>
        <v>142853</v>
      </c>
      <c r="E800" s="96">
        <f>SUM(E785:E794)</f>
        <v>25218</v>
      </c>
      <c r="F800" s="96">
        <f>SUM(F785:F794)</f>
        <v>0</v>
      </c>
      <c r="G800" s="27">
        <f t="shared" ref="G800:G806" si="353">SUM(D800:F800)</f>
        <v>168071</v>
      </c>
      <c r="H800" s="96">
        <f>SUM(H785:H799)</f>
        <v>8316</v>
      </c>
      <c r="I800" s="96">
        <f>SUM(I785:I799)</f>
        <v>184354</v>
      </c>
      <c r="J800" s="96">
        <f>SUM(J785:J799)</f>
        <v>30221</v>
      </c>
      <c r="K800" s="96">
        <f>SUM(K785:K799)</f>
        <v>0</v>
      </c>
      <c r="L800" s="89">
        <f t="shared" ref="L800:L806" si="354">SUM(I800:K800)</f>
        <v>214575</v>
      </c>
      <c r="M800" s="28">
        <f t="shared" ref="M800:M806" si="355">(L800-G800)</f>
        <v>46504</v>
      </c>
      <c r="N800" s="96">
        <f t="shared" ref="N800:X800" si="356">SUM(N785:N799)</f>
        <v>18752</v>
      </c>
      <c r="O800" s="96">
        <f t="shared" si="356"/>
        <v>4534</v>
      </c>
      <c r="P800" s="96">
        <f t="shared" si="356"/>
        <v>1680</v>
      </c>
      <c r="Q800" s="260">
        <f t="shared" si="356"/>
        <v>1500</v>
      </c>
      <c r="R800" s="96">
        <f t="shared" si="356"/>
        <v>0</v>
      </c>
      <c r="S800" s="96">
        <f t="shared" si="356"/>
        <v>0</v>
      </c>
      <c r="T800" s="96">
        <f t="shared" si="356"/>
        <v>8910</v>
      </c>
      <c r="U800" s="96">
        <f t="shared" si="356"/>
        <v>0</v>
      </c>
      <c r="V800" s="96">
        <f t="shared" si="356"/>
        <v>0</v>
      </c>
      <c r="W800" s="96">
        <f t="shared" si="356"/>
        <v>0</v>
      </c>
      <c r="X800" s="96">
        <f t="shared" si="356"/>
        <v>0</v>
      </c>
      <c r="Y800" s="280"/>
      <c r="Z800" s="16"/>
      <c r="AA800" s="16"/>
      <c r="AB800" s="16"/>
      <c r="AC800" s="16"/>
      <c r="AD800" s="16"/>
      <c r="AE800" s="16"/>
    </row>
    <row r="801" spans="1:31" ht="15.75" customHeight="1" x14ac:dyDescent="0.25">
      <c r="A801" s="6" t="s">
        <v>68</v>
      </c>
      <c r="B801" s="32" t="s">
        <v>77</v>
      </c>
      <c r="C801" s="32" t="s">
        <v>77</v>
      </c>
      <c r="D801" s="74">
        <v>78696</v>
      </c>
      <c r="E801" s="74">
        <v>15223</v>
      </c>
      <c r="F801" s="74"/>
      <c r="G801" s="61">
        <f t="shared" si="353"/>
        <v>93919</v>
      </c>
      <c r="H801" s="15">
        <v>-11831</v>
      </c>
      <c r="I801" s="74">
        <v>68291</v>
      </c>
      <c r="J801" s="74">
        <v>18821</v>
      </c>
      <c r="K801" s="74"/>
      <c r="L801" s="14">
        <f t="shared" si="354"/>
        <v>87112</v>
      </c>
      <c r="M801" s="62">
        <f t="shared" si="355"/>
        <v>-6807</v>
      </c>
      <c r="N801" s="74"/>
      <c r="O801" s="102"/>
      <c r="P801" s="90"/>
      <c r="Q801" s="247"/>
      <c r="R801" s="102"/>
      <c r="S801" s="102"/>
      <c r="T801" s="102"/>
      <c r="U801" s="102"/>
      <c r="V801" s="102"/>
      <c r="W801" s="102"/>
      <c r="X801" s="179"/>
      <c r="Y801" s="279"/>
      <c r="Z801" s="3"/>
      <c r="AA801" s="3"/>
      <c r="AB801" s="3"/>
      <c r="AC801" s="3"/>
      <c r="AD801" s="3"/>
      <c r="AE801" s="3"/>
    </row>
    <row r="802" spans="1:31" ht="15.75" customHeight="1" x14ac:dyDescent="0.25">
      <c r="A802" s="6" t="s">
        <v>68</v>
      </c>
      <c r="B802" s="32" t="s">
        <v>77</v>
      </c>
      <c r="C802" s="13" t="s">
        <v>414</v>
      </c>
      <c r="D802" s="14"/>
      <c r="E802" s="14">
        <v>4134</v>
      </c>
      <c r="F802" s="14"/>
      <c r="G802" s="61">
        <f t="shared" si="353"/>
        <v>4134</v>
      </c>
      <c r="H802" s="15"/>
      <c r="I802" s="14"/>
      <c r="J802" s="14">
        <v>1951</v>
      </c>
      <c r="K802" s="14"/>
      <c r="L802" s="14">
        <f t="shared" si="354"/>
        <v>1951</v>
      </c>
      <c r="M802" s="62">
        <f t="shared" si="355"/>
        <v>-2183</v>
      </c>
      <c r="N802" s="14"/>
      <c r="O802" s="38"/>
      <c r="P802" s="15"/>
      <c r="Q802" s="241"/>
      <c r="R802" s="38"/>
      <c r="S802" s="38"/>
      <c r="T802" s="38"/>
      <c r="U802" s="38"/>
      <c r="V802" s="38"/>
      <c r="W802" s="38"/>
      <c r="X802" s="167"/>
      <c r="Y802" s="279"/>
      <c r="Z802" s="3"/>
      <c r="AA802" s="3"/>
      <c r="AB802" s="3"/>
      <c r="AC802" s="3"/>
      <c r="AD802" s="3"/>
      <c r="AE802" s="3"/>
    </row>
    <row r="803" spans="1:31" ht="15.75" customHeight="1" x14ac:dyDescent="0.25">
      <c r="A803" s="6" t="s">
        <v>68</v>
      </c>
      <c r="B803" s="32" t="s">
        <v>77</v>
      </c>
      <c r="C803" s="13" t="s">
        <v>400</v>
      </c>
      <c r="D803" s="14">
        <v>42093</v>
      </c>
      <c r="E803" s="14"/>
      <c r="F803" s="14"/>
      <c r="G803" s="61">
        <f t="shared" si="353"/>
        <v>42093</v>
      </c>
      <c r="H803" s="15"/>
      <c r="I803" s="14">
        <v>30546</v>
      </c>
      <c r="J803" s="14"/>
      <c r="K803" s="14"/>
      <c r="L803" s="14">
        <f t="shared" si="354"/>
        <v>30546</v>
      </c>
      <c r="M803" s="62">
        <f t="shared" si="355"/>
        <v>-11547</v>
      </c>
      <c r="N803" s="14"/>
      <c r="O803" s="38"/>
      <c r="P803" s="15"/>
      <c r="Q803" s="241"/>
      <c r="R803" s="38"/>
      <c r="S803" s="38"/>
      <c r="T803" s="38"/>
      <c r="U803" s="38"/>
      <c r="V803" s="38"/>
      <c r="W803" s="38"/>
      <c r="X803" s="167"/>
      <c r="Y803" s="279"/>
      <c r="Z803" s="3"/>
      <c r="AA803" s="3"/>
      <c r="AB803" s="3"/>
      <c r="AC803" s="3"/>
      <c r="AD803" s="3"/>
      <c r="AE803" s="3"/>
    </row>
    <row r="804" spans="1:31" ht="15.75" customHeight="1" x14ac:dyDescent="0.25">
      <c r="A804" s="6" t="s">
        <v>68</v>
      </c>
      <c r="B804" s="32" t="s">
        <v>77</v>
      </c>
      <c r="C804" s="13" t="s">
        <v>401</v>
      </c>
      <c r="D804" s="14"/>
      <c r="E804" s="15"/>
      <c r="F804" s="15"/>
      <c r="G804" s="61">
        <f t="shared" si="353"/>
        <v>0</v>
      </c>
      <c r="H804" s="15"/>
      <c r="I804" s="14"/>
      <c r="J804" s="14"/>
      <c r="K804" s="15"/>
      <c r="L804" s="14">
        <f t="shared" si="354"/>
        <v>0</v>
      </c>
      <c r="M804" s="62">
        <f t="shared" si="355"/>
        <v>0</v>
      </c>
      <c r="N804" s="14">
        <v>1408</v>
      </c>
      <c r="O804" s="38"/>
      <c r="P804" s="15"/>
      <c r="Q804" s="241"/>
      <c r="R804" s="38"/>
      <c r="S804" s="38"/>
      <c r="T804" s="38"/>
      <c r="U804" s="38"/>
      <c r="V804" s="38"/>
      <c r="W804" s="38"/>
      <c r="X804" s="167"/>
      <c r="Y804" s="279"/>
      <c r="Z804" s="3"/>
      <c r="AA804" s="3"/>
      <c r="AB804" s="3"/>
      <c r="AC804" s="3"/>
      <c r="AD804" s="3"/>
      <c r="AE804" s="3"/>
    </row>
    <row r="805" spans="1:31" ht="15.75" customHeight="1" x14ac:dyDescent="0.25">
      <c r="A805" s="6" t="s">
        <v>68</v>
      </c>
      <c r="B805" s="32" t="s">
        <v>77</v>
      </c>
      <c r="C805" s="13" t="s">
        <v>859</v>
      </c>
      <c r="D805" s="14"/>
      <c r="E805" s="15"/>
      <c r="F805" s="15"/>
      <c r="G805" s="61">
        <f t="shared" si="353"/>
        <v>0</v>
      </c>
      <c r="H805" s="15"/>
      <c r="I805" s="30"/>
      <c r="J805" s="14"/>
      <c r="K805" s="15"/>
      <c r="L805" s="14">
        <f t="shared" si="354"/>
        <v>0</v>
      </c>
      <c r="M805" s="62">
        <f t="shared" si="355"/>
        <v>0</v>
      </c>
      <c r="N805" s="15"/>
      <c r="O805" s="38"/>
      <c r="P805" s="15"/>
      <c r="Q805" s="241"/>
      <c r="R805" s="38"/>
      <c r="S805" s="38"/>
      <c r="T805" s="38"/>
      <c r="U805" s="38"/>
      <c r="V805" s="38"/>
      <c r="W805" s="38"/>
      <c r="X805" s="167"/>
    </row>
    <row r="806" spans="1:31" ht="15.75" customHeight="1" x14ac:dyDescent="0.25">
      <c r="A806" s="6" t="s">
        <v>68</v>
      </c>
      <c r="B806" s="32" t="s">
        <v>77</v>
      </c>
      <c r="C806" s="17" t="s">
        <v>914</v>
      </c>
      <c r="D806" s="18"/>
      <c r="E806" s="19"/>
      <c r="F806" s="19"/>
      <c r="G806" s="61">
        <f t="shared" si="353"/>
        <v>0</v>
      </c>
      <c r="H806" s="15"/>
      <c r="I806" s="20"/>
      <c r="J806" s="18"/>
      <c r="K806" s="19"/>
      <c r="L806" s="14">
        <f t="shared" si="354"/>
        <v>0</v>
      </c>
      <c r="M806" s="62">
        <f t="shared" si="355"/>
        <v>0</v>
      </c>
      <c r="N806" s="19"/>
      <c r="O806" s="168"/>
      <c r="P806" s="275">
        <v>2000</v>
      </c>
      <c r="Q806" s="242"/>
      <c r="R806" s="168"/>
      <c r="S806" s="168"/>
      <c r="T806" s="168"/>
      <c r="U806" s="168"/>
      <c r="V806" s="168"/>
      <c r="W806" s="168"/>
      <c r="X806" s="169"/>
      <c r="Y806" s="280" t="s">
        <v>915</v>
      </c>
      <c r="Z806" s="16"/>
      <c r="AA806" s="16"/>
      <c r="AB806" s="16"/>
      <c r="AC806" s="16"/>
      <c r="AD806" s="16"/>
      <c r="AE806" s="16"/>
    </row>
    <row r="807" spans="1:31" ht="15.75" customHeight="1" x14ac:dyDescent="0.25">
      <c r="A807" s="6" t="s">
        <v>68</v>
      </c>
      <c r="B807" s="32" t="s">
        <v>77</v>
      </c>
      <c r="C807" s="17"/>
      <c r="D807" s="19"/>
      <c r="E807" s="19"/>
      <c r="F807" s="19"/>
      <c r="G807" s="61">
        <f t="shared" ref="G807" si="357">SUM(D807:F807)</f>
        <v>0</v>
      </c>
      <c r="H807" s="15"/>
      <c r="I807" s="19"/>
      <c r="J807" s="19"/>
      <c r="K807" s="19"/>
      <c r="L807" s="14">
        <f t="shared" ref="L807" si="358">SUM(I807:K807)</f>
        <v>0</v>
      </c>
      <c r="M807" s="62">
        <f t="shared" ref="M807" si="359">L807-G807</f>
        <v>0</v>
      </c>
      <c r="N807" s="19"/>
      <c r="O807" s="168"/>
      <c r="P807" s="19"/>
      <c r="Q807" s="242"/>
      <c r="R807" s="168"/>
      <c r="S807" s="168"/>
      <c r="T807" s="168"/>
      <c r="U807" s="168"/>
      <c r="V807" s="168"/>
      <c r="W807" s="168"/>
      <c r="X807" s="169"/>
      <c r="Y807" s="280"/>
      <c r="Z807" s="16"/>
      <c r="AA807" s="16"/>
      <c r="AB807" s="16"/>
      <c r="AC807" s="16"/>
      <c r="AD807" s="16"/>
      <c r="AE807" s="16"/>
    </row>
    <row r="808" spans="1:31" ht="15.75" customHeight="1" x14ac:dyDescent="0.25">
      <c r="A808" s="16"/>
      <c r="B808" s="16"/>
      <c r="C808" s="40" t="s">
        <v>188</v>
      </c>
      <c r="D808" s="96">
        <f>SUM(D801:D807)</f>
        <v>120789</v>
      </c>
      <c r="E808" s="96">
        <f>SUM(E801:E807)</f>
        <v>19357</v>
      </c>
      <c r="F808" s="96">
        <f>SUM(F801:F807)</f>
        <v>0</v>
      </c>
      <c r="G808" s="27">
        <f t="shared" ref="G808:G816" si="360">SUM(D808:F808)</f>
        <v>140146</v>
      </c>
      <c r="H808" s="96">
        <f>SUM(H801:H807)</f>
        <v>-11831</v>
      </c>
      <c r="I808" s="96">
        <f>SUM(I801:I807)</f>
        <v>98837</v>
      </c>
      <c r="J808" s="96">
        <f>SUM(J801:J807)</f>
        <v>20772</v>
      </c>
      <c r="K808" s="96">
        <f>SUM(K801:K807)</f>
        <v>0</v>
      </c>
      <c r="L808" s="89">
        <f t="shared" ref="L808:L816" si="361">SUM(I808:K808)</f>
        <v>119609</v>
      </c>
      <c r="M808" s="28">
        <f t="shared" ref="M808:M816" si="362">(L808-G808)</f>
        <v>-20537</v>
      </c>
      <c r="N808" s="96">
        <f t="shared" ref="N808:X808" si="363">SUM(N801:N807)</f>
        <v>1408</v>
      </c>
      <c r="O808" s="187">
        <f t="shared" si="363"/>
        <v>0</v>
      </c>
      <c r="P808" s="212">
        <f t="shared" si="363"/>
        <v>2000</v>
      </c>
      <c r="Q808" s="260">
        <f>SUM(Q801:Q807)</f>
        <v>0</v>
      </c>
      <c r="R808" s="187">
        <f t="shared" si="363"/>
        <v>0</v>
      </c>
      <c r="S808" s="187">
        <f t="shared" si="363"/>
        <v>0</v>
      </c>
      <c r="T808" s="187">
        <f t="shared" si="363"/>
        <v>0</v>
      </c>
      <c r="U808" s="187">
        <f t="shared" si="363"/>
        <v>0</v>
      </c>
      <c r="V808" s="187">
        <f t="shared" si="363"/>
        <v>0</v>
      </c>
      <c r="W808" s="187">
        <f t="shared" si="363"/>
        <v>0</v>
      </c>
      <c r="X808" s="187">
        <f t="shared" si="363"/>
        <v>0</v>
      </c>
      <c r="Y808" s="280"/>
      <c r="Z808" s="16"/>
      <c r="AA808" s="16"/>
      <c r="AB808" s="16"/>
      <c r="AC808" s="16"/>
      <c r="AD808" s="16"/>
      <c r="AE808" s="16"/>
    </row>
    <row r="809" spans="1:31" ht="15.75" customHeight="1" x14ac:dyDescent="0.25">
      <c r="A809" s="6" t="s">
        <v>68</v>
      </c>
      <c r="B809" s="32" t="s">
        <v>73</v>
      </c>
      <c r="C809" s="32" t="s">
        <v>73</v>
      </c>
      <c r="D809" s="102">
        <v>76501</v>
      </c>
      <c r="E809" s="102">
        <v>21241</v>
      </c>
      <c r="F809" s="74"/>
      <c r="G809" s="61">
        <f t="shared" si="360"/>
        <v>97742</v>
      </c>
      <c r="H809" s="15">
        <v>34137</v>
      </c>
      <c r="I809" s="74">
        <v>84839</v>
      </c>
      <c r="J809" s="74">
        <v>30483</v>
      </c>
      <c r="K809" s="74"/>
      <c r="L809" s="14">
        <f t="shared" si="361"/>
        <v>115322</v>
      </c>
      <c r="M809" s="62">
        <f t="shared" si="362"/>
        <v>17580</v>
      </c>
      <c r="N809" s="74"/>
      <c r="O809" s="102"/>
      <c r="P809" s="90"/>
      <c r="Q809" s="247"/>
      <c r="R809" s="102"/>
      <c r="S809" s="102"/>
      <c r="T809" s="102"/>
      <c r="U809" s="102"/>
      <c r="V809" s="102"/>
      <c r="W809" s="102"/>
      <c r="X809" s="179"/>
      <c r="Y809" s="279"/>
      <c r="Z809" s="3"/>
      <c r="AA809" s="3"/>
      <c r="AB809" s="3"/>
      <c r="AC809" s="3"/>
      <c r="AD809" s="3"/>
      <c r="AE809" s="3"/>
    </row>
    <row r="810" spans="1:31" ht="15.75" customHeight="1" x14ac:dyDescent="0.25">
      <c r="A810" s="6" t="s">
        <v>68</v>
      </c>
      <c r="B810" s="32" t="s">
        <v>73</v>
      </c>
      <c r="C810" s="13" t="s">
        <v>414</v>
      </c>
      <c r="D810" s="38"/>
      <c r="E810" s="38">
        <v>11813</v>
      </c>
      <c r="F810" s="14"/>
      <c r="G810" s="61">
        <f t="shared" si="360"/>
        <v>11813</v>
      </c>
      <c r="H810" s="15"/>
      <c r="I810" s="14"/>
      <c r="J810" s="14">
        <v>18424</v>
      </c>
      <c r="K810" s="14"/>
      <c r="L810" s="14">
        <f t="shared" si="361"/>
        <v>18424</v>
      </c>
      <c r="M810" s="62">
        <f t="shared" si="362"/>
        <v>6611</v>
      </c>
      <c r="N810" s="14"/>
      <c r="O810" s="38"/>
      <c r="P810" s="15"/>
      <c r="Q810" s="241"/>
      <c r="R810" s="38"/>
      <c r="S810" s="38"/>
      <c r="T810" s="38"/>
      <c r="U810" s="38"/>
      <c r="V810" s="38"/>
      <c r="W810" s="38"/>
      <c r="X810" s="167"/>
      <c r="Y810" s="279"/>
      <c r="Z810" s="3"/>
      <c r="AA810" s="3"/>
      <c r="AB810" s="3"/>
      <c r="AC810" s="3"/>
      <c r="AD810" s="3"/>
      <c r="AE810" s="3"/>
    </row>
    <row r="811" spans="1:31" ht="15.75" customHeight="1" x14ac:dyDescent="0.25">
      <c r="A811" s="6" t="s">
        <v>68</v>
      </c>
      <c r="B811" s="32" t="s">
        <v>73</v>
      </c>
      <c r="C811" s="13" t="s">
        <v>400</v>
      </c>
      <c r="D811" s="38">
        <v>85088</v>
      </c>
      <c r="E811" s="38"/>
      <c r="F811" s="14"/>
      <c r="G811" s="61">
        <f t="shared" si="360"/>
        <v>85088</v>
      </c>
      <c r="H811" s="15"/>
      <c r="I811" s="14">
        <v>89249</v>
      </c>
      <c r="J811" s="14"/>
      <c r="K811" s="14"/>
      <c r="L811" s="14">
        <f t="shared" si="361"/>
        <v>89249</v>
      </c>
      <c r="M811" s="62">
        <f t="shared" si="362"/>
        <v>4161</v>
      </c>
      <c r="N811" s="14"/>
      <c r="O811" s="38"/>
      <c r="P811" s="15"/>
      <c r="Q811" s="241"/>
      <c r="R811" s="38"/>
      <c r="S811" s="38"/>
      <c r="T811" s="38"/>
      <c r="U811" s="38"/>
      <c r="V811" s="38"/>
      <c r="W811" s="38"/>
      <c r="X811" s="167"/>
      <c r="Y811" s="279"/>
      <c r="Z811" s="3"/>
      <c r="AA811" s="3"/>
      <c r="AB811" s="3"/>
      <c r="AC811" s="3"/>
      <c r="AD811" s="3"/>
      <c r="AE811" s="3"/>
    </row>
    <row r="812" spans="1:31" ht="15.75" customHeight="1" x14ac:dyDescent="0.25">
      <c r="A812" s="6" t="s">
        <v>68</v>
      </c>
      <c r="B812" s="32" t="s">
        <v>73</v>
      </c>
      <c r="C812" s="13" t="s">
        <v>401</v>
      </c>
      <c r="D812" s="38"/>
      <c r="E812" s="38"/>
      <c r="F812" s="15"/>
      <c r="G812" s="61">
        <f t="shared" si="360"/>
        <v>0</v>
      </c>
      <c r="H812" s="15"/>
      <c r="I812" s="30"/>
      <c r="J812" s="14"/>
      <c r="K812" s="15"/>
      <c r="L812" s="14">
        <f t="shared" si="361"/>
        <v>0</v>
      </c>
      <c r="M812" s="62">
        <f t="shared" si="362"/>
        <v>0</v>
      </c>
      <c r="N812" s="14">
        <v>36884</v>
      </c>
      <c r="O812" s="38"/>
      <c r="P812" s="15"/>
      <c r="Q812" s="241"/>
      <c r="R812" s="38"/>
      <c r="S812" s="38"/>
      <c r="T812" s="38"/>
      <c r="U812" s="38"/>
      <c r="V812" s="38"/>
      <c r="W812" s="38"/>
      <c r="X812" s="167"/>
      <c r="Y812" s="279"/>
      <c r="Z812" s="3"/>
      <c r="AA812" s="3"/>
      <c r="AB812" s="3"/>
      <c r="AC812" s="3"/>
      <c r="AD812" s="3"/>
      <c r="AE812" s="3"/>
    </row>
    <row r="813" spans="1:31" ht="15.75" customHeight="1" x14ac:dyDescent="0.25">
      <c r="A813" s="6" t="s">
        <v>68</v>
      </c>
      <c r="B813" s="32" t="s">
        <v>73</v>
      </c>
      <c r="C813" s="13" t="s">
        <v>402</v>
      </c>
      <c r="D813" s="38"/>
      <c r="E813" s="38"/>
      <c r="F813" s="15"/>
      <c r="G813" s="61">
        <f t="shared" si="360"/>
        <v>0</v>
      </c>
      <c r="H813" s="15"/>
      <c r="I813" s="30"/>
      <c r="J813" s="14"/>
      <c r="K813" s="15"/>
      <c r="L813" s="14">
        <f t="shared" si="361"/>
        <v>0</v>
      </c>
      <c r="M813" s="62">
        <f t="shared" si="362"/>
        <v>0</v>
      </c>
      <c r="N813" s="14"/>
      <c r="O813" s="38"/>
      <c r="P813" s="15"/>
      <c r="Q813" s="241"/>
      <c r="R813" s="38"/>
      <c r="S813" s="38"/>
      <c r="T813" s="38"/>
      <c r="U813" s="38"/>
      <c r="V813" s="38"/>
      <c r="W813" s="38"/>
      <c r="X813" s="167"/>
      <c r="Y813" s="279"/>
      <c r="Z813" s="3"/>
      <c r="AA813" s="3"/>
      <c r="AB813" s="3"/>
      <c r="AC813" s="3"/>
      <c r="AD813" s="3"/>
      <c r="AE813" s="3"/>
    </row>
    <row r="814" spans="1:31" ht="15.75" customHeight="1" x14ac:dyDescent="0.25">
      <c r="A814" s="6" t="s">
        <v>68</v>
      </c>
      <c r="B814" s="32" t="s">
        <v>73</v>
      </c>
      <c r="C814" s="13" t="s">
        <v>859</v>
      </c>
      <c r="D814" s="38"/>
      <c r="E814" s="38"/>
      <c r="F814" s="15"/>
      <c r="G814" s="61">
        <f t="shared" si="360"/>
        <v>0</v>
      </c>
      <c r="H814" s="15"/>
      <c r="I814" s="30"/>
      <c r="J814" s="14"/>
      <c r="K814" s="15"/>
      <c r="L814" s="14">
        <f t="shared" si="361"/>
        <v>0</v>
      </c>
      <c r="M814" s="62">
        <f t="shared" si="362"/>
        <v>0</v>
      </c>
      <c r="N814" s="14"/>
      <c r="O814" s="38"/>
      <c r="P814" s="15"/>
      <c r="Q814" s="241"/>
      <c r="R814" s="38"/>
      <c r="S814" s="38"/>
      <c r="T814" s="38"/>
      <c r="U814" s="38"/>
      <c r="V814" s="38"/>
      <c r="W814" s="38"/>
      <c r="X814" s="167"/>
    </row>
    <row r="815" spans="1:31" ht="15.75" customHeight="1" x14ac:dyDescent="0.25">
      <c r="A815" s="6" t="s">
        <v>68</v>
      </c>
      <c r="B815" s="32" t="s">
        <v>73</v>
      </c>
      <c r="C815" s="13" t="s">
        <v>916</v>
      </c>
      <c r="D815" s="38"/>
      <c r="E815" s="38">
        <v>3378</v>
      </c>
      <c r="F815" s="15"/>
      <c r="G815" s="61">
        <f t="shared" si="360"/>
        <v>3378</v>
      </c>
      <c r="H815" s="15"/>
      <c r="I815" s="30"/>
      <c r="J815" s="14"/>
      <c r="K815" s="15"/>
      <c r="L815" s="14">
        <f t="shared" si="361"/>
        <v>0</v>
      </c>
      <c r="M815" s="62">
        <f t="shared" si="362"/>
        <v>-3378</v>
      </c>
      <c r="N815" s="15"/>
      <c r="O815" s="38"/>
      <c r="P815" s="15"/>
      <c r="Q815" s="241"/>
      <c r="R815" s="38"/>
      <c r="S815" s="38"/>
      <c r="T815" s="38"/>
      <c r="U815" s="38"/>
      <c r="V815" s="38"/>
      <c r="W815" s="38"/>
      <c r="X815" s="167"/>
    </row>
    <row r="816" spans="1:31" ht="15.75" customHeight="1" x14ac:dyDescent="0.25">
      <c r="A816" s="6" t="s">
        <v>68</v>
      </c>
      <c r="B816" s="32" t="s">
        <v>73</v>
      </c>
      <c r="C816" s="17" t="s">
        <v>917</v>
      </c>
      <c r="D816" s="15"/>
      <c r="E816" s="15"/>
      <c r="F816" s="15"/>
      <c r="G816" s="61">
        <f t="shared" si="360"/>
        <v>0</v>
      </c>
      <c r="H816" s="15"/>
      <c r="I816" s="30"/>
      <c r="J816" s="14"/>
      <c r="K816" s="15"/>
      <c r="L816" s="14">
        <f t="shared" si="361"/>
        <v>0</v>
      </c>
      <c r="M816" s="62">
        <f t="shared" si="362"/>
        <v>0</v>
      </c>
      <c r="N816" s="15"/>
      <c r="O816" s="38">
        <v>2000</v>
      </c>
      <c r="P816" s="15"/>
      <c r="Q816" s="241"/>
      <c r="R816" s="38"/>
      <c r="S816" s="38"/>
      <c r="T816" s="38"/>
      <c r="U816" s="38"/>
      <c r="V816" s="38"/>
      <c r="W816" s="38"/>
      <c r="X816" s="167"/>
    </row>
    <row r="817" spans="1:31" ht="15.75" customHeight="1" x14ac:dyDescent="0.25">
      <c r="A817" s="6" t="s">
        <v>68</v>
      </c>
      <c r="B817" s="32" t="s">
        <v>73</v>
      </c>
      <c r="C817" s="17" t="s">
        <v>918</v>
      </c>
      <c r="D817" s="15"/>
      <c r="E817" s="15"/>
      <c r="F817" s="15"/>
      <c r="G817" s="61">
        <f t="shared" ref="G817" si="364">SUM(D817:F817)</f>
        <v>0</v>
      </c>
      <c r="H817" s="15"/>
      <c r="I817" s="15"/>
      <c r="J817" s="14"/>
      <c r="K817" s="15"/>
      <c r="L817" s="14">
        <f t="shared" ref="L817" si="365">SUM(I817:K817)</f>
        <v>0</v>
      </c>
      <c r="M817" s="62">
        <f t="shared" ref="M817" si="366">L817-G817</f>
        <v>0</v>
      </c>
      <c r="N817" s="15"/>
      <c r="O817" s="38">
        <v>1000</v>
      </c>
      <c r="P817" s="15"/>
      <c r="Q817" s="241"/>
      <c r="R817" s="38"/>
      <c r="S817" s="38"/>
      <c r="T817" s="38"/>
      <c r="U817" s="38"/>
      <c r="V817" s="38"/>
      <c r="W817" s="38"/>
      <c r="X817" s="167"/>
    </row>
    <row r="818" spans="1:31" ht="15.75" customHeight="1" x14ac:dyDescent="0.25">
      <c r="A818" s="6" t="s">
        <v>68</v>
      </c>
      <c r="B818" s="32" t="s">
        <v>73</v>
      </c>
      <c r="C818" s="17" t="s">
        <v>919</v>
      </c>
      <c r="D818" s="15"/>
      <c r="E818" s="15"/>
      <c r="F818" s="15"/>
      <c r="G818" s="61">
        <f t="shared" ref="G818:G865" si="367">SUM(D818:F818)</f>
        <v>0</v>
      </c>
      <c r="H818" s="15"/>
      <c r="I818" s="15"/>
      <c r="J818" s="14"/>
      <c r="K818" s="15"/>
      <c r="L818" s="14">
        <f t="shared" ref="L818:L866" si="368">SUM(I818:K818)</f>
        <v>0</v>
      </c>
      <c r="M818" s="62">
        <f t="shared" ref="M818:M866" si="369">(L818-G818)</f>
        <v>0</v>
      </c>
      <c r="N818" s="15"/>
      <c r="O818" s="38">
        <v>4369</v>
      </c>
      <c r="P818" s="15"/>
      <c r="Q818" s="241"/>
      <c r="R818" s="38"/>
      <c r="S818" s="38"/>
      <c r="T818" s="38"/>
      <c r="U818" s="38"/>
      <c r="V818" s="38"/>
      <c r="W818" s="38"/>
      <c r="X818" s="167"/>
      <c r="Y818" s="279"/>
    </row>
    <row r="819" spans="1:31" ht="15.75" customHeight="1" x14ac:dyDescent="0.25">
      <c r="A819" s="109"/>
      <c r="B819" s="12"/>
      <c r="C819" s="31" t="s">
        <v>231</v>
      </c>
      <c r="D819" s="14"/>
      <c r="E819" s="14"/>
      <c r="F819" s="14"/>
      <c r="G819" s="61">
        <f>SUM(D819:F819)</f>
        <v>0</v>
      </c>
      <c r="H819" s="15"/>
      <c r="I819" s="14"/>
      <c r="J819" s="14"/>
      <c r="K819" s="14"/>
      <c r="L819" s="14">
        <f>SUM(I819:K819)</f>
        <v>0</v>
      </c>
      <c r="M819" s="62">
        <f>(L819-G819)</f>
        <v>0</v>
      </c>
      <c r="N819" s="14"/>
      <c r="O819" s="38"/>
      <c r="P819" s="15"/>
      <c r="Q819" s="241"/>
      <c r="R819" s="38"/>
      <c r="S819" s="38"/>
      <c r="T819" s="38"/>
      <c r="U819" s="38"/>
      <c r="V819" s="38"/>
      <c r="W819" s="38"/>
      <c r="X819" s="167"/>
      <c r="Y819" s="279"/>
    </row>
    <row r="820" spans="1:31" ht="15.75" customHeight="1" x14ac:dyDescent="0.25">
      <c r="A820" s="109"/>
      <c r="B820" s="12"/>
      <c r="C820" s="13" t="s">
        <v>905</v>
      </c>
      <c r="D820" s="14"/>
      <c r="E820" s="14"/>
      <c r="F820" s="14"/>
      <c r="G820" s="61">
        <f>SUM(D820:F820)</f>
        <v>0</v>
      </c>
      <c r="H820" s="15"/>
      <c r="I820" s="14"/>
      <c r="J820" s="14"/>
      <c r="K820" s="14"/>
      <c r="L820" s="14">
        <f>SUM(I820:K820)</f>
        <v>0</v>
      </c>
      <c r="M820" s="62">
        <f>(L820-G820)</f>
        <v>0</v>
      </c>
      <c r="N820" s="14"/>
      <c r="O820" s="38"/>
      <c r="P820" s="15"/>
      <c r="Q820" s="241">
        <v>1000</v>
      </c>
      <c r="R820" s="38"/>
      <c r="S820" s="38"/>
      <c r="T820" s="38"/>
      <c r="U820" s="38"/>
      <c r="V820" s="38"/>
      <c r="W820" s="38"/>
      <c r="X820" s="167"/>
      <c r="Y820" s="279"/>
    </row>
    <row r="821" spans="1:31" ht="15.75" customHeight="1" x14ac:dyDescent="0.25">
      <c r="A821" s="109"/>
      <c r="B821" s="12"/>
      <c r="C821" s="13" t="s">
        <v>920</v>
      </c>
      <c r="D821" s="14"/>
      <c r="E821" s="14"/>
      <c r="F821" s="14"/>
      <c r="G821" s="61">
        <f>SUM(D821:F821)</f>
        <v>0</v>
      </c>
      <c r="H821" s="15"/>
      <c r="I821" s="14"/>
      <c r="J821" s="14"/>
      <c r="K821" s="14"/>
      <c r="L821" s="14">
        <f>SUM(I821:K821)</f>
        <v>0</v>
      </c>
      <c r="M821" s="62">
        <f>(L821-G821)</f>
        <v>0</v>
      </c>
      <c r="N821" s="14"/>
      <c r="O821" s="38"/>
      <c r="P821" s="15">
        <v>10000</v>
      </c>
      <c r="Q821" s="241"/>
      <c r="R821" s="38"/>
      <c r="S821" s="38"/>
      <c r="T821" s="38"/>
      <c r="U821" s="38"/>
      <c r="V821" s="38"/>
      <c r="W821" s="38"/>
      <c r="X821" s="167"/>
      <c r="Y821" s="279"/>
    </row>
    <row r="822" spans="1:31" ht="15.75" customHeight="1" x14ac:dyDescent="0.25">
      <c r="A822" s="6" t="s">
        <v>68</v>
      </c>
      <c r="B822" s="32" t="s">
        <v>73</v>
      </c>
      <c r="C822" s="17" t="s">
        <v>420</v>
      </c>
      <c r="D822" s="19"/>
      <c r="E822" s="19"/>
      <c r="F822" s="19"/>
      <c r="G822" s="61">
        <f t="shared" si="367"/>
        <v>0</v>
      </c>
      <c r="H822" s="15"/>
      <c r="I822" s="19"/>
      <c r="J822" s="18"/>
      <c r="K822" s="19"/>
      <c r="L822" s="14">
        <f t="shared" si="368"/>
        <v>0</v>
      </c>
      <c r="M822" s="62">
        <f t="shared" si="369"/>
        <v>0</v>
      </c>
      <c r="N822" s="19"/>
      <c r="O822" s="168"/>
      <c r="P822" s="19">
        <v>2300</v>
      </c>
      <c r="Q822" s="242"/>
      <c r="R822" s="168"/>
      <c r="S822" s="168"/>
      <c r="T822" s="168"/>
      <c r="U822" s="168"/>
      <c r="V822" s="168"/>
      <c r="W822" s="168"/>
      <c r="X822" s="169"/>
      <c r="Y822" s="280" t="s">
        <v>921</v>
      </c>
      <c r="Z822" s="16"/>
      <c r="AA822" s="16"/>
      <c r="AB822" s="16"/>
      <c r="AC822" s="16"/>
      <c r="AD822" s="16"/>
      <c r="AE822" s="16"/>
    </row>
    <row r="823" spans="1:31" ht="15.75" customHeight="1" x14ac:dyDescent="0.25">
      <c r="A823" s="6" t="s">
        <v>68</v>
      </c>
      <c r="B823" s="32" t="s">
        <v>73</v>
      </c>
      <c r="C823" s="17" t="s">
        <v>922</v>
      </c>
      <c r="D823" s="19"/>
      <c r="E823" s="19"/>
      <c r="F823" s="19"/>
      <c r="G823" s="61">
        <f t="shared" si="367"/>
        <v>0</v>
      </c>
      <c r="H823" s="15"/>
      <c r="I823" s="19"/>
      <c r="J823" s="18"/>
      <c r="K823" s="19"/>
      <c r="L823" s="14">
        <f t="shared" si="368"/>
        <v>0</v>
      </c>
      <c r="M823" s="62">
        <f t="shared" si="369"/>
        <v>0</v>
      </c>
      <c r="N823" s="19"/>
      <c r="O823" s="168"/>
      <c r="P823" s="19"/>
      <c r="Q823" s="242"/>
      <c r="R823" s="168"/>
      <c r="S823" s="168"/>
      <c r="T823" s="168"/>
      <c r="U823" s="168"/>
      <c r="V823" s="168"/>
      <c r="W823" s="168"/>
      <c r="X823" s="169"/>
      <c r="Y823" s="280" t="s">
        <v>923</v>
      </c>
      <c r="Z823" s="16"/>
      <c r="AA823" s="16"/>
      <c r="AB823" s="16"/>
      <c r="AC823" s="16"/>
      <c r="AD823" s="16"/>
      <c r="AE823" s="16"/>
    </row>
    <row r="824" spans="1:31" ht="15.75" customHeight="1" x14ac:dyDescent="0.25">
      <c r="A824" s="6" t="s">
        <v>68</v>
      </c>
      <c r="B824" s="32" t="s">
        <v>73</v>
      </c>
      <c r="C824" s="17" t="s">
        <v>924</v>
      </c>
      <c r="D824" s="19"/>
      <c r="E824" s="19"/>
      <c r="F824" s="19"/>
      <c r="G824" s="61">
        <f t="shared" si="367"/>
        <v>0</v>
      </c>
      <c r="H824" s="15"/>
      <c r="I824" s="19"/>
      <c r="J824" s="18"/>
      <c r="K824" s="19"/>
      <c r="L824" s="14">
        <f t="shared" si="368"/>
        <v>0</v>
      </c>
      <c r="M824" s="62">
        <f t="shared" si="369"/>
        <v>0</v>
      </c>
      <c r="N824" s="19"/>
      <c r="O824" s="168"/>
      <c r="P824" s="19"/>
      <c r="Q824" s="242"/>
      <c r="R824" s="168"/>
      <c r="S824" s="168"/>
      <c r="T824" s="168"/>
      <c r="U824" s="168"/>
      <c r="V824" s="168"/>
      <c r="W824" s="168"/>
      <c r="X824" s="169"/>
      <c r="Y824" s="280" t="s">
        <v>923</v>
      </c>
      <c r="Z824" s="16"/>
      <c r="AA824" s="16"/>
      <c r="AB824" s="16"/>
      <c r="AC824" s="16"/>
      <c r="AD824" s="16"/>
      <c r="AE824" s="16"/>
    </row>
    <row r="825" spans="1:31" ht="15.75" customHeight="1" x14ac:dyDescent="0.25">
      <c r="A825" s="16"/>
      <c r="B825" s="16"/>
      <c r="C825" s="40" t="s">
        <v>188</v>
      </c>
      <c r="D825" s="96">
        <f>SUM(D809:D824)</f>
        <v>161589</v>
      </c>
      <c r="E825" s="96">
        <f>SUM(E809:E824)</f>
        <v>36432</v>
      </c>
      <c r="F825" s="96">
        <f>SUM(F809:F824)</f>
        <v>0</v>
      </c>
      <c r="G825" s="27">
        <f t="shared" si="367"/>
        <v>198021</v>
      </c>
      <c r="H825" s="96">
        <f>SUM(H809:H824)</f>
        <v>34137</v>
      </c>
      <c r="I825" s="96">
        <f>SUM(I809:I824)</f>
        <v>174088</v>
      </c>
      <c r="J825" s="96">
        <f>SUM(J809:J824)</f>
        <v>48907</v>
      </c>
      <c r="K825" s="96">
        <f>SUM(K809:K824)</f>
        <v>0</v>
      </c>
      <c r="L825" s="89">
        <f t="shared" si="368"/>
        <v>222995</v>
      </c>
      <c r="M825" s="28">
        <f t="shared" si="369"/>
        <v>24974</v>
      </c>
      <c r="N825" s="96">
        <f t="shared" ref="N825:X825" si="370">SUM(N809:N824)</f>
        <v>36884</v>
      </c>
      <c r="O825" s="187">
        <f t="shared" si="370"/>
        <v>7369</v>
      </c>
      <c r="P825" s="212">
        <f t="shared" si="370"/>
        <v>12300</v>
      </c>
      <c r="Q825" s="260">
        <f>SUM(Q809:Q824)</f>
        <v>1000</v>
      </c>
      <c r="R825" s="187">
        <f t="shared" si="370"/>
        <v>0</v>
      </c>
      <c r="S825" s="187">
        <f t="shared" si="370"/>
        <v>0</v>
      </c>
      <c r="T825" s="187">
        <f t="shared" si="370"/>
        <v>0</v>
      </c>
      <c r="U825" s="187">
        <f t="shared" si="370"/>
        <v>0</v>
      </c>
      <c r="V825" s="187">
        <f t="shared" si="370"/>
        <v>0</v>
      </c>
      <c r="W825" s="187">
        <f t="shared" si="370"/>
        <v>0</v>
      </c>
      <c r="X825" s="187">
        <f t="shared" si="370"/>
        <v>0</v>
      </c>
      <c r="Y825" s="280"/>
      <c r="Z825" s="16"/>
      <c r="AA825" s="16"/>
      <c r="AB825" s="16"/>
      <c r="AC825" s="16"/>
      <c r="AD825" s="16"/>
      <c r="AE825" s="16"/>
    </row>
    <row r="826" spans="1:31" ht="15.75" customHeight="1" x14ac:dyDescent="0.25">
      <c r="A826" s="6" t="s">
        <v>68</v>
      </c>
      <c r="B826" s="32" t="s">
        <v>78</v>
      </c>
      <c r="C826" s="32" t="s">
        <v>78</v>
      </c>
      <c r="D826" s="74">
        <v>54404</v>
      </c>
      <c r="E826" s="74">
        <v>9713</v>
      </c>
      <c r="F826" s="74"/>
      <c r="G826" s="61">
        <f t="shared" si="367"/>
        <v>64117</v>
      </c>
      <c r="H826" s="15">
        <v>4259</v>
      </c>
      <c r="I826" s="74">
        <v>61028</v>
      </c>
      <c r="J826" s="74">
        <v>9240</v>
      </c>
      <c r="K826" s="74"/>
      <c r="L826" s="14">
        <f t="shared" si="368"/>
        <v>70268</v>
      </c>
      <c r="M826" s="62">
        <f t="shared" si="369"/>
        <v>6151</v>
      </c>
      <c r="N826" s="74"/>
      <c r="O826" s="102"/>
      <c r="P826" s="90"/>
      <c r="Q826" s="247"/>
      <c r="R826" s="102"/>
      <c r="S826" s="102"/>
      <c r="T826" s="102"/>
      <c r="U826" s="102"/>
      <c r="V826" s="102"/>
      <c r="W826" s="102"/>
      <c r="X826" s="179"/>
      <c r="Y826" s="279"/>
      <c r="Z826" s="3"/>
      <c r="AA826" s="3"/>
      <c r="AB826" s="3"/>
      <c r="AC826" s="3"/>
      <c r="AD826" s="3"/>
      <c r="AE826" s="3"/>
    </row>
    <row r="827" spans="1:31" ht="15.75" customHeight="1" x14ac:dyDescent="0.25">
      <c r="A827" s="6" t="s">
        <v>68</v>
      </c>
      <c r="B827" s="32" t="s">
        <v>78</v>
      </c>
      <c r="C827" s="13" t="s">
        <v>414</v>
      </c>
      <c r="D827" s="14"/>
      <c r="E827" s="14">
        <v>4321</v>
      </c>
      <c r="F827" s="14"/>
      <c r="G827" s="61">
        <f t="shared" si="367"/>
        <v>4321</v>
      </c>
      <c r="H827" s="15"/>
      <c r="I827" s="14"/>
      <c r="J827" s="14">
        <v>4652</v>
      </c>
      <c r="K827" s="14"/>
      <c r="L827" s="14">
        <f t="shared" si="368"/>
        <v>4652</v>
      </c>
      <c r="M827" s="62">
        <f t="shared" si="369"/>
        <v>331</v>
      </c>
      <c r="N827" s="14"/>
      <c r="O827" s="38"/>
      <c r="P827" s="15"/>
      <c r="Q827" s="241"/>
      <c r="R827" s="38"/>
      <c r="S827" s="38"/>
      <c r="T827" s="38"/>
      <c r="U827" s="38"/>
      <c r="V827" s="38"/>
      <c r="W827" s="38"/>
      <c r="X827" s="167"/>
      <c r="Y827" s="279"/>
      <c r="Z827" s="3"/>
      <c r="AA827" s="3"/>
      <c r="AB827" s="3"/>
      <c r="AC827" s="3"/>
      <c r="AD827" s="3"/>
      <c r="AE827" s="3"/>
    </row>
    <row r="828" spans="1:31" ht="15.75" customHeight="1" x14ac:dyDescent="0.25">
      <c r="A828" s="6" t="s">
        <v>68</v>
      </c>
      <c r="B828" s="32" t="s">
        <v>78</v>
      </c>
      <c r="C828" s="13" t="s">
        <v>400</v>
      </c>
      <c r="D828" s="14">
        <v>41148</v>
      </c>
      <c r="E828" s="14"/>
      <c r="F828" s="14"/>
      <c r="G828" s="61">
        <f t="shared" si="367"/>
        <v>41148</v>
      </c>
      <c r="H828" s="15"/>
      <c r="I828" s="14">
        <v>36368</v>
      </c>
      <c r="J828" s="14"/>
      <c r="K828" s="14"/>
      <c r="L828" s="14">
        <f t="shared" si="368"/>
        <v>36368</v>
      </c>
      <c r="M828" s="62">
        <f t="shared" si="369"/>
        <v>-4780</v>
      </c>
      <c r="N828" s="14"/>
      <c r="O828" s="38"/>
      <c r="P828" s="15"/>
      <c r="Q828" s="241"/>
      <c r="R828" s="38"/>
      <c r="S828" s="38"/>
      <c r="T828" s="38"/>
      <c r="U828" s="38"/>
      <c r="V828" s="38"/>
      <c r="W828" s="38"/>
      <c r="X828" s="167"/>
      <c r="Y828" s="279"/>
      <c r="Z828" s="3"/>
      <c r="AA828" s="3"/>
      <c r="AB828" s="3"/>
      <c r="AC828" s="3"/>
      <c r="AD828" s="3"/>
      <c r="AE828" s="3"/>
    </row>
    <row r="829" spans="1:31" ht="15.75" customHeight="1" x14ac:dyDescent="0.25">
      <c r="A829" s="6" t="s">
        <v>68</v>
      </c>
      <c r="B829" s="32" t="s">
        <v>78</v>
      </c>
      <c r="C829" s="13" t="s">
        <v>401</v>
      </c>
      <c r="D829" s="15"/>
      <c r="E829" s="15"/>
      <c r="F829" s="15"/>
      <c r="G829" s="61">
        <f t="shared" si="367"/>
        <v>0</v>
      </c>
      <c r="H829" s="15"/>
      <c r="I829" s="30"/>
      <c r="J829" s="14"/>
      <c r="K829" s="15"/>
      <c r="L829" s="14">
        <f t="shared" si="368"/>
        <v>0</v>
      </c>
      <c r="M829" s="62">
        <f t="shared" si="369"/>
        <v>0</v>
      </c>
      <c r="N829" s="14">
        <v>9688</v>
      </c>
      <c r="O829" s="38"/>
      <c r="P829" s="15"/>
      <c r="Q829" s="241"/>
      <c r="R829" s="38"/>
      <c r="S829" s="38"/>
      <c r="T829" s="38"/>
      <c r="U829" s="38"/>
      <c r="V829" s="38"/>
      <c r="W829" s="38"/>
      <c r="X829" s="167"/>
      <c r="Y829" s="279"/>
      <c r="Z829" s="3"/>
      <c r="AA829" s="3"/>
      <c r="AB829" s="3"/>
      <c r="AC829" s="3"/>
      <c r="AD829" s="3"/>
      <c r="AE829" s="3"/>
    </row>
    <row r="830" spans="1:31" ht="15.75" customHeight="1" x14ac:dyDescent="0.25">
      <c r="A830" s="6" t="s">
        <v>68</v>
      </c>
      <c r="B830" s="32" t="s">
        <v>78</v>
      </c>
      <c r="C830" s="13" t="s">
        <v>402</v>
      </c>
      <c r="D830" s="15"/>
      <c r="E830" s="15"/>
      <c r="F830" s="15"/>
      <c r="G830" s="61">
        <f t="shared" si="367"/>
        <v>0</v>
      </c>
      <c r="H830" s="15"/>
      <c r="I830" s="30"/>
      <c r="J830" s="14"/>
      <c r="K830" s="15"/>
      <c r="L830" s="14">
        <f t="shared" si="368"/>
        <v>0</v>
      </c>
      <c r="M830" s="62">
        <f t="shared" si="369"/>
        <v>0</v>
      </c>
      <c r="N830" s="14"/>
      <c r="O830" s="38"/>
      <c r="P830" s="15"/>
      <c r="Q830" s="241"/>
      <c r="R830" s="38"/>
      <c r="S830" s="38"/>
      <c r="T830" s="38"/>
      <c r="U830" s="38"/>
      <c r="V830" s="38"/>
      <c r="W830" s="38"/>
      <c r="X830" s="167"/>
      <c r="Y830" s="279"/>
      <c r="Z830" s="3"/>
      <c r="AA830" s="3"/>
      <c r="AB830" s="3"/>
      <c r="AC830" s="3"/>
      <c r="AD830" s="3"/>
      <c r="AE830" s="3"/>
    </row>
    <row r="831" spans="1:31" ht="15.75" customHeight="1" x14ac:dyDescent="0.25">
      <c r="A831" s="6" t="s">
        <v>68</v>
      </c>
      <c r="B831" s="32" t="s">
        <v>78</v>
      </c>
      <c r="C831" s="13" t="s">
        <v>859</v>
      </c>
      <c r="D831" s="15"/>
      <c r="E831" s="15"/>
      <c r="F831" s="15"/>
      <c r="G831" s="61">
        <f t="shared" si="367"/>
        <v>0</v>
      </c>
      <c r="H831" s="15"/>
      <c r="I831" s="30"/>
      <c r="J831" s="14"/>
      <c r="K831" s="15"/>
      <c r="L831" s="14">
        <f t="shared" si="368"/>
        <v>0</v>
      </c>
      <c r="M831" s="62">
        <f t="shared" si="369"/>
        <v>0</v>
      </c>
      <c r="N831" s="15"/>
      <c r="O831" s="38"/>
      <c r="P831" s="15"/>
      <c r="Q831" s="241"/>
      <c r="R831" s="38"/>
      <c r="S831" s="38"/>
      <c r="T831" s="38"/>
      <c r="U831" s="38"/>
      <c r="V831" s="38"/>
      <c r="W831" s="38"/>
      <c r="X831" s="167"/>
    </row>
    <row r="832" spans="1:31" ht="15.75" customHeight="1" x14ac:dyDescent="0.25">
      <c r="A832" s="6" t="s">
        <v>68</v>
      </c>
      <c r="B832" s="32" t="s">
        <v>78</v>
      </c>
      <c r="C832" s="17" t="s">
        <v>861</v>
      </c>
      <c r="D832" s="19"/>
      <c r="E832" s="19"/>
      <c r="F832" s="19"/>
      <c r="G832" s="61">
        <f t="shared" si="367"/>
        <v>0</v>
      </c>
      <c r="H832" s="15"/>
      <c r="I832" s="20"/>
      <c r="J832" s="18"/>
      <c r="K832" s="19"/>
      <c r="L832" s="14">
        <f t="shared" si="368"/>
        <v>0</v>
      </c>
      <c r="M832" s="62">
        <f t="shared" si="369"/>
        <v>0</v>
      </c>
      <c r="N832" s="19"/>
      <c r="O832" s="168"/>
      <c r="P832" s="19"/>
      <c r="Q832" s="242"/>
      <c r="R832" s="168"/>
      <c r="S832" s="168"/>
      <c r="T832" s="168"/>
      <c r="U832" s="168"/>
      <c r="V832" s="168"/>
      <c r="W832" s="168"/>
      <c r="X832" s="169"/>
      <c r="Y832" s="280"/>
      <c r="Z832" s="16"/>
      <c r="AA832" s="16"/>
      <c r="AB832" s="16"/>
      <c r="AC832" s="16"/>
      <c r="AD832" s="16"/>
      <c r="AE832" s="16"/>
    </row>
    <row r="833" spans="1:31" ht="15.75" customHeight="1" x14ac:dyDescent="0.25">
      <c r="A833" s="6" t="s">
        <v>68</v>
      </c>
      <c r="B833" s="32" t="s">
        <v>78</v>
      </c>
      <c r="C833" s="17" t="s">
        <v>925</v>
      </c>
      <c r="D833" s="19"/>
      <c r="E833" s="19"/>
      <c r="F833" s="19"/>
      <c r="G833" s="61">
        <f t="shared" si="367"/>
        <v>0</v>
      </c>
      <c r="H833" s="15"/>
      <c r="I833" s="19"/>
      <c r="J833" s="19"/>
      <c r="K833" s="19"/>
      <c r="L833" s="14">
        <f t="shared" si="368"/>
        <v>0</v>
      </c>
      <c r="M833" s="62">
        <f t="shared" si="369"/>
        <v>0</v>
      </c>
      <c r="N833" s="19"/>
      <c r="O833" s="168"/>
      <c r="P833" s="19"/>
      <c r="Q833" s="242"/>
      <c r="R833" s="168"/>
      <c r="S833" s="168"/>
      <c r="T833" s="168"/>
      <c r="U833" s="168"/>
      <c r="V833" s="168"/>
      <c r="W833" s="168"/>
      <c r="X833" s="169"/>
      <c r="Y833" s="280"/>
      <c r="Z833" s="16"/>
      <c r="AA833" s="16"/>
      <c r="AB833" s="16"/>
      <c r="AC833" s="16"/>
      <c r="AD833" s="16"/>
      <c r="AE833" s="16"/>
    </row>
    <row r="834" spans="1:31" ht="15.75" customHeight="1" x14ac:dyDescent="0.25">
      <c r="A834" s="109"/>
      <c r="B834" s="3"/>
      <c r="C834" s="29" t="s">
        <v>231</v>
      </c>
      <c r="D834" s="14"/>
      <c r="E834" s="14"/>
      <c r="F834" s="14"/>
      <c r="G834" s="61">
        <f>SUM(D834:F834)</f>
        <v>0</v>
      </c>
      <c r="H834" s="15"/>
      <c r="I834" s="14"/>
      <c r="J834" s="14"/>
      <c r="K834" s="14"/>
      <c r="L834" s="14">
        <f>SUM(I834:K834)</f>
        <v>0</v>
      </c>
      <c r="M834" s="62">
        <f>(L834-G834)</f>
        <v>0</v>
      </c>
      <c r="N834" s="14"/>
      <c r="O834" s="38"/>
      <c r="P834" s="15"/>
      <c r="Q834" s="241"/>
      <c r="R834" s="38"/>
      <c r="S834" s="38"/>
      <c r="T834" s="38"/>
      <c r="U834" s="38"/>
      <c r="V834" s="38"/>
      <c r="W834" s="38"/>
      <c r="X834" s="167"/>
      <c r="Y834" s="280"/>
      <c r="Z834" s="16"/>
      <c r="AA834" s="16"/>
      <c r="AB834" s="16"/>
      <c r="AC834" s="16"/>
      <c r="AD834" s="16"/>
      <c r="AE834" s="16"/>
    </row>
    <row r="835" spans="1:31" ht="15.75" customHeight="1" x14ac:dyDescent="0.25">
      <c r="A835" s="109"/>
      <c r="B835" s="3"/>
      <c r="C835" s="13" t="s">
        <v>421</v>
      </c>
      <c r="D835" s="14"/>
      <c r="E835" s="14"/>
      <c r="F835" s="14"/>
      <c r="G835" s="61">
        <f>SUM(D835:F835)</f>
        <v>0</v>
      </c>
      <c r="H835" s="15"/>
      <c r="I835" s="14"/>
      <c r="J835" s="14"/>
      <c r="K835" s="14"/>
      <c r="L835" s="14">
        <f>SUM(I835:K835)</f>
        <v>0</v>
      </c>
      <c r="M835" s="62">
        <f>(L835-G835)</f>
        <v>0</v>
      </c>
      <c r="N835" s="14"/>
      <c r="O835" s="38"/>
      <c r="P835" s="15">
        <v>6363.6</v>
      </c>
      <c r="Q835" s="241"/>
      <c r="R835" s="38"/>
      <c r="S835" s="38"/>
      <c r="T835" s="38"/>
      <c r="U835" s="38"/>
      <c r="V835" s="38"/>
      <c r="W835" s="38"/>
      <c r="X835" s="167"/>
      <c r="Y835" s="280"/>
      <c r="Z835" s="16"/>
      <c r="AA835" s="16"/>
      <c r="AB835" s="16"/>
      <c r="AC835" s="16"/>
      <c r="AD835" s="16"/>
      <c r="AE835" s="16"/>
    </row>
    <row r="836" spans="1:31" ht="15.75" customHeight="1" x14ac:dyDescent="0.25">
      <c r="A836" s="109"/>
      <c r="B836" s="3"/>
      <c r="C836" s="13" t="s">
        <v>926</v>
      </c>
      <c r="D836" s="14"/>
      <c r="E836" s="14"/>
      <c r="F836" s="14"/>
      <c r="G836" s="61">
        <f>SUM(D836:F836)</f>
        <v>0</v>
      </c>
      <c r="H836" s="15"/>
      <c r="I836" s="14"/>
      <c r="J836" s="14"/>
      <c r="K836" s="14"/>
      <c r="L836" s="14">
        <f>SUM(I836:K836)</f>
        <v>0</v>
      </c>
      <c r="M836" s="62">
        <f>(L836-G836)</f>
        <v>0</v>
      </c>
      <c r="N836" s="14"/>
      <c r="O836" s="38"/>
      <c r="P836" s="15">
        <v>160</v>
      </c>
      <c r="Q836" s="241"/>
      <c r="R836" s="38"/>
      <c r="S836" s="38"/>
      <c r="T836" s="38"/>
      <c r="U836" s="38"/>
      <c r="V836" s="38"/>
      <c r="W836" s="38"/>
      <c r="X836" s="167"/>
      <c r="Y836" s="280"/>
      <c r="Z836" s="16"/>
      <c r="AA836" s="16"/>
      <c r="AB836" s="16"/>
      <c r="AC836" s="16"/>
      <c r="AD836" s="16"/>
      <c r="AE836" s="16"/>
    </row>
    <row r="837" spans="1:31" ht="15.75" customHeight="1" x14ac:dyDescent="0.25">
      <c r="A837" s="16"/>
      <c r="B837" s="16"/>
      <c r="C837" s="40" t="s">
        <v>188</v>
      </c>
      <c r="D837" s="96">
        <f t="shared" ref="D837:F837" si="371">SUM(D826:D833)</f>
        <v>95552</v>
      </c>
      <c r="E837" s="96">
        <f t="shared" si="371"/>
        <v>14034</v>
      </c>
      <c r="F837" s="96">
        <f t="shared" si="371"/>
        <v>0</v>
      </c>
      <c r="G837" s="27">
        <f t="shared" si="367"/>
        <v>109586</v>
      </c>
      <c r="H837" s="96">
        <f>SUM(H826:H836)</f>
        <v>4259</v>
      </c>
      <c r="I837" s="96">
        <f>SUM(I826:I836)</f>
        <v>97396</v>
      </c>
      <c r="J837" s="96">
        <f>SUM(J826:J836)</f>
        <v>13892</v>
      </c>
      <c r="K837" s="96">
        <f>SUM(K826:K836)</f>
        <v>0</v>
      </c>
      <c r="L837" s="89">
        <f t="shared" si="368"/>
        <v>111288</v>
      </c>
      <c r="M837" s="28">
        <f t="shared" si="369"/>
        <v>1702</v>
      </c>
      <c r="N837" s="96">
        <f t="shared" ref="N837:X837" si="372">SUM(N826:N836)</f>
        <v>9688</v>
      </c>
      <c r="O837" s="96">
        <f t="shared" si="372"/>
        <v>0</v>
      </c>
      <c r="P837" s="96">
        <f t="shared" si="372"/>
        <v>6523.6</v>
      </c>
      <c r="Q837" s="260">
        <f t="shared" si="372"/>
        <v>0</v>
      </c>
      <c r="R837" s="96">
        <f t="shared" si="372"/>
        <v>0</v>
      </c>
      <c r="S837" s="96">
        <f t="shared" si="372"/>
        <v>0</v>
      </c>
      <c r="T837" s="96">
        <f t="shared" si="372"/>
        <v>0</v>
      </c>
      <c r="U837" s="96">
        <f t="shared" si="372"/>
        <v>0</v>
      </c>
      <c r="V837" s="96">
        <f t="shared" si="372"/>
        <v>0</v>
      </c>
      <c r="W837" s="96">
        <f t="shared" si="372"/>
        <v>0</v>
      </c>
      <c r="X837" s="96">
        <f t="shared" si="372"/>
        <v>0</v>
      </c>
      <c r="Y837" s="280"/>
      <c r="Z837" s="16"/>
      <c r="AA837" s="16"/>
      <c r="AB837" s="16"/>
      <c r="AC837" s="16"/>
      <c r="AD837" s="16"/>
      <c r="AE837" s="16"/>
    </row>
    <row r="838" spans="1:31" ht="15.75" customHeight="1" x14ac:dyDescent="0.25">
      <c r="A838" s="6" t="s">
        <v>68</v>
      </c>
      <c r="B838" s="32" t="s">
        <v>74</v>
      </c>
      <c r="C838" s="32" t="s">
        <v>74</v>
      </c>
      <c r="D838" s="74">
        <v>71602</v>
      </c>
      <c r="E838" s="74">
        <v>21673</v>
      </c>
      <c r="F838" s="74"/>
      <c r="G838" s="61">
        <f t="shared" si="367"/>
        <v>93275</v>
      </c>
      <c r="H838" s="15">
        <v>11106</v>
      </c>
      <c r="I838" s="74">
        <v>79036</v>
      </c>
      <c r="J838" s="74">
        <v>24862</v>
      </c>
      <c r="K838" s="74"/>
      <c r="L838" s="14">
        <f t="shared" si="368"/>
        <v>103898</v>
      </c>
      <c r="M838" s="62">
        <f t="shared" si="369"/>
        <v>10623</v>
      </c>
      <c r="N838" s="74"/>
      <c r="O838" s="102"/>
      <c r="P838" s="90"/>
      <c r="Q838" s="247"/>
      <c r="R838" s="102"/>
      <c r="S838" s="102"/>
      <c r="T838" s="102"/>
      <c r="U838" s="102"/>
      <c r="V838" s="102"/>
      <c r="W838" s="102"/>
      <c r="X838" s="179"/>
      <c r="Y838" s="279"/>
      <c r="Z838" s="3"/>
      <c r="AA838" s="3"/>
      <c r="AB838" s="3"/>
      <c r="AC838" s="3"/>
      <c r="AD838" s="3"/>
      <c r="AE838" s="3"/>
    </row>
    <row r="839" spans="1:31" ht="15.75" customHeight="1" x14ac:dyDescent="0.25">
      <c r="A839" s="6" t="s">
        <v>68</v>
      </c>
      <c r="B839" s="32" t="s">
        <v>74</v>
      </c>
      <c r="C839" s="13" t="s">
        <v>414</v>
      </c>
      <c r="D839" s="14"/>
      <c r="E839" s="14">
        <v>14123</v>
      </c>
      <c r="F839" s="14"/>
      <c r="G839" s="61">
        <f t="shared" si="367"/>
        <v>14123</v>
      </c>
      <c r="H839" s="15"/>
      <c r="I839" s="14"/>
      <c r="J839" s="14">
        <v>14887</v>
      </c>
      <c r="K839" s="14"/>
      <c r="L839" s="14">
        <f t="shared" si="368"/>
        <v>14887</v>
      </c>
      <c r="M839" s="62">
        <f t="shared" si="369"/>
        <v>764</v>
      </c>
      <c r="N839" s="14"/>
      <c r="O839" s="38"/>
      <c r="P839" s="15"/>
      <c r="Q839" s="241"/>
      <c r="R839" s="38"/>
      <c r="S839" s="38"/>
      <c r="T839" s="38"/>
      <c r="U839" s="38"/>
      <c r="V839" s="38"/>
      <c r="W839" s="38"/>
      <c r="X839" s="167"/>
      <c r="Y839" s="279"/>
      <c r="Z839" s="3"/>
      <c r="AA839" s="3"/>
      <c r="AB839" s="3"/>
      <c r="AC839" s="3"/>
      <c r="AD839" s="3"/>
      <c r="AE839" s="3"/>
    </row>
    <row r="840" spans="1:31" ht="15.75" customHeight="1" x14ac:dyDescent="0.25">
      <c r="A840" s="6" t="s">
        <v>68</v>
      </c>
      <c r="B840" s="32" t="s">
        <v>74</v>
      </c>
      <c r="C840" s="13" t="s">
        <v>400</v>
      </c>
      <c r="D840" s="14">
        <v>66963</v>
      </c>
      <c r="E840" s="14"/>
      <c r="F840" s="14"/>
      <c r="G840" s="61">
        <f t="shared" si="367"/>
        <v>66963</v>
      </c>
      <c r="H840" s="15"/>
      <c r="I840" s="14">
        <v>86350</v>
      </c>
      <c r="J840" s="14"/>
      <c r="K840" s="14"/>
      <c r="L840" s="14">
        <f t="shared" si="368"/>
        <v>86350</v>
      </c>
      <c r="M840" s="62">
        <f t="shared" si="369"/>
        <v>19387</v>
      </c>
      <c r="N840" s="14"/>
      <c r="O840" s="38"/>
      <c r="P840" s="15"/>
      <c r="Q840" s="241"/>
      <c r="R840" s="38"/>
      <c r="S840" s="38"/>
      <c r="T840" s="38"/>
      <c r="U840" s="38"/>
      <c r="V840" s="38"/>
      <c r="W840" s="38"/>
      <c r="X840" s="167"/>
      <c r="Y840" s="279"/>
      <c r="Z840" s="3"/>
      <c r="AA840" s="3"/>
      <c r="AB840" s="3"/>
      <c r="AC840" s="3"/>
      <c r="AD840" s="3"/>
      <c r="AE840" s="3"/>
    </row>
    <row r="841" spans="1:31" ht="15.75" customHeight="1" x14ac:dyDescent="0.25">
      <c r="A841" s="6" t="s">
        <v>68</v>
      </c>
      <c r="B841" s="32" t="s">
        <v>74</v>
      </c>
      <c r="C841" s="13" t="s">
        <v>401</v>
      </c>
      <c r="D841" s="15"/>
      <c r="E841" s="15"/>
      <c r="F841" s="15"/>
      <c r="G841" s="61">
        <f t="shared" si="367"/>
        <v>0</v>
      </c>
      <c r="H841" s="15"/>
      <c r="I841" s="30"/>
      <c r="J841" s="14"/>
      <c r="K841" s="15"/>
      <c r="L841" s="14">
        <f t="shared" si="368"/>
        <v>0</v>
      </c>
      <c r="M841" s="62">
        <f t="shared" si="369"/>
        <v>0</v>
      </c>
      <c r="N841" s="14">
        <v>18271</v>
      </c>
      <c r="O841" s="38"/>
      <c r="P841" s="15"/>
      <c r="Q841" s="241"/>
      <c r="R841" s="38"/>
      <c r="S841" s="38"/>
      <c r="T841" s="38"/>
      <c r="U841" s="38"/>
      <c r="V841" s="38"/>
      <c r="W841" s="38"/>
      <c r="X841" s="167"/>
      <c r="Y841" s="279"/>
      <c r="Z841" s="3"/>
      <c r="AA841" s="3"/>
      <c r="AB841" s="3"/>
      <c r="AC841" s="3"/>
      <c r="AD841" s="3"/>
      <c r="AE841" s="3"/>
    </row>
    <row r="842" spans="1:31" ht="15.75" customHeight="1" x14ac:dyDescent="0.25">
      <c r="A842" s="6" t="s">
        <v>68</v>
      </c>
      <c r="B842" s="32" t="s">
        <v>74</v>
      </c>
      <c r="C842" s="13" t="s">
        <v>402</v>
      </c>
      <c r="D842" s="15"/>
      <c r="E842" s="15"/>
      <c r="F842" s="15"/>
      <c r="G842" s="61">
        <f t="shared" si="367"/>
        <v>0</v>
      </c>
      <c r="H842" s="15"/>
      <c r="I842" s="30"/>
      <c r="J842" s="14"/>
      <c r="K842" s="15"/>
      <c r="L842" s="14">
        <f t="shared" si="368"/>
        <v>0</v>
      </c>
      <c r="M842" s="62">
        <f t="shared" si="369"/>
        <v>0</v>
      </c>
      <c r="N842" s="14"/>
      <c r="O842" s="38"/>
      <c r="P842" s="15"/>
      <c r="Q842" s="241"/>
      <c r="R842" s="38"/>
      <c r="S842" s="38"/>
      <c r="T842" s="38"/>
      <c r="U842" s="38"/>
      <c r="V842" s="38"/>
      <c r="W842" s="38"/>
      <c r="X842" s="167"/>
      <c r="Y842" s="279"/>
      <c r="Z842" s="3"/>
      <c r="AA842" s="3"/>
      <c r="AB842" s="3"/>
      <c r="AC842" s="3"/>
      <c r="AD842" s="3"/>
      <c r="AE842" s="3"/>
    </row>
    <row r="843" spans="1:31" ht="15.75" customHeight="1" x14ac:dyDescent="0.25">
      <c r="A843" s="6" t="s">
        <v>68</v>
      </c>
      <c r="B843" s="32" t="s">
        <v>74</v>
      </c>
      <c r="C843" s="13" t="s">
        <v>859</v>
      </c>
      <c r="D843" s="15"/>
      <c r="E843" s="15"/>
      <c r="F843" s="15"/>
      <c r="G843" s="61">
        <f t="shared" si="367"/>
        <v>0</v>
      </c>
      <c r="H843" s="15"/>
      <c r="I843" s="30"/>
      <c r="J843" s="14"/>
      <c r="K843" s="15"/>
      <c r="L843" s="14">
        <f t="shared" si="368"/>
        <v>0</v>
      </c>
      <c r="M843" s="62">
        <f t="shared" si="369"/>
        <v>0</v>
      </c>
      <c r="N843" s="15"/>
      <c r="O843" s="38"/>
      <c r="P843" s="15"/>
      <c r="Q843" s="241"/>
      <c r="R843" s="38"/>
      <c r="S843" s="38"/>
      <c r="T843" s="38"/>
      <c r="U843" s="38"/>
      <c r="V843" s="38"/>
      <c r="W843" s="38"/>
      <c r="X843" s="167"/>
    </row>
    <row r="844" spans="1:31" ht="15.75" customHeight="1" x14ac:dyDescent="0.25">
      <c r="A844" s="6" t="s">
        <v>68</v>
      </c>
      <c r="B844" s="32" t="s">
        <v>74</v>
      </c>
      <c r="C844" s="13" t="s">
        <v>861</v>
      </c>
      <c r="D844" s="15"/>
      <c r="E844" s="15"/>
      <c r="F844" s="15"/>
      <c r="G844" s="61">
        <f t="shared" si="367"/>
        <v>0</v>
      </c>
      <c r="H844" s="15"/>
      <c r="I844" s="30"/>
      <c r="J844" s="14"/>
      <c r="K844" s="15"/>
      <c r="L844" s="14">
        <f t="shared" si="368"/>
        <v>0</v>
      </c>
      <c r="M844" s="62">
        <f t="shared" si="369"/>
        <v>0</v>
      </c>
      <c r="N844" s="15"/>
      <c r="O844" s="38"/>
      <c r="P844" s="15"/>
      <c r="Q844" s="241"/>
      <c r="R844" s="38"/>
      <c r="S844" s="38"/>
      <c r="T844" s="38"/>
      <c r="U844" s="38"/>
      <c r="V844" s="38"/>
      <c r="W844" s="38"/>
      <c r="X844" s="167"/>
    </row>
    <row r="845" spans="1:31" ht="15.75" customHeight="1" x14ac:dyDescent="0.25">
      <c r="A845" s="6" t="s">
        <v>68</v>
      </c>
      <c r="B845" s="32" t="s">
        <v>74</v>
      </c>
      <c r="C845" s="13" t="s">
        <v>927</v>
      </c>
      <c r="D845" s="15"/>
      <c r="E845" s="15"/>
      <c r="F845" s="15"/>
      <c r="G845" s="61">
        <f t="shared" si="367"/>
        <v>0</v>
      </c>
      <c r="H845" s="15"/>
      <c r="I845" s="15"/>
      <c r="J845" s="15"/>
      <c r="K845" s="14"/>
      <c r="L845" s="14">
        <f t="shared" si="368"/>
        <v>0</v>
      </c>
      <c r="M845" s="62">
        <f t="shared" si="369"/>
        <v>0</v>
      </c>
      <c r="N845" s="15"/>
      <c r="O845" s="38"/>
      <c r="P845" s="15"/>
      <c r="Q845" s="241"/>
      <c r="R845" s="38"/>
      <c r="S845" s="38"/>
      <c r="T845" s="38"/>
      <c r="U845" s="38"/>
      <c r="V845" s="38"/>
      <c r="W845" s="38"/>
      <c r="X845" s="167"/>
    </row>
    <row r="846" spans="1:31" ht="15.75" customHeight="1" x14ac:dyDescent="0.25">
      <c r="A846" s="6" t="s">
        <v>68</v>
      </c>
      <c r="B846" s="32" t="s">
        <v>74</v>
      </c>
      <c r="C846" s="13" t="s">
        <v>928</v>
      </c>
      <c r="D846" s="15"/>
      <c r="E846" s="15"/>
      <c r="F846" s="15"/>
      <c r="G846" s="61">
        <f t="shared" si="367"/>
        <v>0</v>
      </c>
      <c r="H846" s="15"/>
      <c r="I846" s="15"/>
      <c r="J846" s="15"/>
      <c r="K846" s="15"/>
      <c r="L846" s="14">
        <f t="shared" si="368"/>
        <v>0</v>
      </c>
      <c r="M846" s="62">
        <f t="shared" si="369"/>
        <v>0</v>
      </c>
      <c r="N846" s="15"/>
      <c r="O846" s="38"/>
      <c r="P846" s="15"/>
      <c r="Q846" s="241"/>
      <c r="R846" s="38"/>
      <c r="S846" s="38"/>
      <c r="T846" s="38"/>
      <c r="U846" s="38"/>
      <c r="V846" s="38"/>
      <c r="W846" s="38"/>
      <c r="X846" s="167"/>
    </row>
    <row r="847" spans="1:31" ht="15.75" customHeight="1" x14ac:dyDescent="0.25">
      <c r="A847" s="6" t="s">
        <v>68</v>
      </c>
      <c r="B847" s="32" t="s">
        <v>74</v>
      </c>
      <c r="C847" s="17" t="s">
        <v>929</v>
      </c>
      <c r="D847" s="19"/>
      <c r="E847" s="19"/>
      <c r="F847" s="19"/>
      <c r="G847" s="61">
        <f t="shared" si="367"/>
        <v>0</v>
      </c>
      <c r="H847" s="15"/>
      <c r="I847" s="19"/>
      <c r="J847" s="19"/>
      <c r="K847" s="19"/>
      <c r="L847" s="14">
        <f t="shared" si="368"/>
        <v>0</v>
      </c>
      <c r="M847" s="62">
        <f t="shared" si="369"/>
        <v>0</v>
      </c>
      <c r="N847" s="19"/>
      <c r="O847" s="168"/>
      <c r="P847" s="19"/>
      <c r="Q847" s="242"/>
      <c r="R847" s="168"/>
      <c r="S847" s="168"/>
      <c r="T847" s="168"/>
      <c r="U847" s="168"/>
      <c r="V847" s="168"/>
      <c r="W847" s="168"/>
      <c r="X847" s="169"/>
      <c r="Y847" s="280"/>
      <c r="Z847" s="16"/>
      <c r="AA847" s="16"/>
      <c r="AB847" s="16"/>
      <c r="AC847" s="16"/>
      <c r="AD847" s="16"/>
      <c r="AE847" s="16"/>
    </row>
    <row r="848" spans="1:31" ht="15.75" customHeight="1" x14ac:dyDescent="0.25">
      <c r="A848" s="109"/>
      <c r="B848" s="3"/>
      <c r="C848" s="31" t="s">
        <v>231</v>
      </c>
      <c r="D848" s="14"/>
      <c r="E848" s="14"/>
      <c r="F848" s="14"/>
      <c r="G848" s="61">
        <f>SUM(D848:F848)</f>
        <v>0</v>
      </c>
      <c r="H848" s="15"/>
      <c r="I848" s="14"/>
      <c r="J848" s="14"/>
      <c r="K848" s="14"/>
      <c r="L848" s="14">
        <f>SUM(I848:K848)</f>
        <v>0</v>
      </c>
      <c r="M848" s="62">
        <f>(L848-G848)</f>
        <v>0</v>
      </c>
      <c r="N848" s="14"/>
      <c r="O848" s="38"/>
      <c r="P848" s="15"/>
      <c r="Q848" s="241"/>
      <c r="R848" s="38"/>
      <c r="S848" s="38"/>
      <c r="T848" s="38"/>
      <c r="U848" s="38"/>
      <c r="V848" s="38"/>
      <c r="W848" s="38"/>
      <c r="X848" s="167"/>
      <c r="Y848" s="280"/>
      <c r="Z848" s="16"/>
      <c r="AA848" s="16"/>
      <c r="AB848" s="16"/>
      <c r="AC848" s="16"/>
      <c r="AD848" s="16"/>
      <c r="AE848" s="16"/>
    </row>
    <row r="849" spans="1:31" ht="15.75" customHeight="1" x14ac:dyDescent="0.25">
      <c r="A849" s="109"/>
      <c r="B849" s="3"/>
      <c r="C849" s="13" t="s">
        <v>905</v>
      </c>
      <c r="D849" s="14"/>
      <c r="E849" s="14"/>
      <c r="F849" s="14"/>
      <c r="G849" s="61">
        <f>SUM(D849:F849)</f>
        <v>0</v>
      </c>
      <c r="H849" s="15"/>
      <c r="I849" s="14"/>
      <c r="J849" s="14"/>
      <c r="K849" s="14"/>
      <c r="L849" s="14">
        <f>SUM(I849:K849)</f>
        <v>0</v>
      </c>
      <c r="M849" s="62">
        <f>(L849-G849)</f>
        <v>0</v>
      </c>
      <c r="N849" s="14"/>
      <c r="O849" s="38"/>
      <c r="P849" s="15"/>
      <c r="Q849" s="241">
        <v>1000</v>
      </c>
      <c r="R849" s="38"/>
      <c r="S849" s="38"/>
      <c r="T849" s="38"/>
      <c r="U849" s="38"/>
      <c r="V849" s="38"/>
      <c r="W849" s="38"/>
      <c r="X849" s="167"/>
      <c r="Y849" s="280"/>
      <c r="Z849" s="16"/>
      <c r="AA849" s="16"/>
      <c r="AB849" s="16"/>
      <c r="AC849" s="16"/>
      <c r="AD849" s="16"/>
      <c r="AE849" s="16"/>
    </row>
    <row r="850" spans="1:31" ht="15.75" customHeight="1" x14ac:dyDescent="0.25">
      <c r="A850" s="109"/>
      <c r="B850" s="3"/>
      <c r="C850" s="13" t="s">
        <v>930</v>
      </c>
      <c r="D850" s="14"/>
      <c r="E850" s="14"/>
      <c r="F850" s="14"/>
      <c r="G850" s="61">
        <f>SUM(D850:F850)</f>
        <v>0</v>
      </c>
      <c r="H850" s="15"/>
      <c r="I850" s="14"/>
      <c r="J850" s="14"/>
      <c r="K850" s="14"/>
      <c r="L850" s="14">
        <f>SUM(I850:K850)</f>
        <v>0</v>
      </c>
      <c r="M850" s="62">
        <f>(L850-G850)</f>
        <v>0</v>
      </c>
      <c r="N850" s="14"/>
      <c r="O850" s="38"/>
      <c r="P850" s="15">
        <v>18101</v>
      </c>
      <c r="Q850" s="241"/>
      <c r="R850" s="38"/>
      <c r="S850" s="38"/>
      <c r="T850" s="38"/>
      <c r="U850" s="38"/>
      <c r="V850" s="38"/>
      <c r="W850" s="38"/>
      <c r="X850" s="167"/>
      <c r="Y850" s="280"/>
      <c r="Z850" s="16"/>
      <c r="AA850" s="16"/>
      <c r="AB850" s="16"/>
      <c r="AC850" s="16"/>
      <c r="AD850" s="16"/>
      <c r="AE850" s="16"/>
    </row>
    <row r="851" spans="1:31" ht="15.75" customHeight="1" x14ac:dyDescent="0.25">
      <c r="A851" s="16"/>
      <c r="B851" s="16"/>
      <c r="C851" s="40" t="s">
        <v>188</v>
      </c>
      <c r="D851" s="96">
        <f>SUM(D838:D847)</f>
        <v>138565</v>
      </c>
      <c r="E851" s="96">
        <f>SUM(E838:E847)</f>
        <v>35796</v>
      </c>
      <c r="F851" s="96">
        <f>SUM(F838:F847)</f>
        <v>0</v>
      </c>
      <c r="G851" s="27">
        <f t="shared" si="367"/>
        <v>174361</v>
      </c>
      <c r="H851" s="96">
        <f>SUM(H838:H850)</f>
        <v>11106</v>
      </c>
      <c r="I851" s="96">
        <f>SUM(I838:I850)</f>
        <v>165386</v>
      </c>
      <c r="J851" s="96">
        <f>SUM(J838:J850)</f>
        <v>39749</v>
      </c>
      <c r="K851" s="96">
        <f>SUM(K838:K850)</f>
        <v>0</v>
      </c>
      <c r="L851" s="89">
        <f t="shared" si="368"/>
        <v>205135</v>
      </c>
      <c r="M851" s="28">
        <f t="shared" si="369"/>
        <v>30774</v>
      </c>
      <c r="N851" s="96">
        <f t="shared" ref="N851:X851" si="373">SUM(N838:N850)</f>
        <v>18271</v>
      </c>
      <c r="O851" s="96">
        <f t="shared" si="373"/>
        <v>0</v>
      </c>
      <c r="P851" s="96">
        <f t="shared" si="373"/>
        <v>18101</v>
      </c>
      <c r="Q851" s="260">
        <f t="shared" si="373"/>
        <v>1000</v>
      </c>
      <c r="R851" s="96">
        <f t="shared" si="373"/>
        <v>0</v>
      </c>
      <c r="S851" s="96">
        <f t="shared" si="373"/>
        <v>0</v>
      </c>
      <c r="T851" s="96">
        <f t="shared" si="373"/>
        <v>0</v>
      </c>
      <c r="U851" s="96">
        <f t="shared" si="373"/>
        <v>0</v>
      </c>
      <c r="V851" s="96">
        <f t="shared" si="373"/>
        <v>0</v>
      </c>
      <c r="W851" s="96">
        <f t="shared" si="373"/>
        <v>0</v>
      </c>
      <c r="X851" s="96">
        <f t="shared" si="373"/>
        <v>0</v>
      </c>
      <c r="Y851" s="280"/>
      <c r="Z851" s="16"/>
      <c r="AA851" s="16"/>
      <c r="AB851" s="16"/>
      <c r="AC851" s="16"/>
      <c r="AD851" s="16"/>
      <c r="AE851" s="16"/>
    </row>
    <row r="852" spans="1:31" ht="15.75" customHeight="1" x14ac:dyDescent="0.25">
      <c r="A852" s="6" t="s">
        <v>68</v>
      </c>
      <c r="B852" s="32" t="s">
        <v>72</v>
      </c>
      <c r="C852" s="32" t="s">
        <v>72</v>
      </c>
      <c r="D852" s="74">
        <v>96702</v>
      </c>
      <c r="E852" s="74">
        <v>12967</v>
      </c>
      <c r="F852" s="74">
        <v>700</v>
      </c>
      <c r="G852" s="61">
        <f t="shared" si="367"/>
        <v>110369</v>
      </c>
      <c r="H852" s="15">
        <v>-935</v>
      </c>
      <c r="I852" s="74">
        <v>112116</v>
      </c>
      <c r="J852" s="74">
        <v>36902</v>
      </c>
      <c r="K852" s="74"/>
      <c r="L852" s="14">
        <f t="shared" si="368"/>
        <v>149018</v>
      </c>
      <c r="M852" s="62">
        <f t="shared" si="369"/>
        <v>38649</v>
      </c>
      <c r="N852" s="90"/>
      <c r="O852" s="102"/>
      <c r="P852" s="90"/>
      <c r="Q852" s="247"/>
      <c r="R852" s="102"/>
      <c r="S852" s="102"/>
      <c r="T852" s="102"/>
      <c r="U852" s="102"/>
      <c r="V852" s="102"/>
      <c r="W852" s="102"/>
      <c r="X852" s="179"/>
    </row>
    <row r="853" spans="1:31" ht="15.75" customHeight="1" x14ac:dyDescent="0.25">
      <c r="A853" s="6" t="s">
        <v>68</v>
      </c>
      <c r="B853" s="32" t="s">
        <v>72</v>
      </c>
      <c r="C853" s="13" t="s">
        <v>931</v>
      </c>
      <c r="D853" s="14"/>
      <c r="E853" s="14">
        <v>15689</v>
      </c>
      <c r="F853" s="14"/>
      <c r="G853" s="61">
        <f t="shared" si="367"/>
        <v>15689</v>
      </c>
      <c r="H853" s="15"/>
      <c r="I853" s="14"/>
      <c r="J853" s="14"/>
      <c r="K853" s="30"/>
      <c r="L853" s="14">
        <f t="shared" si="368"/>
        <v>0</v>
      </c>
      <c r="M853" s="62">
        <f t="shared" si="369"/>
        <v>-15689</v>
      </c>
      <c r="N853" s="15"/>
      <c r="O853" s="38"/>
      <c r="P853" s="15"/>
      <c r="Q853" s="241"/>
      <c r="R853" s="38"/>
      <c r="S853" s="38"/>
      <c r="T853" s="38"/>
      <c r="U853" s="38"/>
      <c r="V853" s="38"/>
      <c r="W853" s="38"/>
      <c r="X853" s="167"/>
      <c r="Y853" s="279"/>
      <c r="Z853" s="3"/>
      <c r="AA853" s="3"/>
      <c r="AB853" s="3"/>
      <c r="AC853" s="3"/>
      <c r="AD853" s="3"/>
      <c r="AE853" s="3"/>
    </row>
    <row r="854" spans="1:31" ht="15.75" customHeight="1" x14ac:dyDescent="0.25">
      <c r="A854" s="6" t="s">
        <v>68</v>
      </c>
      <c r="B854" s="32" t="s">
        <v>72</v>
      </c>
      <c r="C854" s="13" t="s">
        <v>414</v>
      </c>
      <c r="D854" s="14"/>
      <c r="E854" s="14">
        <v>9161</v>
      </c>
      <c r="F854" s="14"/>
      <c r="G854" s="61">
        <f t="shared" si="367"/>
        <v>9161</v>
      </c>
      <c r="H854" s="15"/>
      <c r="I854" s="14"/>
      <c r="J854" s="14">
        <v>11208</v>
      </c>
      <c r="K854" s="30"/>
      <c r="L854" s="14">
        <f t="shared" si="368"/>
        <v>11208</v>
      </c>
      <c r="M854" s="62">
        <f t="shared" si="369"/>
        <v>2047</v>
      </c>
      <c r="N854" s="15"/>
      <c r="O854" s="38"/>
      <c r="P854" s="15"/>
      <c r="Q854" s="241"/>
      <c r="R854" s="38"/>
      <c r="S854" s="38"/>
      <c r="T854" s="38"/>
      <c r="U854" s="38"/>
      <c r="V854" s="38"/>
      <c r="W854" s="38"/>
      <c r="X854" s="167"/>
    </row>
    <row r="855" spans="1:31" ht="15.75" customHeight="1" x14ac:dyDescent="0.25">
      <c r="A855" s="6" t="s">
        <v>68</v>
      </c>
      <c r="B855" s="32" t="s">
        <v>72</v>
      </c>
      <c r="C855" s="13" t="s">
        <v>932</v>
      </c>
      <c r="D855" s="14"/>
      <c r="E855" s="14"/>
      <c r="F855" s="14"/>
      <c r="G855" s="61">
        <f t="shared" si="367"/>
        <v>0</v>
      </c>
      <c r="H855" s="15"/>
      <c r="I855" s="14"/>
      <c r="J855" s="14"/>
      <c r="K855" s="30"/>
      <c r="L855" s="14">
        <f t="shared" si="368"/>
        <v>0</v>
      </c>
      <c r="M855" s="62">
        <f t="shared" si="369"/>
        <v>0</v>
      </c>
      <c r="N855" s="15"/>
      <c r="O855" s="38"/>
      <c r="P855" s="15"/>
      <c r="Q855" s="241"/>
      <c r="R855" s="38"/>
      <c r="S855" s="38"/>
      <c r="T855" s="38"/>
      <c r="U855" s="38"/>
      <c r="V855" s="38"/>
      <c r="W855" s="38"/>
      <c r="X855" s="167"/>
    </row>
    <row r="856" spans="1:31" ht="15.75" customHeight="1" x14ac:dyDescent="0.25">
      <c r="A856" s="6" t="s">
        <v>68</v>
      </c>
      <c r="B856" s="32" t="s">
        <v>72</v>
      </c>
      <c r="C856" s="13" t="s">
        <v>400</v>
      </c>
      <c r="D856" s="14">
        <v>95024</v>
      </c>
      <c r="E856" s="14"/>
      <c r="F856" s="14"/>
      <c r="G856" s="61">
        <f t="shared" si="367"/>
        <v>95024</v>
      </c>
      <c r="H856" s="15"/>
      <c r="I856" s="14">
        <v>105905</v>
      </c>
      <c r="J856" s="14"/>
      <c r="K856" s="30"/>
      <c r="L856" s="14">
        <f t="shared" si="368"/>
        <v>105905</v>
      </c>
      <c r="M856" s="62">
        <f t="shared" si="369"/>
        <v>10881</v>
      </c>
      <c r="N856" s="15"/>
      <c r="O856" s="38"/>
      <c r="P856" s="15"/>
      <c r="Q856" s="241"/>
      <c r="R856" s="38"/>
      <c r="S856" s="38"/>
      <c r="T856" s="38"/>
      <c r="U856" s="38"/>
      <c r="V856" s="38"/>
      <c r="W856" s="38"/>
      <c r="X856" s="167"/>
      <c r="Y856" s="279"/>
      <c r="Z856" s="3"/>
      <c r="AA856" s="3"/>
      <c r="AB856" s="3"/>
      <c r="AC856" s="3"/>
      <c r="AD856" s="3"/>
      <c r="AE856" s="3"/>
    </row>
    <row r="857" spans="1:31" ht="15.75" customHeight="1" x14ac:dyDescent="0.25">
      <c r="A857" s="6" t="s">
        <v>68</v>
      </c>
      <c r="B857" s="32" t="s">
        <v>72</v>
      </c>
      <c r="C857" s="13" t="s">
        <v>401</v>
      </c>
      <c r="D857" s="15"/>
      <c r="E857" s="15"/>
      <c r="F857" s="15"/>
      <c r="G857" s="61">
        <f t="shared" si="367"/>
        <v>0</v>
      </c>
      <c r="H857" s="15"/>
      <c r="I857" s="30"/>
      <c r="J857" s="14"/>
      <c r="K857" s="30"/>
      <c r="L857" s="14">
        <f t="shared" si="368"/>
        <v>0</v>
      </c>
      <c r="M857" s="62">
        <f t="shared" si="369"/>
        <v>0</v>
      </c>
      <c r="N857" s="14">
        <v>27830</v>
      </c>
      <c r="O857" s="38"/>
      <c r="P857" s="15"/>
      <c r="Q857" s="241"/>
      <c r="R857" s="38"/>
      <c r="S857" s="38"/>
      <c r="T857" s="38"/>
      <c r="U857" s="38"/>
      <c r="V857" s="38"/>
      <c r="W857" s="38"/>
      <c r="X857" s="167"/>
      <c r="Y857" s="279"/>
      <c r="Z857" s="3"/>
      <c r="AA857" s="3"/>
      <c r="AB857" s="3"/>
      <c r="AC857" s="3"/>
      <c r="AD857" s="3"/>
      <c r="AE857" s="3"/>
    </row>
    <row r="858" spans="1:31" ht="15.75" customHeight="1" x14ac:dyDescent="0.25">
      <c r="A858" s="6" t="s">
        <v>68</v>
      </c>
      <c r="B858" s="32" t="s">
        <v>72</v>
      </c>
      <c r="C858" s="13" t="s">
        <v>402</v>
      </c>
      <c r="D858" s="15"/>
      <c r="E858" s="15"/>
      <c r="F858" s="15"/>
      <c r="G858" s="61">
        <f t="shared" si="367"/>
        <v>0</v>
      </c>
      <c r="H858" s="15"/>
      <c r="I858" s="30"/>
      <c r="J858" s="14"/>
      <c r="K858" s="30"/>
      <c r="L858" s="14">
        <f t="shared" si="368"/>
        <v>0</v>
      </c>
      <c r="M858" s="62">
        <f t="shared" si="369"/>
        <v>0</v>
      </c>
      <c r="N858" s="14"/>
      <c r="O858" s="38"/>
      <c r="P858" s="15"/>
      <c r="Q858" s="241"/>
      <c r="R858" s="38"/>
      <c r="S858" s="38"/>
      <c r="T858" s="38"/>
      <c r="U858" s="38"/>
      <c r="V858" s="38"/>
      <c r="W858" s="38"/>
      <c r="X858" s="167"/>
      <c r="Y858" s="279"/>
      <c r="Z858" s="3"/>
      <c r="AA858" s="3"/>
      <c r="AB858" s="3"/>
      <c r="AC858" s="3"/>
      <c r="AD858" s="3"/>
      <c r="AE858" s="3"/>
    </row>
    <row r="859" spans="1:31" ht="15.75" customHeight="1" x14ac:dyDescent="0.25">
      <c r="A859" s="6" t="s">
        <v>68</v>
      </c>
      <c r="B859" s="32" t="s">
        <v>72</v>
      </c>
      <c r="C859" s="13" t="s">
        <v>859</v>
      </c>
      <c r="D859" s="15"/>
      <c r="E859" s="15"/>
      <c r="F859" s="15"/>
      <c r="G859" s="61">
        <f t="shared" si="367"/>
        <v>0</v>
      </c>
      <c r="H859" s="15"/>
      <c r="I859" s="30"/>
      <c r="J859" s="14"/>
      <c r="K859" s="30"/>
      <c r="L859" s="14">
        <f t="shared" si="368"/>
        <v>0</v>
      </c>
      <c r="M859" s="62">
        <f t="shared" si="369"/>
        <v>0</v>
      </c>
      <c r="N859" s="15"/>
      <c r="O859" s="38"/>
      <c r="P859" s="15"/>
      <c r="Q859" s="241"/>
      <c r="R859" s="38"/>
      <c r="S859" s="38"/>
      <c r="T859" s="38"/>
      <c r="U859" s="38"/>
      <c r="V859" s="38"/>
      <c r="W859" s="38"/>
      <c r="X859" s="167"/>
    </row>
    <row r="860" spans="1:31" ht="15.75" customHeight="1" x14ac:dyDescent="0.25">
      <c r="A860" s="6" t="s">
        <v>68</v>
      </c>
      <c r="B860" s="32" t="s">
        <v>72</v>
      </c>
      <c r="C860" s="17" t="s">
        <v>933</v>
      </c>
      <c r="D860" s="19"/>
      <c r="E860" s="19"/>
      <c r="F860" s="19"/>
      <c r="G860" s="61">
        <f t="shared" si="367"/>
        <v>0</v>
      </c>
      <c r="H860" s="15"/>
      <c r="I860" s="20"/>
      <c r="J860" s="18"/>
      <c r="K860" s="20"/>
      <c r="L860" s="14">
        <f t="shared" si="368"/>
        <v>0</v>
      </c>
      <c r="M860" s="62">
        <f t="shared" si="369"/>
        <v>0</v>
      </c>
      <c r="N860" s="19"/>
      <c r="O860" s="168"/>
      <c r="P860" s="19"/>
      <c r="Q860" s="242"/>
      <c r="R860" s="168"/>
      <c r="S860" s="168"/>
      <c r="T860" s="168"/>
      <c r="U860" s="168"/>
      <c r="V860" s="168"/>
      <c r="W860" s="168"/>
      <c r="X860" s="169"/>
      <c r="Y860" s="280"/>
      <c r="Z860" s="16"/>
      <c r="AA860" s="16"/>
      <c r="AB860" s="16"/>
      <c r="AC860" s="16"/>
      <c r="AD860" s="16"/>
      <c r="AE860" s="16"/>
    </row>
    <row r="861" spans="1:31" ht="15.75" customHeight="1" x14ac:dyDescent="0.25">
      <c r="A861" s="109"/>
      <c r="B861" s="3"/>
      <c r="C861" s="31" t="s">
        <v>231</v>
      </c>
      <c r="D861" s="14"/>
      <c r="E861" s="14"/>
      <c r="F861" s="14"/>
      <c r="G861" s="61">
        <f>SUM(D861:F861)</f>
        <v>0</v>
      </c>
      <c r="H861" s="15"/>
      <c r="I861" s="14"/>
      <c r="J861" s="14"/>
      <c r="K861" s="14"/>
      <c r="L861" s="14">
        <f>SUM(I861:K861)</f>
        <v>0</v>
      </c>
      <c r="M861" s="62">
        <f>(L861-G861)</f>
        <v>0</v>
      </c>
      <c r="N861" s="14"/>
      <c r="O861" s="38"/>
      <c r="P861" s="15"/>
      <c r="Q861" s="241"/>
      <c r="R861" s="38"/>
      <c r="S861" s="38"/>
      <c r="T861" s="38"/>
      <c r="U861" s="38"/>
      <c r="V861" s="38"/>
      <c r="W861" s="38"/>
      <c r="X861" s="167"/>
      <c r="Y861" s="280"/>
      <c r="Z861" s="16"/>
      <c r="AA861" s="16"/>
      <c r="AB861" s="16"/>
      <c r="AC861" s="16"/>
      <c r="AD861" s="16"/>
      <c r="AE861" s="16"/>
    </row>
    <row r="862" spans="1:31" ht="15.75" customHeight="1" x14ac:dyDescent="0.25">
      <c r="A862" s="109"/>
      <c r="B862" s="3"/>
      <c r="C862" s="13" t="s">
        <v>934</v>
      </c>
      <c r="D862" s="14"/>
      <c r="E862" s="14"/>
      <c r="F862" s="14"/>
      <c r="G862" s="61">
        <f>SUM(D862:F862)</f>
        <v>0</v>
      </c>
      <c r="H862" s="15"/>
      <c r="I862" s="14"/>
      <c r="J862" s="14"/>
      <c r="K862" s="14"/>
      <c r="L862" s="14">
        <f>SUM(I862:K862)</f>
        <v>0</v>
      </c>
      <c r="M862" s="62">
        <f>(L862-G862)</f>
        <v>0</v>
      </c>
      <c r="N862" s="14"/>
      <c r="O862" s="38"/>
      <c r="P862" s="15"/>
      <c r="Q862" s="241">
        <v>1000</v>
      </c>
      <c r="R862" s="38"/>
      <c r="S862" s="38"/>
      <c r="T862" s="38"/>
      <c r="U862" s="38"/>
      <c r="V862" s="38"/>
      <c r="W862" s="38"/>
      <c r="X862" s="167"/>
      <c r="Y862" s="280"/>
      <c r="Z862" s="16"/>
      <c r="AA862" s="16"/>
      <c r="AB862" s="16"/>
      <c r="AC862" s="16"/>
      <c r="AD862" s="16"/>
      <c r="AE862" s="16"/>
    </row>
    <row r="863" spans="1:31" ht="15.75" customHeight="1" x14ac:dyDescent="0.25">
      <c r="A863" s="109"/>
      <c r="B863" s="3"/>
      <c r="C863" s="13" t="s">
        <v>505</v>
      </c>
      <c r="D863" s="14"/>
      <c r="E863" s="14"/>
      <c r="F863" s="14"/>
      <c r="G863" s="61">
        <f>SUM(D863:F863)</f>
        <v>0</v>
      </c>
      <c r="H863" s="15"/>
      <c r="I863" s="14"/>
      <c r="J863" s="14"/>
      <c r="K863" s="14"/>
      <c r="L863" s="14">
        <f>SUM(I863:K863)</f>
        <v>0</v>
      </c>
      <c r="M863" s="62">
        <f>(L863-G863)</f>
        <v>0</v>
      </c>
      <c r="N863" s="14"/>
      <c r="O863" s="38"/>
      <c r="P863" s="15"/>
      <c r="Q863" s="241">
        <v>800</v>
      </c>
      <c r="R863" s="38"/>
      <c r="S863" s="38"/>
      <c r="T863" s="38"/>
      <c r="U863" s="38"/>
      <c r="V863" s="38"/>
      <c r="W863" s="38"/>
      <c r="X863" s="167"/>
      <c r="Y863" s="280"/>
      <c r="Z863" s="16"/>
      <c r="AA863" s="16"/>
      <c r="AB863" s="16"/>
      <c r="AC863" s="16"/>
      <c r="AD863" s="16"/>
      <c r="AE863" s="16"/>
    </row>
    <row r="864" spans="1:31" ht="15.75" customHeight="1" x14ac:dyDescent="0.25">
      <c r="A864" s="109"/>
      <c r="B864" s="3"/>
      <c r="C864" s="13" t="s">
        <v>935</v>
      </c>
      <c r="D864" s="14"/>
      <c r="E864" s="14"/>
      <c r="F864" s="14"/>
      <c r="G864" s="61">
        <f>SUM(D864:F864)</f>
        <v>0</v>
      </c>
      <c r="H864" s="15"/>
      <c r="I864" s="14"/>
      <c r="J864" s="14"/>
      <c r="K864" s="14"/>
      <c r="L864" s="14">
        <f>SUM(I864:K864)</f>
        <v>0</v>
      </c>
      <c r="M864" s="62">
        <f>(L864-G864)</f>
        <v>0</v>
      </c>
      <c r="N864" s="14"/>
      <c r="O864" s="38"/>
      <c r="P864" s="15">
        <v>500</v>
      </c>
      <c r="Q864" s="241"/>
      <c r="R864" s="38"/>
      <c r="S864" s="38"/>
      <c r="T864" s="38"/>
      <c r="U864" s="38"/>
      <c r="V864" s="38"/>
      <c r="W864" s="38"/>
      <c r="X864" s="167"/>
      <c r="Y864" s="280"/>
      <c r="Z864" s="16"/>
      <c r="AA864" s="16"/>
      <c r="AB864" s="16"/>
      <c r="AC864" s="16"/>
      <c r="AD864" s="16"/>
      <c r="AE864" s="16"/>
    </row>
    <row r="865" spans="1:31" ht="15.75" customHeight="1" x14ac:dyDescent="0.25">
      <c r="A865" s="16"/>
      <c r="B865" s="16"/>
      <c r="C865" s="40" t="s">
        <v>188</v>
      </c>
      <c r="D865" s="96">
        <f>SUM(D852:D860)</f>
        <v>191726</v>
      </c>
      <c r="E865" s="96">
        <f>SUM(E852:E860)</f>
        <v>37817</v>
      </c>
      <c r="F865" s="96">
        <f>SUM(F852:F860)</f>
        <v>700</v>
      </c>
      <c r="G865" s="27">
        <f t="shared" si="367"/>
        <v>230243</v>
      </c>
      <c r="H865" s="96">
        <f>SUM(H852:H864)</f>
        <v>-935</v>
      </c>
      <c r="I865" s="96">
        <f>SUM(I852:I864)</f>
        <v>218021</v>
      </c>
      <c r="J865" s="96">
        <f>SUM(J852:J864)</f>
        <v>48110</v>
      </c>
      <c r="K865" s="96">
        <f>SUM(K852:K864)</f>
        <v>0</v>
      </c>
      <c r="L865" s="89">
        <f t="shared" si="368"/>
        <v>266131</v>
      </c>
      <c r="M865" s="28">
        <f t="shared" si="369"/>
        <v>35888</v>
      </c>
      <c r="N865" s="96">
        <f t="shared" ref="N865:X865" si="374">SUM(N852:N864)</f>
        <v>27830</v>
      </c>
      <c r="O865" s="96">
        <f t="shared" si="374"/>
        <v>0</v>
      </c>
      <c r="P865" s="96">
        <f t="shared" si="374"/>
        <v>500</v>
      </c>
      <c r="Q865" s="260">
        <f t="shared" si="374"/>
        <v>1800</v>
      </c>
      <c r="R865" s="96">
        <f t="shared" si="374"/>
        <v>0</v>
      </c>
      <c r="S865" s="96">
        <f t="shared" si="374"/>
        <v>0</v>
      </c>
      <c r="T865" s="96">
        <f t="shared" si="374"/>
        <v>0</v>
      </c>
      <c r="U865" s="96">
        <f t="shared" si="374"/>
        <v>0</v>
      </c>
      <c r="V865" s="96">
        <f t="shared" si="374"/>
        <v>0</v>
      </c>
      <c r="W865" s="96">
        <f t="shared" si="374"/>
        <v>0</v>
      </c>
      <c r="X865" s="96">
        <f t="shared" si="374"/>
        <v>0</v>
      </c>
      <c r="Y865" s="280"/>
      <c r="Z865" s="16"/>
      <c r="AA865" s="16"/>
      <c r="AB865" s="16"/>
      <c r="AC865" s="16"/>
      <c r="AD865" s="16"/>
      <c r="AE865" s="16"/>
    </row>
    <row r="866" spans="1:31" ht="15.75" customHeight="1" x14ac:dyDescent="0.25">
      <c r="A866" s="16"/>
      <c r="B866" s="16"/>
      <c r="C866" s="58" t="s">
        <v>936</v>
      </c>
      <c r="D866" s="18">
        <f>(D865+D851+D837+D825+D808+D800+D784+D777+D761+D761+D761+D761+D746+D725+D696)</f>
        <v>2455957</v>
      </c>
      <c r="E866" s="18">
        <f>(E865+E851+E837+E825+E808+E800+E784+E777+E761+E761+E761+E761+E746+E725+E696)</f>
        <v>526081</v>
      </c>
      <c r="F866" s="18">
        <f>(F865+F851+F837+F825+F808+F800+F784+F777+F761+F761+F761+F761+F746+F725+F696)</f>
        <v>20150</v>
      </c>
      <c r="G866" s="18">
        <f>(G865+G851+G837+G825+G808+G800+G784+G777+G761+G761+G761+G761+G746+G725+G696)</f>
        <v>3002188</v>
      </c>
      <c r="H866" s="18">
        <f>H865+H851+H837+H825+H808+H800+H784+H777+H761+H746+H725+H696</f>
        <v>108425</v>
      </c>
      <c r="I866" s="18">
        <f>I865+I851+I837+I825+I808+I800+I784+I777+I761+I746+I725+I696</f>
        <v>2347978</v>
      </c>
      <c r="J866" s="18">
        <f>J865+J851+J837+J825+J808+J800+J784+J777+J761+J746+J725+J696</f>
        <v>611172</v>
      </c>
      <c r="K866" s="18">
        <f>K865+K851+K837+K825+K808+K800+K784+K777+K761+K746+K725+K696</f>
        <v>161</v>
      </c>
      <c r="L866" s="74">
        <f t="shared" si="368"/>
        <v>2959311</v>
      </c>
      <c r="M866" s="60">
        <f t="shared" si="369"/>
        <v>-42877</v>
      </c>
      <c r="N866" s="18">
        <f>N865+N851+N837+N825+N808+N800+N784+N777+N761+N746+N725+N696</f>
        <v>455541</v>
      </c>
      <c r="O866" s="168">
        <f>(O865+O851+O837+O825+O808+O800+O784+O777+O761+O761+O761+O761+O746+O725+O696)</f>
        <v>11903</v>
      </c>
      <c r="P866" s="19">
        <f>(P865+P851+P837+P825+P808+P800+P784+P777+P761+P761+P761+P761+P746+P725+P696)</f>
        <v>171063.6</v>
      </c>
      <c r="Q866" s="242">
        <f>(Q865+Q851+Q837+Q825+Q808+Q800+Q784+Q777+Q761+Q761+Q761+Q761+Q746+Q725+Q696)</f>
        <v>12800</v>
      </c>
      <c r="R866" s="168"/>
      <c r="S866" s="168"/>
      <c r="T866" s="168"/>
      <c r="U866" s="168"/>
      <c r="V866" s="168"/>
      <c r="W866" s="168"/>
      <c r="X866" s="168"/>
      <c r="Y866" s="280"/>
      <c r="Z866" s="16"/>
      <c r="AA866" s="16"/>
      <c r="AB866" s="16"/>
      <c r="AC866" s="16"/>
      <c r="AD866" s="16"/>
      <c r="AE866" s="16"/>
    </row>
    <row r="867" spans="1:31" ht="15.75" customHeight="1" x14ac:dyDescent="0.25">
      <c r="D867" s="14"/>
      <c r="E867" s="14"/>
      <c r="F867" s="14"/>
      <c r="G867" s="61"/>
      <c r="H867" s="15"/>
      <c r="I867" s="14"/>
      <c r="J867" s="14"/>
      <c r="K867" s="14"/>
      <c r="L867" s="98"/>
      <c r="M867" s="39"/>
      <c r="N867" s="14"/>
      <c r="O867" s="38"/>
      <c r="P867" s="15"/>
      <c r="Q867" s="241"/>
      <c r="R867" s="38"/>
      <c r="S867" s="38"/>
      <c r="T867" s="38"/>
      <c r="U867" s="38"/>
      <c r="V867" s="38"/>
      <c r="W867" s="38"/>
      <c r="X867" s="38"/>
    </row>
    <row r="868" spans="1:31" ht="15.75" customHeight="1" x14ac:dyDescent="0.25">
      <c r="A868" s="3" t="s">
        <v>160</v>
      </c>
      <c r="B868" s="32" t="s">
        <v>162</v>
      </c>
      <c r="C868" s="32" t="s">
        <v>162</v>
      </c>
      <c r="D868" s="74">
        <v>265303</v>
      </c>
      <c r="E868" s="74">
        <v>98359</v>
      </c>
      <c r="F868" s="74">
        <v>13400</v>
      </c>
      <c r="G868" s="59">
        <f t="shared" ref="G868:G876" si="375">SUM(D868:F868)</f>
        <v>377062</v>
      </c>
      <c r="H868" s="90">
        <v>14326</v>
      </c>
      <c r="I868" s="112">
        <v>304151</v>
      </c>
      <c r="J868" s="112">
        <v>163394</v>
      </c>
      <c r="K868" s="112">
        <v>500</v>
      </c>
      <c r="L868" s="14">
        <f t="shared" ref="L868:L876" si="376">SUM(I868:K868)</f>
        <v>468045</v>
      </c>
      <c r="M868" s="62">
        <f t="shared" ref="M868:M876" si="377">(L868-G868)</f>
        <v>90983</v>
      </c>
      <c r="N868" s="112"/>
      <c r="O868" s="102"/>
      <c r="P868" s="90"/>
      <c r="Q868" s="247"/>
      <c r="R868" s="102"/>
      <c r="S868" s="102"/>
      <c r="T868" s="102"/>
      <c r="U868" s="102"/>
      <c r="V868" s="102"/>
      <c r="W868" s="102"/>
      <c r="X868" s="179"/>
      <c r="Y868" s="279"/>
      <c r="Z868" s="3"/>
      <c r="AA868" s="3"/>
      <c r="AB868" s="3"/>
      <c r="AC868" s="3"/>
      <c r="AD868" s="3"/>
      <c r="AE868" s="3"/>
    </row>
    <row r="869" spans="1:31" ht="15.75" customHeight="1" x14ac:dyDescent="0.25">
      <c r="A869" s="3" t="str">
        <f>A868</f>
        <v>skolas</v>
      </c>
      <c r="B869" s="32" t="s">
        <v>162</v>
      </c>
      <c r="C869" s="13" t="s">
        <v>414</v>
      </c>
      <c r="D869" s="14"/>
      <c r="E869" s="14">
        <v>61462</v>
      </c>
      <c r="F869" s="14"/>
      <c r="G869" s="61">
        <f t="shared" si="375"/>
        <v>61462</v>
      </c>
      <c r="H869" s="15"/>
      <c r="I869" s="45"/>
      <c r="J869" s="45">
        <v>66312</v>
      </c>
      <c r="K869" s="45"/>
      <c r="L869" s="14">
        <f t="shared" si="376"/>
        <v>66312</v>
      </c>
      <c r="M869" s="62">
        <f t="shared" si="377"/>
        <v>4850</v>
      </c>
      <c r="N869" s="45">
        <v>26503</v>
      </c>
      <c r="O869" s="38"/>
      <c r="P869" s="15"/>
      <c r="Q869" s="241"/>
      <c r="R869" s="38"/>
      <c r="S869" s="38"/>
      <c r="T869" s="38"/>
      <c r="U869" s="38"/>
      <c r="V869" s="38"/>
      <c r="W869" s="38"/>
      <c r="X869" s="167"/>
      <c r="Y869" s="279"/>
      <c r="Z869" s="3"/>
      <c r="AA869" s="3"/>
      <c r="AB869" s="3"/>
      <c r="AC869" s="3"/>
      <c r="AD869" s="3"/>
      <c r="AE869" s="3"/>
    </row>
    <row r="870" spans="1:31" ht="15.75" customHeight="1" x14ac:dyDescent="0.25">
      <c r="A870" s="3" t="str">
        <f t="shared" ref="A870:A887" si="378">A869</f>
        <v>skolas</v>
      </c>
      <c r="B870" s="32" t="s">
        <v>162</v>
      </c>
      <c r="C870" s="13" t="s">
        <v>400</v>
      </c>
      <c r="D870" s="14">
        <v>24620</v>
      </c>
      <c r="E870" s="14"/>
      <c r="F870" s="14"/>
      <c r="G870" s="61">
        <f t="shared" si="375"/>
        <v>24620</v>
      </c>
      <c r="H870" s="15"/>
      <c r="I870" s="45">
        <v>26696</v>
      </c>
      <c r="J870" s="45"/>
      <c r="K870" s="45"/>
      <c r="L870" s="14">
        <f t="shared" si="376"/>
        <v>26696</v>
      </c>
      <c r="M870" s="62">
        <f t="shared" si="377"/>
        <v>2076</v>
      </c>
      <c r="N870" s="45"/>
      <c r="O870" s="38"/>
      <c r="P870" s="45"/>
      <c r="Q870" s="241"/>
      <c r="R870" s="38"/>
      <c r="S870" s="38"/>
      <c r="T870" s="38"/>
      <c r="U870" s="38"/>
      <c r="V870" s="38"/>
      <c r="W870" s="38"/>
      <c r="X870" s="167"/>
      <c r="Y870" s="279"/>
      <c r="Z870" s="3"/>
      <c r="AA870" s="3"/>
      <c r="AB870" s="3"/>
      <c r="AC870" s="3"/>
      <c r="AD870" s="3"/>
      <c r="AE870" s="3"/>
    </row>
    <row r="871" spans="1:31" ht="15.75" customHeight="1" x14ac:dyDescent="0.25">
      <c r="A871" s="3" t="str">
        <f t="shared" si="378"/>
        <v>skolas</v>
      </c>
      <c r="B871" s="32" t="s">
        <v>162</v>
      </c>
      <c r="C871" s="13" t="s">
        <v>401</v>
      </c>
      <c r="D871" s="14"/>
      <c r="E871" s="14"/>
      <c r="F871" s="14"/>
      <c r="G871" s="61">
        <f t="shared" si="375"/>
        <v>0</v>
      </c>
      <c r="H871" s="15"/>
      <c r="I871" s="45"/>
      <c r="J871" s="45"/>
      <c r="K871" s="45"/>
      <c r="L871" s="14">
        <f t="shared" si="376"/>
        <v>0</v>
      </c>
      <c r="M871" s="62">
        <f t="shared" si="377"/>
        <v>0</v>
      </c>
      <c r="N871" s="45">
        <v>736615</v>
      </c>
      <c r="O871" s="38"/>
      <c r="P871" s="15"/>
      <c r="Q871" s="241"/>
      <c r="R871" s="38"/>
      <c r="S871" s="38"/>
      <c r="T871" s="38"/>
      <c r="U871" s="38"/>
      <c r="V871" s="38"/>
      <c r="W871" s="38"/>
      <c r="X871" s="167"/>
      <c r="Y871" s="279"/>
      <c r="Z871" s="3"/>
      <c r="AA871" s="3"/>
      <c r="AB871" s="3"/>
      <c r="AC871" s="3"/>
      <c r="AD871" s="3"/>
      <c r="AE871" s="3"/>
    </row>
    <row r="872" spans="1:31" ht="15.75" customHeight="1" x14ac:dyDescent="0.25">
      <c r="A872" s="3" t="str">
        <f t="shared" si="378"/>
        <v>skolas</v>
      </c>
      <c r="B872" s="32" t="s">
        <v>162</v>
      </c>
      <c r="C872" s="13" t="s">
        <v>402</v>
      </c>
      <c r="D872" s="14"/>
      <c r="E872" s="14"/>
      <c r="F872" s="14"/>
      <c r="G872" s="61">
        <f t="shared" si="375"/>
        <v>0</v>
      </c>
      <c r="H872" s="15"/>
      <c r="I872" s="45"/>
      <c r="J872" s="45"/>
      <c r="K872" s="45"/>
      <c r="L872" s="14">
        <f t="shared" si="376"/>
        <v>0</v>
      </c>
      <c r="M872" s="62">
        <f t="shared" si="377"/>
        <v>0</v>
      </c>
      <c r="N872" s="45"/>
      <c r="O872" s="38"/>
      <c r="P872" s="15"/>
      <c r="Q872" s="241"/>
      <c r="R872" s="38"/>
      <c r="S872" s="38"/>
      <c r="T872" s="38"/>
      <c r="U872" s="38"/>
      <c r="V872" s="38"/>
      <c r="W872" s="38"/>
      <c r="X872" s="167"/>
      <c r="Y872" s="279"/>
      <c r="Z872" s="3"/>
      <c r="AA872" s="3"/>
      <c r="AB872" s="3"/>
      <c r="AC872" s="3"/>
      <c r="AD872" s="3"/>
      <c r="AE872" s="3"/>
    </row>
    <row r="873" spans="1:31" ht="15.75" customHeight="1" x14ac:dyDescent="0.25">
      <c r="A873" s="3" t="str">
        <f t="shared" si="378"/>
        <v>skolas</v>
      </c>
      <c r="B873" s="32" t="s">
        <v>162</v>
      </c>
      <c r="C873" s="13" t="s">
        <v>426</v>
      </c>
      <c r="D873" s="14"/>
      <c r="E873" s="14"/>
      <c r="F873" s="14"/>
      <c r="G873" s="61">
        <f t="shared" si="375"/>
        <v>0</v>
      </c>
      <c r="H873" s="15"/>
      <c r="I873" s="45"/>
      <c r="J873" s="45"/>
      <c r="K873" s="45"/>
      <c r="L873" s="14">
        <f t="shared" si="376"/>
        <v>0</v>
      </c>
      <c r="M873" s="62">
        <f t="shared" si="377"/>
        <v>0</v>
      </c>
      <c r="N873" s="45"/>
      <c r="O873" s="38"/>
      <c r="P873" s="15"/>
      <c r="Q873" s="241"/>
      <c r="R873" s="38"/>
      <c r="S873" s="38"/>
      <c r="T873" s="38"/>
      <c r="U873" s="38"/>
      <c r="V873" s="38"/>
      <c r="W873" s="38"/>
      <c r="X873" s="167"/>
      <c r="Y873" s="279"/>
      <c r="Z873" s="3"/>
      <c r="AA873" s="3"/>
      <c r="AB873" s="3"/>
      <c r="AC873" s="3"/>
      <c r="AD873" s="3"/>
      <c r="AE873" s="3"/>
    </row>
    <row r="874" spans="1:31" ht="15.75" customHeight="1" x14ac:dyDescent="0.25">
      <c r="A874" s="3" t="str">
        <f t="shared" si="378"/>
        <v>skolas</v>
      </c>
      <c r="B874" s="32" t="s">
        <v>162</v>
      </c>
      <c r="C874" s="13" t="s">
        <v>427</v>
      </c>
      <c r="D874" s="14"/>
      <c r="E874" s="14">
        <v>5500</v>
      </c>
      <c r="F874" s="14"/>
      <c r="G874" s="61">
        <f t="shared" si="375"/>
        <v>5500</v>
      </c>
      <c r="H874" s="15"/>
      <c r="I874" s="45"/>
      <c r="J874" s="45">
        <v>3320</v>
      </c>
      <c r="K874" s="45"/>
      <c r="L874" s="14">
        <f t="shared" si="376"/>
        <v>3320</v>
      </c>
      <c r="M874" s="62">
        <f t="shared" si="377"/>
        <v>-2180</v>
      </c>
      <c r="N874" s="45"/>
      <c r="O874" s="38"/>
      <c r="P874" s="15"/>
      <c r="Q874" s="241"/>
      <c r="R874" s="38"/>
      <c r="S874" s="38"/>
      <c r="T874" s="38"/>
      <c r="U874" s="38"/>
      <c r="V874" s="38"/>
      <c r="W874" s="38"/>
      <c r="X874" s="167"/>
      <c r="Y874" s="279"/>
      <c r="Z874" s="3"/>
      <c r="AA874" s="3"/>
      <c r="AB874" s="3"/>
      <c r="AC874" s="3"/>
      <c r="AD874" s="3"/>
      <c r="AE874" s="3"/>
    </row>
    <row r="875" spans="1:31" ht="15.75" customHeight="1" x14ac:dyDescent="0.25">
      <c r="A875" s="3" t="e">
        <f>#REF!</f>
        <v>#REF!</v>
      </c>
      <c r="B875" s="32" t="s">
        <v>162</v>
      </c>
      <c r="C875" s="13" t="s">
        <v>937</v>
      </c>
      <c r="D875" s="14"/>
      <c r="E875" s="14"/>
      <c r="F875" s="14"/>
      <c r="G875" s="61">
        <f t="shared" si="375"/>
        <v>0</v>
      </c>
      <c r="H875" s="15"/>
      <c r="I875" s="45"/>
      <c r="J875" s="45"/>
      <c r="K875" s="45"/>
      <c r="L875" s="14">
        <f t="shared" si="376"/>
        <v>0</v>
      </c>
      <c r="M875" s="62">
        <f t="shared" si="377"/>
        <v>0</v>
      </c>
      <c r="N875" s="45"/>
      <c r="O875" s="38"/>
      <c r="P875" s="15"/>
      <c r="Q875" s="241"/>
      <c r="R875" s="38"/>
      <c r="S875" s="38"/>
      <c r="T875" s="38"/>
      <c r="U875" s="168">
        <f>SUM(V875:X875)</f>
        <v>0</v>
      </c>
      <c r="V875" s="38"/>
      <c r="W875" s="38"/>
      <c r="X875" s="167"/>
    </row>
    <row r="876" spans="1:31" ht="15.75" customHeight="1" x14ac:dyDescent="0.25">
      <c r="A876" s="3" t="e">
        <f t="shared" si="378"/>
        <v>#REF!</v>
      </c>
      <c r="B876" s="32" t="s">
        <v>162</v>
      </c>
      <c r="C876" s="13" t="s">
        <v>938</v>
      </c>
      <c r="D876" s="14"/>
      <c r="E876" s="14"/>
      <c r="F876" s="14"/>
      <c r="G876" s="61">
        <f t="shared" si="375"/>
        <v>0</v>
      </c>
      <c r="H876" s="15"/>
      <c r="I876" s="45"/>
      <c r="J876" s="45"/>
      <c r="K876" s="45"/>
      <c r="L876" s="14">
        <f t="shared" si="376"/>
        <v>0</v>
      </c>
      <c r="M876" s="62">
        <f t="shared" si="377"/>
        <v>0</v>
      </c>
      <c r="N876" s="45"/>
      <c r="O876" s="38"/>
      <c r="P876" s="15"/>
      <c r="Q876" s="241"/>
      <c r="R876" s="38"/>
      <c r="S876" s="38"/>
      <c r="T876" s="38"/>
      <c r="U876" s="168">
        <f>SUM(V876:X876)</f>
        <v>0</v>
      </c>
      <c r="V876" s="38"/>
      <c r="W876" s="38"/>
      <c r="X876" s="167"/>
    </row>
    <row r="877" spans="1:31" ht="15.75" customHeight="1" x14ac:dyDescent="0.25">
      <c r="A877" s="3" t="e">
        <f t="shared" si="378"/>
        <v>#REF!</v>
      </c>
      <c r="B877" s="32" t="s">
        <v>162</v>
      </c>
      <c r="C877" s="17" t="s">
        <v>939</v>
      </c>
      <c r="D877" s="18"/>
      <c r="E877" s="18"/>
      <c r="F877" s="18"/>
      <c r="G877" s="61">
        <f t="shared" ref="G877:G878" si="379">SUM(D877:F877)</f>
        <v>0</v>
      </c>
      <c r="H877" s="15"/>
      <c r="I877" s="110"/>
      <c r="J877" s="110"/>
      <c r="K877" s="110"/>
      <c r="L877" s="14">
        <f t="shared" ref="L877:L878" si="380">SUM(I877:K877)</f>
        <v>0</v>
      </c>
      <c r="M877" s="62">
        <f t="shared" ref="M877:M878" si="381">L877-G877</f>
        <v>0</v>
      </c>
      <c r="N877" s="110"/>
      <c r="O877" s="168"/>
      <c r="P877" s="19"/>
      <c r="Q877" s="242"/>
      <c r="R877" s="168"/>
      <c r="S877" s="168"/>
      <c r="T877" s="168"/>
      <c r="U877" s="168">
        <f>SUM(V877:X877)</f>
        <v>0</v>
      </c>
      <c r="V877" s="168"/>
      <c r="W877" s="168"/>
      <c r="X877" s="169"/>
      <c r="Y877" s="280"/>
      <c r="Z877" s="16"/>
      <c r="AA877" s="16"/>
      <c r="AB877" s="16"/>
      <c r="AC877" s="16"/>
      <c r="AD877" s="16"/>
      <c r="AE877" s="16"/>
    </row>
    <row r="878" spans="1:31" ht="15.75" customHeight="1" x14ac:dyDescent="0.25">
      <c r="A878" s="3" t="e">
        <f t="shared" si="378"/>
        <v>#REF!</v>
      </c>
      <c r="B878" s="32" t="s">
        <v>162</v>
      </c>
      <c r="C878" s="17" t="s">
        <v>940</v>
      </c>
      <c r="D878" s="18"/>
      <c r="E878" s="18"/>
      <c r="F878" s="18"/>
      <c r="G878" s="61">
        <f t="shared" si="379"/>
        <v>0</v>
      </c>
      <c r="H878" s="15"/>
      <c r="I878" s="110"/>
      <c r="J878" s="110"/>
      <c r="K878" s="110"/>
      <c r="L878" s="14">
        <f t="shared" si="380"/>
        <v>0</v>
      </c>
      <c r="M878" s="62">
        <f t="shared" si="381"/>
        <v>0</v>
      </c>
      <c r="N878" s="110"/>
      <c r="O878" s="168"/>
      <c r="P878" s="19"/>
      <c r="Q878" s="242"/>
      <c r="R878" s="168"/>
      <c r="S878" s="168"/>
      <c r="T878" s="168"/>
      <c r="U878" s="168">
        <f>SUM(V878:X878)</f>
        <v>0</v>
      </c>
      <c r="V878" s="168"/>
      <c r="W878" s="168"/>
      <c r="X878" s="169"/>
      <c r="Y878" s="280" t="s">
        <v>941</v>
      </c>
      <c r="Z878" s="16"/>
      <c r="AA878" s="16"/>
      <c r="AB878" s="16"/>
      <c r="AC878" s="16"/>
      <c r="AD878" s="16"/>
      <c r="AE878" s="16"/>
    </row>
    <row r="879" spans="1:31" ht="15.75" customHeight="1" x14ac:dyDescent="0.25">
      <c r="A879" s="3" t="e">
        <f t="shared" si="378"/>
        <v>#REF!</v>
      </c>
      <c r="B879" s="32" t="s">
        <v>162</v>
      </c>
      <c r="C879" s="17" t="s">
        <v>942</v>
      </c>
      <c r="D879" s="18"/>
      <c r="E879" s="18"/>
      <c r="F879" s="18"/>
      <c r="G879" s="61">
        <f t="shared" ref="G879:G910" si="382">SUM(D879:F879)</f>
        <v>0</v>
      </c>
      <c r="H879" s="15"/>
      <c r="I879" s="110"/>
      <c r="J879" s="110"/>
      <c r="K879" s="110"/>
      <c r="L879" s="14">
        <f t="shared" ref="L879:L910" si="383">SUM(I879:K879)</f>
        <v>0</v>
      </c>
      <c r="M879" s="62">
        <f t="shared" ref="M879:M910" si="384">(L879-G879)</f>
        <v>0</v>
      </c>
      <c r="N879" s="110"/>
      <c r="O879" s="168"/>
      <c r="P879" s="19"/>
      <c r="Q879" s="242"/>
      <c r="R879" s="168"/>
      <c r="S879" s="168"/>
      <c r="T879" s="168"/>
      <c r="U879" s="168">
        <f>SUM(V879:X879)</f>
        <v>9164</v>
      </c>
      <c r="V879" s="168"/>
      <c r="W879" s="168">
        <v>9164</v>
      </c>
      <c r="X879" s="169"/>
      <c r="Y879" s="280"/>
      <c r="Z879" s="16"/>
      <c r="AA879" s="16"/>
      <c r="AB879" s="16"/>
      <c r="AC879" s="16"/>
      <c r="AD879" s="16"/>
      <c r="AE879" s="16"/>
    </row>
    <row r="880" spans="1:31" ht="15.75" customHeight="1" x14ac:dyDescent="0.25">
      <c r="A880" s="3"/>
      <c r="B880" s="12"/>
      <c r="C880" s="29" t="s">
        <v>231</v>
      </c>
      <c r="D880" s="14"/>
      <c r="E880" s="14"/>
      <c r="F880" s="14"/>
      <c r="G880" s="61">
        <f>SUM(D880:F880)</f>
        <v>0</v>
      </c>
      <c r="H880" s="15"/>
      <c r="I880" s="45"/>
      <c r="J880" s="45"/>
      <c r="K880" s="45"/>
      <c r="L880" s="14">
        <f>SUM(I880:K880)</f>
        <v>0</v>
      </c>
      <c r="M880" s="62">
        <f>(L880-G880)</f>
        <v>0</v>
      </c>
      <c r="N880" s="45"/>
      <c r="O880" s="38"/>
      <c r="P880" s="15"/>
      <c r="Q880" s="241"/>
      <c r="R880" s="38"/>
      <c r="S880" s="38"/>
      <c r="T880" s="38"/>
      <c r="U880" s="38"/>
      <c r="V880" s="38"/>
      <c r="W880" s="38"/>
      <c r="X880" s="167"/>
      <c r="Y880" s="280"/>
      <c r="Z880" s="16"/>
      <c r="AA880" s="16"/>
      <c r="AB880" s="16"/>
      <c r="AC880" s="16"/>
      <c r="AD880" s="16"/>
      <c r="AE880" s="16"/>
    </row>
    <row r="881" spans="1:31" ht="15.75" customHeight="1" x14ac:dyDescent="0.25">
      <c r="A881" s="3"/>
      <c r="B881" s="12"/>
      <c r="C881" s="13" t="s">
        <v>943</v>
      </c>
      <c r="D881" s="14"/>
      <c r="E881" s="14"/>
      <c r="F881" s="14"/>
      <c r="G881" s="61">
        <f>SUM(D881:F881)</f>
        <v>0</v>
      </c>
      <c r="H881" s="15"/>
      <c r="I881" s="45"/>
      <c r="J881" s="45"/>
      <c r="K881" s="45"/>
      <c r="L881" s="14">
        <f>SUM(I881:K881)</f>
        <v>0</v>
      </c>
      <c r="M881" s="62">
        <f>(L881-G881)</f>
        <v>0</v>
      </c>
      <c r="N881" s="45"/>
      <c r="O881" s="38">
        <v>6500</v>
      </c>
      <c r="P881" s="15"/>
      <c r="Q881" s="241"/>
      <c r="R881" s="38"/>
      <c r="S881" s="38"/>
      <c r="T881" s="38"/>
      <c r="U881" s="38"/>
      <c r="V881" s="38"/>
      <c r="W881" s="38"/>
      <c r="X881" s="167"/>
      <c r="Y881" s="280"/>
      <c r="Z881" s="16"/>
      <c r="AA881" s="16"/>
      <c r="AB881" s="16"/>
      <c r="AC881" s="16"/>
      <c r="AD881" s="16"/>
      <c r="AE881" s="16"/>
    </row>
    <row r="882" spans="1:31" ht="15.75" customHeight="1" x14ac:dyDescent="0.25">
      <c r="A882" s="3"/>
      <c r="B882" s="12"/>
      <c r="C882" s="13" t="s">
        <v>944</v>
      </c>
      <c r="D882" s="14"/>
      <c r="E882" s="14"/>
      <c r="F882" s="14"/>
      <c r="G882" s="61">
        <f>SUM(D882:F882)</f>
        <v>0</v>
      </c>
      <c r="H882" s="15"/>
      <c r="I882" s="45"/>
      <c r="J882" s="45"/>
      <c r="K882" s="45"/>
      <c r="L882" s="14">
        <f>SUM(I882:K882)</f>
        <v>0</v>
      </c>
      <c r="M882" s="62">
        <f>(L882-G882)</f>
        <v>0</v>
      </c>
      <c r="N882" s="45"/>
      <c r="O882" s="38">
        <v>4840</v>
      </c>
      <c r="P882" s="15"/>
      <c r="Q882" s="241"/>
      <c r="R882" s="38"/>
      <c r="S882" s="38"/>
      <c r="T882" s="38"/>
      <c r="U882" s="38"/>
      <c r="V882" s="38"/>
      <c r="W882" s="38"/>
      <c r="X882" s="167"/>
      <c r="Y882" s="280"/>
      <c r="Z882" s="16"/>
      <c r="AA882" s="16"/>
      <c r="AB882" s="16"/>
      <c r="AC882" s="16"/>
      <c r="AD882" s="16"/>
      <c r="AE882" s="16"/>
    </row>
    <row r="883" spans="1:31" ht="15.75" customHeight="1" x14ac:dyDescent="0.25">
      <c r="A883" s="3" t="e">
        <f>A879</f>
        <v>#REF!</v>
      </c>
      <c r="B883" s="32" t="s">
        <v>162</v>
      </c>
      <c r="C883" s="17" t="s">
        <v>945</v>
      </c>
      <c r="D883" s="18"/>
      <c r="E883" s="18"/>
      <c r="F883" s="18"/>
      <c r="G883" s="61">
        <f t="shared" si="382"/>
        <v>0</v>
      </c>
      <c r="H883" s="15"/>
      <c r="I883" s="110"/>
      <c r="J883" s="110"/>
      <c r="K883" s="110"/>
      <c r="L883" s="14">
        <f t="shared" si="383"/>
        <v>0</v>
      </c>
      <c r="M883" s="62">
        <f t="shared" si="384"/>
        <v>0</v>
      </c>
      <c r="N883" s="110"/>
      <c r="O883" s="168"/>
      <c r="P883" s="19"/>
      <c r="Q883" s="242"/>
      <c r="R883" s="168"/>
      <c r="S883" s="168">
        <v>7800</v>
      </c>
      <c r="T883" s="168"/>
      <c r="U883" s="168"/>
      <c r="V883" s="168"/>
      <c r="W883" s="168"/>
      <c r="X883" s="169"/>
      <c r="Y883" s="280"/>
      <c r="Z883" s="16"/>
      <c r="AA883" s="16"/>
      <c r="AB883" s="16"/>
      <c r="AC883" s="16"/>
      <c r="AD883" s="16"/>
      <c r="AE883" s="16"/>
    </row>
    <row r="884" spans="1:31" ht="15.75" customHeight="1" x14ac:dyDescent="0.25">
      <c r="A884" s="3" t="e">
        <f t="shared" si="378"/>
        <v>#REF!</v>
      </c>
      <c r="B884" s="32" t="s">
        <v>162</v>
      </c>
      <c r="C884" s="17" t="s">
        <v>946</v>
      </c>
      <c r="D884" s="18"/>
      <c r="E884" s="18"/>
      <c r="F884" s="18"/>
      <c r="G884" s="61">
        <f t="shared" si="382"/>
        <v>0</v>
      </c>
      <c r="H884" s="15"/>
      <c r="I884" s="110"/>
      <c r="J884" s="110"/>
      <c r="K884" s="110"/>
      <c r="L884" s="14">
        <f t="shared" si="383"/>
        <v>0</v>
      </c>
      <c r="M884" s="62">
        <f t="shared" si="384"/>
        <v>0</v>
      </c>
      <c r="N884" s="110"/>
      <c r="O884" s="168"/>
      <c r="P884" s="19"/>
      <c r="Q884" s="242"/>
      <c r="R884" s="168"/>
      <c r="S884" s="168">
        <v>1830</v>
      </c>
      <c r="T884" s="168"/>
      <c r="U884" s="168"/>
      <c r="V884" s="168"/>
      <c r="W884" s="168"/>
      <c r="X884" s="169"/>
      <c r="Y884" s="280"/>
      <c r="Z884" s="16"/>
      <c r="AA884" s="16"/>
      <c r="AB884" s="16"/>
      <c r="AC884" s="16"/>
      <c r="AD884" s="16"/>
      <c r="AE884" s="16"/>
    </row>
    <row r="885" spans="1:31" ht="15.75" customHeight="1" x14ac:dyDescent="0.25">
      <c r="A885" s="3" t="e">
        <f t="shared" si="378"/>
        <v>#REF!</v>
      </c>
      <c r="B885" s="32" t="s">
        <v>162</v>
      </c>
      <c r="C885" s="17" t="s">
        <v>430</v>
      </c>
      <c r="D885" s="18"/>
      <c r="E885" s="18"/>
      <c r="F885" s="18"/>
      <c r="G885" s="61">
        <f t="shared" si="382"/>
        <v>0</v>
      </c>
      <c r="H885" s="15"/>
      <c r="I885" s="110"/>
      <c r="J885" s="110"/>
      <c r="K885" s="110"/>
      <c r="L885" s="14">
        <f t="shared" si="383"/>
        <v>0</v>
      </c>
      <c r="M885" s="62">
        <f t="shared" si="384"/>
        <v>0</v>
      </c>
      <c r="N885" s="110"/>
      <c r="O885" s="168"/>
      <c r="P885" s="19"/>
      <c r="Q885" s="242"/>
      <c r="R885" s="168"/>
      <c r="S885" s="168"/>
      <c r="T885" s="168"/>
      <c r="U885" s="168"/>
      <c r="V885" s="168"/>
      <c r="W885" s="168"/>
      <c r="X885" s="169"/>
      <c r="Y885" s="280"/>
      <c r="Z885" s="16"/>
      <c r="AA885" s="16"/>
      <c r="AB885" s="16"/>
      <c r="AC885" s="16"/>
      <c r="AD885" s="16"/>
      <c r="AE885" s="16"/>
    </row>
    <row r="886" spans="1:31" ht="15.75" customHeight="1" x14ac:dyDescent="0.25">
      <c r="A886" s="3" t="e">
        <f t="shared" si="378"/>
        <v>#REF!</v>
      </c>
      <c r="B886" s="32" t="s">
        <v>162</v>
      </c>
      <c r="C886" s="17" t="s">
        <v>947</v>
      </c>
      <c r="D886" s="18"/>
      <c r="E886" s="18"/>
      <c r="F886" s="18"/>
      <c r="G886" s="61">
        <f t="shared" si="382"/>
        <v>0</v>
      </c>
      <c r="H886" s="15"/>
      <c r="I886" s="110"/>
      <c r="J886" s="110"/>
      <c r="K886" s="110"/>
      <c r="L886" s="14">
        <f t="shared" si="383"/>
        <v>0</v>
      </c>
      <c r="M886" s="62">
        <f t="shared" si="384"/>
        <v>0</v>
      </c>
      <c r="N886" s="110"/>
      <c r="O886" s="168"/>
      <c r="P886" s="19"/>
      <c r="Q886" s="242"/>
      <c r="R886" s="168"/>
      <c r="S886" s="168">
        <v>16500</v>
      </c>
      <c r="T886" s="168"/>
      <c r="U886" s="168"/>
      <c r="V886" s="168"/>
      <c r="W886" s="168"/>
      <c r="X886" s="169"/>
      <c r="Y886" s="280"/>
      <c r="Z886" s="16"/>
      <c r="AA886" s="16"/>
      <c r="AB886" s="16"/>
      <c r="AC886" s="16"/>
      <c r="AD886" s="16"/>
      <c r="AE886" s="16"/>
    </row>
    <row r="887" spans="1:31" ht="15.75" customHeight="1" x14ac:dyDescent="0.25">
      <c r="A887" s="3" t="e">
        <f t="shared" si="378"/>
        <v>#REF!</v>
      </c>
      <c r="B887" s="32" t="s">
        <v>162</v>
      </c>
      <c r="C887" s="17" t="s">
        <v>948</v>
      </c>
      <c r="D887" s="18"/>
      <c r="E887" s="18"/>
      <c r="F887" s="18"/>
      <c r="G887" s="61">
        <f t="shared" si="382"/>
        <v>0</v>
      </c>
      <c r="H887" s="15"/>
      <c r="I887" s="110"/>
      <c r="J887" s="110"/>
      <c r="K887" s="110"/>
      <c r="L887" s="14">
        <f t="shared" si="383"/>
        <v>0</v>
      </c>
      <c r="M887" s="62">
        <f t="shared" si="384"/>
        <v>0</v>
      </c>
      <c r="N887" s="110"/>
      <c r="O887" s="168"/>
      <c r="P887" s="19"/>
      <c r="Q887" s="242"/>
      <c r="R887" s="168"/>
      <c r="S887" s="168">
        <v>25800</v>
      </c>
      <c r="T887" s="168"/>
      <c r="U887" s="168"/>
      <c r="V887" s="168"/>
      <c r="W887" s="168"/>
      <c r="X887" s="169"/>
      <c r="Y887" s="280"/>
      <c r="Z887" s="16"/>
      <c r="AA887" s="16"/>
      <c r="AB887" s="16"/>
      <c r="AC887" s="16"/>
      <c r="AD887" s="16"/>
      <c r="AE887" s="16"/>
    </row>
    <row r="888" spans="1:31" ht="15.75" customHeight="1" x14ac:dyDescent="0.25">
      <c r="A888" s="3"/>
      <c r="B888" s="13"/>
      <c r="C888" s="237" t="s">
        <v>949</v>
      </c>
      <c r="D888" s="14"/>
      <c r="E888" s="14"/>
      <c r="F888" s="14"/>
      <c r="G888" s="61">
        <f t="shared" ref="G888:G895" si="385">SUM(D888:F888)</f>
        <v>0</v>
      </c>
      <c r="H888" s="15"/>
      <c r="I888" s="14"/>
      <c r="J888" s="14"/>
      <c r="K888" s="14"/>
      <c r="L888" s="14">
        <f t="shared" ref="L888:L895" si="386">SUM(I888:K888)</f>
        <v>0</v>
      </c>
      <c r="M888" s="62">
        <f t="shared" ref="M888:M895" si="387">(L888-G888)</f>
        <v>0</v>
      </c>
      <c r="N888" s="14"/>
      <c r="O888" s="38"/>
      <c r="P888" s="15">
        <v>1725</v>
      </c>
      <c r="Q888" s="241"/>
      <c r="R888" s="38"/>
      <c r="S888" s="38"/>
      <c r="T888" s="38"/>
      <c r="U888" s="38"/>
      <c r="V888" s="38"/>
      <c r="W888" s="38"/>
      <c r="X888" s="167"/>
      <c r="Y888" s="280"/>
      <c r="Z888" s="16"/>
      <c r="AA888" s="16"/>
      <c r="AB888" s="16"/>
      <c r="AC888" s="16"/>
      <c r="AD888" s="16"/>
      <c r="AE888" s="16"/>
    </row>
    <row r="889" spans="1:31" ht="15.75" customHeight="1" x14ac:dyDescent="0.25">
      <c r="A889" s="3"/>
      <c r="B889" s="13"/>
      <c r="C889" s="13" t="s">
        <v>431</v>
      </c>
      <c r="D889" s="14"/>
      <c r="E889" s="14"/>
      <c r="F889" s="14"/>
      <c r="G889" s="61">
        <f t="shared" si="385"/>
        <v>0</v>
      </c>
      <c r="H889" s="15"/>
      <c r="I889" s="14"/>
      <c r="J889" s="14"/>
      <c r="K889" s="14"/>
      <c r="L889" s="14">
        <f t="shared" si="386"/>
        <v>0</v>
      </c>
      <c r="M889" s="62">
        <f t="shared" si="387"/>
        <v>0</v>
      </c>
      <c r="N889" s="14"/>
      <c r="O889" s="38"/>
      <c r="P889" s="15">
        <v>10247</v>
      </c>
      <c r="Q889" s="241"/>
      <c r="R889" s="38"/>
      <c r="S889" s="38"/>
      <c r="T889" s="38"/>
      <c r="U889" s="38"/>
      <c r="V889" s="38"/>
      <c r="W889" s="38"/>
      <c r="X889" s="167"/>
      <c r="Y889" s="280"/>
      <c r="Z889" s="16"/>
      <c r="AA889" s="16"/>
      <c r="AB889" s="16"/>
      <c r="AC889" s="16"/>
      <c r="AD889" s="16"/>
      <c r="AE889" s="16"/>
    </row>
    <row r="890" spans="1:31" ht="15.75" customHeight="1" x14ac:dyDescent="0.25">
      <c r="A890" s="3"/>
      <c r="B890" s="13"/>
      <c r="C890" s="13" t="s">
        <v>432</v>
      </c>
      <c r="D890" s="14"/>
      <c r="E890" s="14"/>
      <c r="F890" s="14"/>
      <c r="G890" s="61">
        <f t="shared" si="385"/>
        <v>0</v>
      </c>
      <c r="H890" s="15"/>
      <c r="I890" s="14"/>
      <c r="J890" s="14"/>
      <c r="K890" s="14"/>
      <c r="L890" s="14">
        <f t="shared" si="386"/>
        <v>0</v>
      </c>
      <c r="M890" s="62">
        <f t="shared" si="387"/>
        <v>0</v>
      </c>
      <c r="N890" s="14"/>
      <c r="O890" s="38"/>
      <c r="P890" s="15">
        <v>4050</v>
      </c>
      <c r="Q890" s="241"/>
      <c r="R890" s="38"/>
      <c r="S890" s="38"/>
      <c r="T890" s="38"/>
      <c r="U890" s="38"/>
      <c r="V890" s="38"/>
      <c r="W890" s="38"/>
      <c r="X890" s="167"/>
      <c r="Y890" s="280"/>
      <c r="Z890" s="16"/>
      <c r="AA890" s="16"/>
      <c r="AB890" s="16"/>
      <c r="AC890" s="16"/>
      <c r="AD890" s="16"/>
      <c r="AE890" s="16"/>
    </row>
    <row r="891" spans="1:31" ht="15.75" customHeight="1" x14ac:dyDescent="0.25">
      <c r="A891" s="3"/>
      <c r="B891" s="13"/>
      <c r="C891" s="13" t="s">
        <v>950</v>
      </c>
      <c r="D891" s="14"/>
      <c r="E891" s="14"/>
      <c r="F891" s="14"/>
      <c r="G891" s="61">
        <f t="shared" si="385"/>
        <v>0</v>
      </c>
      <c r="H891" s="15"/>
      <c r="I891" s="14"/>
      <c r="J891" s="14"/>
      <c r="K891" s="14"/>
      <c r="L891" s="14">
        <f t="shared" si="386"/>
        <v>0</v>
      </c>
      <c r="M891" s="62">
        <f t="shared" si="387"/>
        <v>0</v>
      </c>
      <c r="N891" s="14"/>
      <c r="O891" s="38"/>
      <c r="P891" s="15"/>
      <c r="Q891" s="241">
        <v>500</v>
      </c>
      <c r="R891" s="38"/>
      <c r="S891" s="38"/>
      <c r="T891" s="38"/>
      <c r="U891" s="38"/>
      <c r="V891" s="38"/>
      <c r="W891" s="38"/>
      <c r="X891" s="167"/>
      <c r="Y891" s="280"/>
      <c r="Z891" s="16"/>
      <c r="AA891" s="16"/>
      <c r="AB891" s="16"/>
      <c r="AC891" s="16"/>
      <c r="AD891" s="16"/>
      <c r="AE891" s="16"/>
    </row>
    <row r="892" spans="1:31" ht="15.75" customHeight="1" x14ac:dyDescent="0.25">
      <c r="A892" s="3"/>
      <c r="B892" s="13"/>
      <c r="C892" s="13" t="s">
        <v>951</v>
      </c>
      <c r="D892" s="14"/>
      <c r="E892" s="14"/>
      <c r="F892" s="14"/>
      <c r="G892" s="61">
        <f t="shared" si="385"/>
        <v>0</v>
      </c>
      <c r="H892" s="15"/>
      <c r="I892" s="14"/>
      <c r="J892" s="14"/>
      <c r="K892" s="14"/>
      <c r="L892" s="14">
        <f t="shared" si="386"/>
        <v>0</v>
      </c>
      <c r="M892" s="62">
        <f t="shared" si="387"/>
        <v>0</v>
      </c>
      <c r="N892" s="14"/>
      <c r="O892" s="38"/>
      <c r="P892" s="15">
        <v>6900</v>
      </c>
      <c r="Q892" s="241"/>
      <c r="R892" s="38"/>
      <c r="S892" s="38"/>
      <c r="T892" s="38"/>
      <c r="U892" s="38"/>
      <c r="V892" s="38"/>
      <c r="W892" s="38"/>
      <c r="X892" s="167"/>
      <c r="Y892" s="280"/>
      <c r="Z892" s="16"/>
      <c r="AA892" s="16"/>
      <c r="AB892" s="16"/>
      <c r="AC892" s="16"/>
      <c r="AD892" s="16"/>
      <c r="AE892" s="16"/>
    </row>
    <row r="893" spans="1:31" ht="15.75" customHeight="1" x14ac:dyDescent="0.25">
      <c r="A893" s="3"/>
      <c r="B893" s="13"/>
      <c r="C893" s="13" t="s">
        <v>952</v>
      </c>
      <c r="D893" s="14"/>
      <c r="E893" s="14"/>
      <c r="F893" s="14"/>
      <c r="G893" s="61">
        <f t="shared" si="385"/>
        <v>0</v>
      </c>
      <c r="H893" s="15"/>
      <c r="I893" s="14"/>
      <c r="J893" s="14"/>
      <c r="K893" s="14"/>
      <c r="L893" s="14">
        <f t="shared" si="386"/>
        <v>0</v>
      </c>
      <c r="M893" s="62">
        <f t="shared" si="387"/>
        <v>0</v>
      </c>
      <c r="N893" s="14"/>
      <c r="O893" s="38"/>
      <c r="P893" s="15">
        <v>13200</v>
      </c>
      <c r="Q893" s="241"/>
      <c r="R893" s="38"/>
      <c r="S893" s="38"/>
      <c r="T893" s="38"/>
      <c r="U893" s="38"/>
      <c r="V893" s="38"/>
      <c r="W893" s="38"/>
      <c r="X893" s="167"/>
      <c r="Y893" s="280"/>
      <c r="Z893" s="16"/>
      <c r="AA893" s="16"/>
      <c r="AB893" s="16"/>
      <c r="AC893" s="16"/>
      <c r="AD893" s="16"/>
      <c r="AE893" s="16"/>
    </row>
    <row r="894" spans="1:31" ht="15.75" customHeight="1" x14ac:dyDescent="0.25">
      <c r="A894" s="3"/>
      <c r="B894" s="13"/>
      <c r="C894" s="13" t="s">
        <v>953</v>
      </c>
      <c r="D894" s="14"/>
      <c r="E894" s="14"/>
      <c r="F894" s="14"/>
      <c r="G894" s="61">
        <f t="shared" si="385"/>
        <v>0</v>
      </c>
      <c r="H894" s="15"/>
      <c r="I894" s="14"/>
      <c r="J894" s="14"/>
      <c r="K894" s="14"/>
      <c r="L894" s="14">
        <f t="shared" si="386"/>
        <v>0</v>
      </c>
      <c r="M894" s="62">
        <f t="shared" si="387"/>
        <v>0</v>
      </c>
      <c r="N894" s="14"/>
      <c r="O894" s="38"/>
      <c r="P894" s="15">
        <v>2000</v>
      </c>
      <c r="Q894" s="241"/>
      <c r="R894" s="38"/>
      <c r="S894" s="38"/>
      <c r="T894" s="38"/>
      <c r="U894" s="38"/>
      <c r="V894" s="38"/>
      <c r="W894" s="38"/>
      <c r="X894" s="167"/>
      <c r="Y894" s="280"/>
      <c r="Z894" s="16"/>
      <c r="AA894" s="16"/>
      <c r="AB894" s="16"/>
      <c r="AC894" s="16"/>
      <c r="AD894" s="16"/>
      <c r="AE894" s="16"/>
    </row>
    <row r="895" spans="1:31" ht="15.75" customHeight="1" x14ac:dyDescent="0.25">
      <c r="A895" s="3"/>
      <c r="B895" s="13"/>
      <c r="C895" s="13" t="s">
        <v>954</v>
      </c>
      <c r="D895" s="14"/>
      <c r="E895" s="14"/>
      <c r="F895" s="14"/>
      <c r="G895" s="61">
        <f t="shared" si="385"/>
        <v>0</v>
      </c>
      <c r="H895" s="15"/>
      <c r="I895" s="14"/>
      <c r="J895" s="14"/>
      <c r="K895" s="14"/>
      <c r="L895" s="14">
        <f t="shared" si="386"/>
        <v>0</v>
      </c>
      <c r="M895" s="62">
        <f t="shared" si="387"/>
        <v>0</v>
      </c>
      <c r="N895" s="14"/>
      <c r="O895" s="38"/>
      <c r="P895" s="15">
        <v>19620</v>
      </c>
      <c r="Q895" s="241"/>
      <c r="R895" s="38"/>
      <c r="S895" s="38"/>
      <c r="T895" s="38"/>
      <c r="U895" s="38"/>
      <c r="V895" s="38"/>
      <c r="W895" s="38"/>
      <c r="X895" s="167"/>
      <c r="Y895" s="280"/>
      <c r="Z895" s="16"/>
      <c r="AA895" s="16"/>
      <c r="AB895" s="16"/>
      <c r="AC895" s="16"/>
      <c r="AD895" s="16"/>
      <c r="AE895" s="16"/>
    </row>
    <row r="896" spans="1:31" ht="15.75" customHeight="1" x14ac:dyDescent="0.25">
      <c r="A896" s="3" t="e">
        <f>A887</f>
        <v>#REF!</v>
      </c>
      <c r="B896" s="29" t="s">
        <v>167</v>
      </c>
      <c r="C896" s="29" t="s">
        <v>167</v>
      </c>
      <c r="D896" s="14">
        <v>84292</v>
      </c>
      <c r="E896" s="14">
        <v>113413</v>
      </c>
      <c r="F896" s="14"/>
      <c r="G896" s="61">
        <f t="shared" si="382"/>
        <v>197705</v>
      </c>
      <c r="H896" s="15">
        <v>14824.94</v>
      </c>
      <c r="I896" s="45">
        <v>90849</v>
      </c>
      <c r="J896" s="45">
        <v>238921</v>
      </c>
      <c r="K896" s="45"/>
      <c r="L896" s="14">
        <f t="shared" si="383"/>
        <v>329770</v>
      </c>
      <c r="M896" s="62">
        <f t="shared" si="384"/>
        <v>132065</v>
      </c>
      <c r="N896" s="45"/>
      <c r="O896" s="38"/>
      <c r="P896" s="15"/>
      <c r="Q896" s="241"/>
      <c r="R896" s="38"/>
      <c r="S896" s="38"/>
      <c r="T896" s="38"/>
      <c r="U896" s="38"/>
      <c r="V896" s="38"/>
      <c r="W896" s="38"/>
      <c r="X896" s="167"/>
      <c r="Z896" s="46"/>
      <c r="AA896" s="3"/>
    </row>
    <row r="897" spans="1:31" ht="15.75" customHeight="1" x14ac:dyDescent="0.25">
      <c r="C897" s="40" t="s">
        <v>188</v>
      </c>
      <c r="D897" s="89">
        <f>SUM(D868:D896)</f>
        <v>374215</v>
      </c>
      <c r="E897" s="89">
        <f>SUM(E868:E896)</f>
        <v>278734</v>
      </c>
      <c r="F897" s="89">
        <f>SUM(F868:F896)</f>
        <v>13400</v>
      </c>
      <c r="G897" s="27">
        <f t="shared" si="382"/>
        <v>666349</v>
      </c>
      <c r="H897" s="89">
        <f>SUM(H868:H896)</f>
        <v>29150.940000000002</v>
      </c>
      <c r="I897" s="89">
        <f>SUM(I868:I896)</f>
        <v>421696</v>
      </c>
      <c r="J897" s="89">
        <f>SUM(J868:J896)</f>
        <v>471947</v>
      </c>
      <c r="K897" s="89">
        <f>SUM(K868:K896)</f>
        <v>500</v>
      </c>
      <c r="L897" s="89">
        <f t="shared" si="383"/>
        <v>894143</v>
      </c>
      <c r="M897" s="28">
        <f t="shared" si="384"/>
        <v>227794</v>
      </c>
      <c r="N897" s="89">
        <f t="shared" ref="N897:X897" si="388">SUM(N868:N896)</f>
        <v>763118</v>
      </c>
      <c r="O897" s="107">
        <f t="shared" si="388"/>
        <v>11340</v>
      </c>
      <c r="P897" s="210">
        <f t="shared" si="388"/>
        <v>57742</v>
      </c>
      <c r="Q897" s="246">
        <f>SUM(Q868:Q896)</f>
        <v>500</v>
      </c>
      <c r="R897" s="107">
        <f t="shared" si="388"/>
        <v>0</v>
      </c>
      <c r="S897" s="107">
        <f t="shared" si="388"/>
        <v>51930</v>
      </c>
      <c r="T897" s="107">
        <f t="shared" si="388"/>
        <v>0</v>
      </c>
      <c r="U897" s="107">
        <f t="shared" si="388"/>
        <v>9164</v>
      </c>
      <c r="V897" s="107">
        <f t="shared" si="388"/>
        <v>0</v>
      </c>
      <c r="W897" s="107">
        <f t="shared" si="388"/>
        <v>9164</v>
      </c>
      <c r="X897" s="107">
        <f t="shared" si="388"/>
        <v>0</v>
      </c>
    </row>
    <row r="898" spans="1:31" ht="15.75" customHeight="1" x14ac:dyDescent="0.25">
      <c r="A898" s="3" t="e">
        <f>A896</f>
        <v>#REF!</v>
      </c>
      <c r="B898" s="32" t="s">
        <v>161</v>
      </c>
      <c r="C898" s="32" t="s">
        <v>161</v>
      </c>
      <c r="D898" s="74">
        <v>286556</v>
      </c>
      <c r="E898" s="74">
        <v>130634</v>
      </c>
      <c r="F898" s="74"/>
      <c r="G898" s="61">
        <f t="shared" si="382"/>
        <v>417190</v>
      </c>
      <c r="H898" s="15">
        <v>13276</v>
      </c>
      <c r="I898" s="112">
        <v>337612</v>
      </c>
      <c r="J898" s="112">
        <v>241514</v>
      </c>
      <c r="K898" s="112">
        <v>1500</v>
      </c>
      <c r="L898" s="14">
        <f t="shared" si="383"/>
        <v>580626</v>
      </c>
      <c r="M898" s="62">
        <f t="shared" si="384"/>
        <v>163436</v>
      </c>
      <c r="N898" s="112"/>
      <c r="O898" s="102"/>
      <c r="P898" s="90"/>
      <c r="Q898" s="247"/>
      <c r="R898" s="102"/>
      <c r="S898" s="102"/>
      <c r="T898" s="102"/>
      <c r="U898" s="102"/>
      <c r="V898" s="102"/>
      <c r="W898" s="102"/>
      <c r="X898" s="179"/>
    </row>
    <row r="899" spans="1:31" ht="15.75" customHeight="1" x14ac:dyDescent="0.25">
      <c r="A899" s="3" t="e">
        <f>A898</f>
        <v>#REF!</v>
      </c>
      <c r="B899" s="32" t="s">
        <v>161</v>
      </c>
      <c r="C899" s="13" t="s">
        <v>414</v>
      </c>
      <c r="D899" s="14"/>
      <c r="E899" s="14">
        <v>51119</v>
      </c>
      <c r="F899" s="14"/>
      <c r="G899" s="61">
        <f t="shared" si="382"/>
        <v>51119</v>
      </c>
      <c r="H899" s="15"/>
      <c r="I899" s="45"/>
      <c r="J899" s="45">
        <v>73820</v>
      </c>
      <c r="K899" s="45"/>
      <c r="L899" s="14">
        <f t="shared" si="383"/>
        <v>73820</v>
      </c>
      <c r="M899" s="62">
        <f t="shared" si="384"/>
        <v>22701</v>
      </c>
      <c r="N899" s="45">
        <v>24184</v>
      </c>
      <c r="O899" s="38"/>
      <c r="P899" s="15"/>
      <c r="Q899" s="241"/>
      <c r="R899" s="38"/>
      <c r="S899" s="38"/>
      <c r="T899" s="38"/>
      <c r="U899" s="38"/>
      <c r="V899" s="38"/>
      <c r="W899" s="38"/>
      <c r="X899" s="167"/>
      <c r="Y899" s="279"/>
      <c r="Z899" s="3"/>
      <c r="AA899" s="3"/>
      <c r="AB899" s="3"/>
      <c r="AC899" s="3"/>
      <c r="AD899" s="3"/>
      <c r="AE899" s="3"/>
    </row>
    <row r="900" spans="1:31" ht="15.75" customHeight="1" x14ac:dyDescent="0.25">
      <c r="A900" s="3" t="e">
        <f t="shared" ref="A900:A912" si="389">A898</f>
        <v>#REF!</v>
      </c>
      <c r="B900" s="32" t="s">
        <v>161</v>
      </c>
      <c r="C900" s="13" t="s">
        <v>400</v>
      </c>
      <c r="D900" s="14">
        <v>56219</v>
      </c>
      <c r="E900" s="14"/>
      <c r="F900" s="14"/>
      <c r="G900" s="61">
        <f t="shared" si="382"/>
        <v>56219</v>
      </c>
      <c r="H900" s="15"/>
      <c r="I900" s="45">
        <v>64297</v>
      </c>
      <c r="J900" s="45"/>
      <c r="K900" s="45"/>
      <c r="L900" s="14">
        <f t="shared" si="383"/>
        <v>64297</v>
      </c>
      <c r="M900" s="62">
        <f t="shared" si="384"/>
        <v>8078</v>
      </c>
      <c r="N900" s="45"/>
      <c r="O900" s="38"/>
      <c r="P900" s="15"/>
      <c r="Q900" s="241"/>
      <c r="R900" s="38"/>
      <c r="S900" s="38"/>
      <c r="T900" s="38"/>
      <c r="U900" s="38"/>
      <c r="V900" s="38"/>
      <c r="W900" s="38"/>
      <c r="X900" s="167"/>
      <c r="Y900" s="279"/>
      <c r="Z900" s="3"/>
      <c r="AA900" s="3"/>
      <c r="AB900" s="3"/>
      <c r="AC900" s="3"/>
      <c r="AD900" s="3"/>
      <c r="AE900" s="3"/>
    </row>
    <row r="901" spans="1:31" ht="15.75" customHeight="1" x14ac:dyDescent="0.25">
      <c r="A901" s="3" t="e">
        <f t="shared" si="389"/>
        <v>#REF!</v>
      </c>
      <c r="B901" s="32" t="s">
        <v>161</v>
      </c>
      <c r="C901" s="13" t="s">
        <v>401</v>
      </c>
      <c r="D901" s="14"/>
      <c r="E901" s="14"/>
      <c r="F901" s="14"/>
      <c r="G901" s="61">
        <f t="shared" si="382"/>
        <v>0</v>
      </c>
      <c r="H901" s="15"/>
      <c r="I901" s="45"/>
      <c r="J901" s="45"/>
      <c r="K901" s="45"/>
      <c r="L901" s="14">
        <f t="shared" si="383"/>
        <v>0</v>
      </c>
      <c r="M901" s="62">
        <f t="shared" si="384"/>
        <v>0</v>
      </c>
      <c r="N901" s="45">
        <v>708838</v>
      </c>
      <c r="O901" s="38"/>
      <c r="P901" s="15"/>
      <c r="Q901" s="241"/>
      <c r="R901" s="38"/>
      <c r="S901" s="38"/>
      <c r="T901" s="38"/>
      <c r="U901" s="38"/>
      <c r="V901" s="38"/>
      <c r="W901" s="38"/>
      <c r="X901" s="167"/>
      <c r="Y901" s="279"/>
      <c r="Z901" s="3"/>
      <c r="AA901" s="3"/>
      <c r="AB901" s="3"/>
      <c r="AC901" s="3"/>
      <c r="AD901" s="3"/>
      <c r="AE901" s="3"/>
    </row>
    <row r="902" spans="1:31" ht="15.75" customHeight="1" x14ac:dyDescent="0.25">
      <c r="A902" s="3" t="e">
        <f t="shared" si="389"/>
        <v>#REF!</v>
      </c>
      <c r="B902" s="32" t="s">
        <v>161</v>
      </c>
      <c r="C902" s="13" t="s">
        <v>402</v>
      </c>
      <c r="D902" s="14"/>
      <c r="E902" s="14"/>
      <c r="F902" s="14"/>
      <c r="G902" s="61">
        <f t="shared" si="382"/>
        <v>0</v>
      </c>
      <c r="H902" s="15"/>
      <c r="I902" s="45"/>
      <c r="J902" s="45"/>
      <c r="K902" s="45"/>
      <c r="L902" s="14">
        <f t="shared" si="383"/>
        <v>0</v>
      </c>
      <c r="M902" s="62">
        <f t="shared" si="384"/>
        <v>0</v>
      </c>
      <c r="N902" s="45"/>
      <c r="O902" s="38"/>
      <c r="P902" s="15"/>
      <c r="Q902" s="241"/>
      <c r="R902" s="38"/>
      <c r="S902" s="38"/>
      <c r="T902" s="38"/>
      <c r="U902" s="38"/>
      <c r="V902" s="38"/>
      <c r="W902" s="38"/>
      <c r="X902" s="167"/>
      <c r="Y902" s="279"/>
      <c r="Z902" s="3"/>
      <c r="AA902" s="3"/>
      <c r="AB902" s="3"/>
      <c r="AC902" s="3"/>
      <c r="AD902" s="3"/>
      <c r="AE902" s="3"/>
    </row>
    <row r="903" spans="1:31" ht="15.75" customHeight="1" x14ac:dyDescent="0.25">
      <c r="A903" s="3" t="e">
        <f t="shared" si="389"/>
        <v>#REF!</v>
      </c>
      <c r="B903" s="32" t="s">
        <v>161</v>
      </c>
      <c r="C903" s="13" t="s">
        <v>426</v>
      </c>
      <c r="D903" s="14"/>
      <c r="E903" s="14"/>
      <c r="F903" s="14"/>
      <c r="G903" s="61">
        <f t="shared" si="382"/>
        <v>0</v>
      </c>
      <c r="H903" s="15"/>
      <c r="I903" s="45"/>
      <c r="J903" s="45"/>
      <c r="K903" s="45"/>
      <c r="L903" s="14">
        <f t="shared" si="383"/>
        <v>0</v>
      </c>
      <c r="M903" s="62">
        <f t="shared" si="384"/>
        <v>0</v>
      </c>
      <c r="N903" s="45"/>
      <c r="O903" s="38"/>
      <c r="P903" s="15"/>
      <c r="Q903" s="241"/>
      <c r="R903" s="38"/>
      <c r="S903" s="38"/>
      <c r="T903" s="38"/>
      <c r="U903" s="38"/>
      <c r="V903" s="38"/>
      <c r="W903" s="38"/>
      <c r="X903" s="167"/>
    </row>
    <row r="904" spans="1:31" ht="15.75" customHeight="1" x14ac:dyDescent="0.25">
      <c r="A904" s="3" t="e">
        <f t="shared" si="389"/>
        <v>#REF!</v>
      </c>
      <c r="B904" s="32" t="s">
        <v>161</v>
      </c>
      <c r="C904" s="13" t="s">
        <v>955</v>
      </c>
      <c r="D904" s="18"/>
      <c r="E904" s="18">
        <v>4800</v>
      </c>
      <c r="F904" s="18"/>
      <c r="G904" s="61">
        <f t="shared" si="382"/>
        <v>4800</v>
      </c>
      <c r="H904" s="15"/>
      <c r="I904" s="110"/>
      <c r="J904" s="110">
        <v>2765</v>
      </c>
      <c r="K904" s="110"/>
      <c r="L904" s="14">
        <f t="shared" si="383"/>
        <v>2765</v>
      </c>
      <c r="M904" s="62">
        <f t="shared" si="384"/>
        <v>-2035</v>
      </c>
      <c r="N904" s="110"/>
      <c r="O904" s="168"/>
      <c r="P904" s="19"/>
      <c r="Q904" s="242"/>
      <c r="R904" s="168"/>
      <c r="S904" s="168"/>
      <c r="T904" s="168"/>
      <c r="U904" s="168"/>
      <c r="V904" s="168"/>
      <c r="W904" s="168"/>
      <c r="X904" s="169"/>
      <c r="Y904" s="280"/>
      <c r="Z904" s="16"/>
      <c r="AA904" s="16"/>
      <c r="AB904" s="16"/>
      <c r="AC904" s="16"/>
      <c r="AD904" s="16"/>
      <c r="AE904" s="16"/>
    </row>
    <row r="905" spans="1:31" ht="15.75" customHeight="1" x14ac:dyDescent="0.25">
      <c r="A905" s="3"/>
      <c r="B905" s="12"/>
      <c r="C905" s="13" t="s">
        <v>956</v>
      </c>
      <c r="D905" s="14"/>
      <c r="E905" s="14"/>
      <c r="F905" s="14"/>
      <c r="G905" s="61">
        <f>SUM(D905:F905)</f>
        <v>0</v>
      </c>
      <c r="H905" s="15"/>
      <c r="I905" s="45"/>
      <c r="J905" s="45"/>
      <c r="K905" s="45"/>
      <c r="L905" s="14">
        <f>SUM(I905:K905)</f>
        <v>0</v>
      </c>
      <c r="M905" s="62">
        <f>(L905-G905)</f>
        <v>0</v>
      </c>
      <c r="N905" s="45"/>
      <c r="O905" s="38">
        <v>2000</v>
      </c>
      <c r="P905" s="15"/>
      <c r="Q905" s="241"/>
      <c r="R905" s="38"/>
      <c r="S905" s="38"/>
      <c r="T905" s="38"/>
      <c r="U905" s="38"/>
      <c r="V905" s="38"/>
      <c r="W905" s="38"/>
      <c r="X905" s="167"/>
      <c r="Y905" s="280"/>
      <c r="Z905" s="16"/>
      <c r="AA905" s="16"/>
      <c r="AB905" s="16"/>
      <c r="AC905" s="16"/>
      <c r="AD905" s="16"/>
      <c r="AE905" s="16"/>
    </row>
    <row r="906" spans="1:31" ht="15.75" customHeight="1" x14ac:dyDescent="0.25">
      <c r="A906" s="3"/>
      <c r="B906" s="12"/>
      <c r="C906" s="13" t="s">
        <v>957</v>
      </c>
      <c r="D906" s="14"/>
      <c r="E906" s="14"/>
      <c r="F906" s="14"/>
      <c r="G906" s="61">
        <f>SUM(D906:F906)</f>
        <v>0</v>
      </c>
      <c r="H906" s="15"/>
      <c r="I906" s="45"/>
      <c r="J906" s="45"/>
      <c r="K906" s="45"/>
      <c r="L906" s="14">
        <f>SUM(I906:K906)</f>
        <v>0</v>
      </c>
      <c r="M906" s="62">
        <f>(L906-G906)</f>
        <v>0</v>
      </c>
      <c r="N906" s="45"/>
      <c r="O906" s="38"/>
      <c r="P906" s="15"/>
      <c r="Q906" s="241"/>
      <c r="R906" s="38"/>
      <c r="S906" s="38"/>
      <c r="T906" s="38"/>
      <c r="U906" s="168">
        <f>SUM(V906:X906)</f>
        <v>920</v>
      </c>
      <c r="V906" s="38"/>
      <c r="W906" s="38">
        <v>920</v>
      </c>
      <c r="X906" s="167"/>
      <c r="Y906" s="280"/>
      <c r="Z906" s="16"/>
      <c r="AA906" s="16"/>
      <c r="AB906" s="16"/>
      <c r="AC906" s="16"/>
      <c r="AD906" s="16"/>
      <c r="AE906" s="16"/>
    </row>
    <row r="907" spans="1:31" ht="15.75" customHeight="1" x14ac:dyDescent="0.25">
      <c r="A907" s="3"/>
      <c r="B907" s="12"/>
      <c r="C907" s="29" t="s">
        <v>231</v>
      </c>
      <c r="D907" s="14"/>
      <c r="E907" s="14"/>
      <c r="F907" s="14"/>
      <c r="G907" s="61">
        <f>SUM(D907:F907)</f>
        <v>0</v>
      </c>
      <c r="H907" s="15"/>
      <c r="I907" s="45"/>
      <c r="J907" s="45"/>
      <c r="K907" s="45"/>
      <c r="L907" s="14">
        <f>SUM(I907:K907)</f>
        <v>0</v>
      </c>
      <c r="M907" s="62">
        <f>(L907-G907)</f>
        <v>0</v>
      </c>
      <c r="N907" s="45"/>
      <c r="O907" s="38"/>
      <c r="P907" s="15"/>
      <c r="Q907" s="241"/>
      <c r="R907" s="38"/>
      <c r="S907" s="38"/>
      <c r="T907" s="38"/>
      <c r="U907" s="38"/>
      <c r="V907" s="38"/>
      <c r="W907" s="38"/>
      <c r="X907" s="167"/>
      <c r="Y907" s="280"/>
      <c r="Z907" s="16"/>
      <c r="AA907" s="16"/>
      <c r="AB907" s="16"/>
      <c r="AC907" s="16"/>
      <c r="AD907" s="16"/>
      <c r="AE907" s="16"/>
    </row>
    <row r="908" spans="1:31" ht="15.75" customHeight="1" x14ac:dyDescent="0.25">
      <c r="A908" s="3"/>
      <c r="B908" s="12"/>
      <c r="C908" s="13" t="s">
        <v>958</v>
      </c>
      <c r="D908" s="14"/>
      <c r="E908" s="14"/>
      <c r="F908" s="14"/>
      <c r="G908" s="61">
        <f>SUM(D908:F908)</f>
        <v>0</v>
      </c>
      <c r="H908" s="15"/>
      <c r="I908" s="45"/>
      <c r="J908" s="45"/>
      <c r="K908" s="45"/>
      <c r="L908" s="14">
        <f>SUM(I908:K908)</f>
        <v>0</v>
      </c>
      <c r="M908" s="62">
        <f>(L908-G908)</f>
        <v>0</v>
      </c>
      <c r="N908" s="45"/>
      <c r="O908" s="38"/>
      <c r="P908" s="15">
        <v>9900</v>
      </c>
      <c r="Q908" s="241"/>
      <c r="R908" s="38"/>
      <c r="S908" s="38"/>
      <c r="T908" s="38"/>
      <c r="U908" s="38"/>
      <c r="V908" s="38"/>
      <c r="W908" s="38"/>
      <c r="X908" s="167"/>
      <c r="Y908" s="280"/>
      <c r="Z908" s="16"/>
      <c r="AA908" s="16"/>
      <c r="AB908" s="16"/>
      <c r="AC908" s="16"/>
      <c r="AD908" s="16"/>
      <c r="AE908" s="16"/>
    </row>
    <row r="909" spans="1:31" ht="15.75" customHeight="1" x14ac:dyDescent="0.25">
      <c r="A909" s="3" t="e">
        <f>A903</f>
        <v>#REF!</v>
      </c>
      <c r="B909" s="32" t="s">
        <v>161</v>
      </c>
      <c r="C909" s="13" t="s">
        <v>959</v>
      </c>
      <c r="D909" s="18"/>
      <c r="E909" s="18"/>
      <c r="F909" s="18"/>
      <c r="G909" s="61">
        <f t="shared" si="382"/>
        <v>0</v>
      </c>
      <c r="H909" s="15"/>
      <c r="I909" s="110"/>
      <c r="J909" s="110"/>
      <c r="K909" s="110"/>
      <c r="L909" s="14">
        <f t="shared" si="383"/>
        <v>0</v>
      </c>
      <c r="M909" s="62">
        <f t="shared" si="384"/>
        <v>0</v>
      </c>
      <c r="N909" s="110"/>
      <c r="O909" s="168"/>
      <c r="P909" s="19">
        <v>698</v>
      </c>
      <c r="Q909" s="242">
        <v>700</v>
      </c>
      <c r="R909" s="168"/>
      <c r="S909" s="168"/>
      <c r="T909" s="168"/>
      <c r="U909" s="168"/>
      <c r="V909" s="168"/>
      <c r="W909" s="168"/>
      <c r="X909" s="169"/>
      <c r="Y909" s="280"/>
      <c r="Z909" s="16"/>
      <c r="AA909" s="16"/>
      <c r="AB909" s="16"/>
      <c r="AC909" s="16"/>
      <c r="AD909" s="16"/>
      <c r="AE909" s="16"/>
    </row>
    <row r="910" spans="1:31" ht="15.75" customHeight="1" x14ac:dyDescent="0.25">
      <c r="A910" s="3" t="e">
        <f>A904</f>
        <v>#REF!</v>
      </c>
      <c r="B910" s="32" t="s">
        <v>161</v>
      </c>
      <c r="C910" s="13" t="s">
        <v>960</v>
      </c>
      <c r="D910" s="18"/>
      <c r="E910" s="18"/>
      <c r="F910" s="18"/>
      <c r="G910" s="61">
        <f t="shared" si="382"/>
        <v>0</v>
      </c>
      <c r="H910" s="15"/>
      <c r="I910" s="110"/>
      <c r="J910" s="110"/>
      <c r="K910" s="110"/>
      <c r="L910" s="14">
        <f t="shared" si="383"/>
        <v>0</v>
      </c>
      <c r="M910" s="62">
        <f t="shared" si="384"/>
        <v>0</v>
      </c>
      <c r="N910" s="110"/>
      <c r="O910" s="168"/>
      <c r="P910" s="19">
        <v>1500</v>
      </c>
      <c r="Q910" s="242"/>
      <c r="R910" s="168"/>
      <c r="S910" s="168"/>
      <c r="T910" s="168"/>
      <c r="U910" s="168"/>
      <c r="V910" s="168"/>
      <c r="W910" s="168"/>
      <c r="X910" s="169"/>
      <c r="Y910" s="280"/>
      <c r="Z910" s="16"/>
      <c r="AA910" s="16"/>
      <c r="AB910" s="16"/>
      <c r="AC910" s="16"/>
      <c r="AD910" s="16"/>
      <c r="AE910" s="16"/>
    </row>
    <row r="911" spans="1:31" ht="15.75" customHeight="1" x14ac:dyDescent="0.25">
      <c r="A911" s="3" t="e">
        <f t="shared" si="389"/>
        <v>#REF!</v>
      </c>
      <c r="B911" s="32" t="s">
        <v>161</v>
      </c>
      <c r="C911" s="13" t="s">
        <v>961</v>
      </c>
      <c r="D911" s="18"/>
      <c r="E911" s="18"/>
      <c r="F911" s="18"/>
      <c r="G911" s="61">
        <f t="shared" ref="G911:G913" si="390">SUM(D911:F911)</f>
        <v>0</v>
      </c>
      <c r="H911" s="15"/>
      <c r="I911" s="110"/>
      <c r="J911" s="110"/>
      <c r="K911" s="110"/>
      <c r="L911" s="14">
        <f t="shared" ref="L911:L913" si="391">SUM(I911:K911)</f>
        <v>0</v>
      </c>
      <c r="M911" s="62">
        <f t="shared" ref="M911:M913" si="392">L911-G911</f>
        <v>0</v>
      </c>
      <c r="N911" s="110"/>
      <c r="O911" s="168"/>
      <c r="P911" s="19">
        <v>5750</v>
      </c>
      <c r="Q911" s="242"/>
      <c r="R911" s="168"/>
      <c r="S911" s="168"/>
      <c r="T911" s="168">
        <v>6000</v>
      </c>
      <c r="U911" s="168"/>
      <c r="V911" s="168"/>
      <c r="W911" s="168"/>
      <c r="X911" s="169"/>
      <c r="Y911" s="280"/>
      <c r="Z911" s="16"/>
      <c r="AA911" s="16"/>
      <c r="AB911" s="16"/>
      <c r="AC911" s="16"/>
      <c r="AD911" s="16"/>
      <c r="AE911" s="16"/>
    </row>
    <row r="912" spans="1:31" ht="15.75" customHeight="1" x14ac:dyDescent="0.25">
      <c r="A912" s="3" t="e">
        <f t="shared" si="389"/>
        <v>#REF!</v>
      </c>
      <c r="B912" s="32" t="s">
        <v>161</v>
      </c>
      <c r="C912" s="13" t="s">
        <v>962</v>
      </c>
      <c r="D912" s="18"/>
      <c r="E912" s="18"/>
      <c r="F912" s="18"/>
      <c r="G912" s="61">
        <f t="shared" si="390"/>
        <v>0</v>
      </c>
      <c r="H912" s="15"/>
      <c r="I912" s="110"/>
      <c r="J912" s="110"/>
      <c r="K912" s="110"/>
      <c r="L912" s="14">
        <f t="shared" si="391"/>
        <v>0</v>
      </c>
      <c r="M912" s="62">
        <f t="shared" si="392"/>
        <v>0</v>
      </c>
      <c r="N912" s="110"/>
      <c r="O912" s="168"/>
      <c r="P912" s="19">
        <v>25000</v>
      </c>
      <c r="Q912" s="242"/>
      <c r="R912" s="168"/>
      <c r="S912" s="168"/>
      <c r="T912" s="168"/>
      <c r="U912" s="168"/>
      <c r="V912" s="168"/>
      <c r="W912" s="168"/>
      <c r="X912" s="169"/>
      <c r="Y912" s="280"/>
      <c r="Z912" s="16"/>
      <c r="AA912" s="16"/>
      <c r="AB912" s="16"/>
      <c r="AC912" s="16"/>
      <c r="AD912" s="16"/>
      <c r="AE912" s="16"/>
    </row>
    <row r="913" spans="1:31" ht="15.75" customHeight="1" x14ac:dyDescent="0.25">
      <c r="A913" s="3" t="e">
        <f>A912</f>
        <v>#REF!</v>
      </c>
      <c r="B913" s="32" t="s">
        <v>161</v>
      </c>
      <c r="C913" s="13" t="s">
        <v>963</v>
      </c>
      <c r="D913" s="18"/>
      <c r="E913" s="18"/>
      <c r="F913" s="18"/>
      <c r="G913" s="61">
        <f t="shared" si="390"/>
        <v>0</v>
      </c>
      <c r="H913" s="15"/>
      <c r="I913" s="110"/>
      <c r="J913" s="110"/>
      <c r="K913" s="110"/>
      <c r="L913" s="14">
        <f t="shared" si="391"/>
        <v>0</v>
      </c>
      <c r="M913" s="62">
        <f t="shared" si="392"/>
        <v>0</v>
      </c>
      <c r="N913" s="110"/>
      <c r="O913" s="168"/>
      <c r="P913" s="19">
        <v>2840</v>
      </c>
      <c r="Q913" s="242"/>
      <c r="R913" s="168"/>
      <c r="S913" s="168"/>
      <c r="T913" s="168"/>
      <c r="U913" s="168"/>
      <c r="V913" s="168"/>
      <c r="W913" s="168"/>
      <c r="X913" s="169"/>
      <c r="Y913" s="280" t="s">
        <v>964</v>
      </c>
      <c r="Z913" s="16"/>
      <c r="AA913" s="16"/>
      <c r="AB913" s="16"/>
      <c r="AC913" s="16"/>
      <c r="AD913" s="16"/>
      <c r="AE913" s="16"/>
    </row>
    <row r="914" spans="1:31" ht="15.75" customHeight="1" x14ac:dyDescent="0.25">
      <c r="A914" s="3" t="e">
        <f>#REF!</f>
        <v>#REF!</v>
      </c>
      <c r="B914" s="29" t="s">
        <v>172</v>
      </c>
      <c r="C914" s="29" t="s">
        <v>172</v>
      </c>
      <c r="D914" s="14">
        <v>28445</v>
      </c>
      <c r="E914" s="14">
        <v>13770</v>
      </c>
      <c r="F914" s="14"/>
      <c r="G914" s="61">
        <f t="shared" ref="G914:G939" si="393">SUM(D914:F914)</f>
        <v>42215</v>
      </c>
      <c r="H914" s="15">
        <v>7371.19</v>
      </c>
      <c r="I914" s="45">
        <v>55470</v>
      </c>
      <c r="J914" s="45">
        <v>41520</v>
      </c>
      <c r="K914" s="45"/>
      <c r="L914" s="14">
        <f t="shared" ref="L914:L939" si="394">SUM(I914:K914)</f>
        <v>96990</v>
      </c>
      <c r="M914" s="62">
        <f t="shared" ref="M914:M942" si="395">(L914-G914)</f>
        <v>54775</v>
      </c>
      <c r="N914" s="110"/>
      <c r="O914" s="168"/>
      <c r="P914" s="19"/>
      <c r="Q914" s="242"/>
      <c r="R914" s="168"/>
      <c r="S914" s="168"/>
      <c r="T914" s="168"/>
      <c r="U914" s="168"/>
      <c r="V914" s="168"/>
      <c r="W914" s="168"/>
      <c r="X914" s="169"/>
      <c r="Y914" s="280"/>
      <c r="Z914" s="18"/>
      <c r="AA914" s="16"/>
      <c r="AB914" s="16"/>
      <c r="AC914" s="16"/>
      <c r="AD914" s="16"/>
      <c r="AE914" s="16"/>
    </row>
    <row r="915" spans="1:31" ht="15.75" customHeight="1" x14ac:dyDescent="0.25">
      <c r="C915" s="40" t="s">
        <v>188</v>
      </c>
      <c r="D915" s="89">
        <f>SUM(D898:D914)</f>
        <v>371220</v>
      </c>
      <c r="E915" s="89">
        <f>SUM(E898:E914)</f>
        <v>200323</v>
      </c>
      <c r="F915" s="89">
        <f>SUM(F898:F914)</f>
        <v>0</v>
      </c>
      <c r="G915" s="27">
        <f t="shared" si="393"/>
        <v>571543</v>
      </c>
      <c r="H915" s="89">
        <f>SUM(H898:H914)</f>
        <v>20647.189999999999</v>
      </c>
      <c r="I915" s="89">
        <f>SUM(I898:I914)</f>
        <v>457379</v>
      </c>
      <c r="J915" s="89">
        <f>SUM(J898:J914)</f>
        <v>359619</v>
      </c>
      <c r="K915" s="89">
        <f>SUM(K898:K914)</f>
        <v>1500</v>
      </c>
      <c r="L915" s="89">
        <f t="shared" si="394"/>
        <v>818498</v>
      </c>
      <c r="M915" s="28">
        <f t="shared" si="395"/>
        <v>246955</v>
      </c>
      <c r="N915" s="89">
        <f t="shared" ref="N915:X915" si="396">SUM(N898:N914)</f>
        <v>733022</v>
      </c>
      <c r="O915" s="107">
        <f t="shared" si="396"/>
        <v>2000</v>
      </c>
      <c r="P915" s="210">
        <f t="shared" si="396"/>
        <v>45688</v>
      </c>
      <c r="Q915" s="246">
        <f>SUM(Q898:Q914)</f>
        <v>700</v>
      </c>
      <c r="R915" s="107">
        <f t="shared" si="396"/>
        <v>0</v>
      </c>
      <c r="S915" s="107">
        <f t="shared" si="396"/>
        <v>0</v>
      </c>
      <c r="T915" s="107">
        <f t="shared" si="396"/>
        <v>6000</v>
      </c>
      <c r="U915" s="107">
        <f t="shared" si="396"/>
        <v>920</v>
      </c>
      <c r="V915" s="107">
        <f t="shared" si="396"/>
        <v>0</v>
      </c>
      <c r="W915" s="107">
        <f t="shared" si="396"/>
        <v>920</v>
      </c>
      <c r="X915" s="107">
        <f t="shared" si="396"/>
        <v>0</v>
      </c>
    </row>
    <row r="916" spans="1:31" ht="15.75" customHeight="1" x14ac:dyDescent="0.25">
      <c r="A916" s="3" t="e">
        <f>A914</f>
        <v>#REF!</v>
      </c>
      <c r="B916" s="32" t="s">
        <v>168</v>
      </c>
      <c r="C916" s="32" t="s">
        <v>168</v>
      </c>
      <c r="D916" s="74">
        <v>70336</v>
      </c>
      <c r="E916" s="74">
        <v>15761</v>
      </c>
      <c r="F916" s="74">
        <v>4025</v>
      </c>
      <c r="G916" s="61">
        <f t="shared" si="393"/>
        <v>90122</v>
      </c>
      <c r="H916" s="15">
        <v>14550.15</v>
      </c>
      <c r="I916" s="112">
        <v>84224</v>
      </c>
      <c r="J916" s="112">
        <v>39136</v>
      </c>
      <c r="K916" s="112">
        <v>275</v>
      </c>
      <c r="L916" s="14">
        <f t="shared" si="394"/>
        <v>123635</v>
      </c>
      <c r="M916" s="62">
        <f t="shared" si="395"/>
        <v>33513</v>
      </c>
      <c r="N916" s="112"/>
      <c r="O916" s="102"/>
      <c r="P916" s="90"/>
      <c r="Q916" s="247"/>
      <c r="R916" s="102"/>
      <c r="S916" s="102"/>
      <c r="T916" s="102"/>
      <c r="U916" s="102"/>
      <c r="V916" s="102"/>
      <c r="W916" s="102"/>
      <c r="X916" s="179"/>
    </row>
    <row r="917" spans="1:31" ht="15.75" customHeight="1" x14ac:dyDescent="0.25">
      <c r="A917" s="3" t="e">
        <f>A916</f>
        <v>#REF!</v>
      </c>
      <c r="B917" s="32" t="s">
        <v>168</v>
      </c>
      <c r="C917" s="13" t="s">
        <v>414</v>
      </c>
      <c r="D917" s="14"/>
      <c r="E917" s="14">
        <v>2644</v>
      </c>
      <c r="F917" s="14"/>
      <c r="G917" s="61">
        <f t="shared" si="393"/>
        <v>2644</v>
      </c>
      <c r="H917" s="15"/>
      <c r="I917" s="45"/>
      <c r="J917" s="45">
        <v>16189</v>
      </c>
      <c r="K917" s="45"/>
      <c r="L917" s="14">
        <f t="shared" si="394"/>
        <v>16189</v>
      </c>
      <c r="M917" s="62">
        <f t="shared" si="395"/>
        <v>13545</v>
      </c>
      <c r="N917" s="45">
        <v>6305</v>
      </c>
      <c r="O917" s="38"/>
      <c r="P917" s="15"/>
      <c r="Q917" s="241"/>
      <c r="R917" s="38"/>
      <c r="S917" s="38"/>
      <c r="T917" s="38"/>
      <c r="U917" s="38"/>
      <c r="V917" s="38"/>
      <c r="W917" s="38"/>
      <c r="X917" s="167"/>
      <c r="Y917" s="279"/>
      <c r="Z917" s="3"/>
      <c r="AA917" s="3"/>
      <c r="AB917" s="3"/>
      <c r="AC917" s="3"/>
      <c r="AD917" s="3"/>
      <c r="AE917" s="3"/>
    </row>
    <row r="918" spans="1:31" ht="15.75" customHeight="1" x14ac:dyDescent="0.25">
      <c r="A918" s="3" t="e">
        <f t="shared" ref="A918:A925" si="397">A917</f>
        <v>#REF!</v>
      </c>
      <c r="B918" s="32" t="s">
        <v>168</v>
      </c>
      <c r="C918" s="13" t="s">
        <v>400</v>
      </c>
      <c r="D918" s="14">
        <v>6921</v>
      </c>
      <c r="E918" s="14"/>
      <c r="F918" s="14"/>
      <c r="G918" s="61">
        <f t="shared" si="393"/>
        <v>6921</v>
      </c>
      <c r="H918" s="15"/>
      <c r="I918" s="45">
        <v>6125</v>
      </c>
      <c r="J918" s="45"/>
      <c r="K918" s="45"/>
      <c r="L918" s="14">
        <f t="shared" si="394"/>
        <v>6125</v>
      </c>
      <c r="M918" s="62">
        <f t="shared" si="395"/>
        <v>-796</v>
      </c>
      <c r="N918" s="45"/>
      <c r="O918" s="38"/>
      <c r="P918" s="15"/>
      <c r="Q918" s="241"/>
      <c r="R918" s="38"/>
      <c r="S918" s="38"/>
      <c r="T918" s="38"/>
      <c r="U918" s="38"/>
      <c r="V918" s="38"/>
      <c r="W918" s="38"/>
      <c r="X918" s="167"/>
      <c r="Y918" s="279"/>
      <c r="Z918" s="3"/>
      <c r="AA918" s="3"/>
      <c r="AB918" s="3"/>
      <c r="AC918" s="3"/>
      <c r="AD918" s="3"/>
      <c r="AE918" s="3"/>
    </row>
    <row r="919" spans="1:31" ht="15.75" customHeight="1" x14ac:dyDescent="0.25">
      <c r="A919" s="3" t="e">
        <f t="shared" si="397"/>
        <v>#REF!</v>
      </c>
      <c r="B919" s="32" t="s">
        <v>168</v>
      </c>
      <c r="C919" s="13" t="s">
        <v>401</v>
      </c>
      <c r="D919" s="14"/>
      <c r="E919" s="14"/>
      <c r="F919" s="14"/>
      <c r="G919" s="61">
        <f t="shared" si="393"/>
        <v>0</v>
      </c>
      <c r="H919" s="15"/>
      <c r="I919" s="45"/>
      <c r="J919" s="45"/>
      <c r="K919" s="45"/>
      <c r="L919" s="14">
        <f t="shared" si="394"/>
        <v>0</v>
      </c>
      <c r="M919" s="62">
        <f t="shared" si="395"/>
        <v>0</v>
      </c>
      <c r="N919" s="45">
        <v>112869</v>
      </c>
      <c r="O919" s="38"/>
      <c r="P919" s="15"/>
      <c r="Q919" s="241"/>
      <c r="R919" s="38"/>
      <c r="S919" s="38"/>
      <c r="T919" s="38"/>
      <c r="U919" s="38"/>
      <c r="V919" s="38"/>
      <c r="W919" s="38"/>
      <c r="X919" s="167"/>
      <c r="Y919" s="279"/>
      <c r="Z919" s="3"/>
      <c r="AA919" s="3"/>
      <c r="AB919" s="3"/>
      <c r="AC919" s="3"/>
      <c r="AD919" s="3"/>
      <c r="AE919" s="3"/>
    </row>
    <row r="920" spans="1:31" ht="15.75" customHeight="1" x14ac:dyDescent="0.25">
      <c r="A920" s="3"/>
      <c r="B920" s="12"/>
      <c r="C920" s="13" t="s">
        <v>454</v>
      </c>
      <c r="D920" s="14"/>
      <c r="E920" s="14"/>
      <c r="F920" s="14"/>
      <c r="G920" s="61">
        <f>SUM(D920:F920)</f>
        <v>0</v>
      </c>
      <c r="H920" s="15"/>
      <c r="I920" s="14"/>
      <c r="J920" s="45">
        <v>45</v>
      </c>
      <c r="K920" s="14"/>
      <c r="L920" s="14">
        <f>SUM(I920:K920)</f>
        <v>45</v>
      </c>
      <c r="M920" s="62">
        <f>(L920-G920)</f>
        <v>45</v>
      </c>
      <c r="N920" s="45"/>
      <c r="O920" s="38"/>
      <c r="P920" s="15"/>
      <c r="Q920" s="241"/>
      <c r="R920" s="38"/>
      <c r="S920" s="38"/>
      <c r="T920" s="38"/>
      <c r="U920" s="38"/>
      <c r="V920" s="38"/>
      <c r="W920" s="38"/>
      <c r="X920" s="167"/>
      <c r="Y920" s="279"/>
      <c r="Z920" s="14"/>
      <c r="AA920" s="3"/>
      <c r="AB920" s="3"/>
      <c r="AC920" s="3"/>
      <c r="AD920" s="3"/>
      <c r="AE920" s="3"/>
    </row>
    <row r="921" spans="1:31" ht="15.75" customHeight="1" x14ac:dyDescent="0.25">
      <c r="A921" s="3" t="e">
        <f>A919</f>
        <v>#REF!</v>
      </c>
      <c r="B921" s="32" t="s">
        <v>168</v>
      </c>
      <c r="C921" s="13" t="s">
        <v>402</v>
      </c>
      <c r="D921" s="14"/>
      <c r="E921" s="14"/>
      <c r="F921" s="14"/>
      <c r="G921" s="61">
        <f t="shared" si="393"/>
        <v>0</v>
      </c>
      <c r="H921" s="15"/>
      <c r="I921" s="30"/>
      <c r="J921" s="14"/>
      <c r="K921" s="30"/>
      <c r="L921" s="14">
        <f t="shared" si="394"/>
        <v>0</v>
      </c>
      <c r="M921" s="62">
        <f t="shared" si="395"/>
        <v>0</v>
      </c>
      <c r="N921" s="14"/>
      <c r="O921" s="38"/>
      <c r="P921" s="15"/>
      <c r="Q921" s="241"/>
      <c r="R921" s="38"/>
      <c r="S921" s="38"/>
      <c r="T921" s="38"/>
      <c r="U921" s="38"/>
      <c r="V921" s="38"/>
      <c r="W921" s="38"/>
      <c r="X921" s="167"/>
      <c r="Y921" s="279"/>
      <c r="Z921" s="3"/>
      <c r="AA921" s="3"/>
      <c r="AB921" s="3"/>
      <c r="AC921" s="3"/>
      <c r="AD921" s="3"/>
      <c r="AE921" s="3"/>
    </row>
    <row r="922" spans="1:31" ht="15.75" customHeight="1" x14ac:dyDescent="0.25">
      <c r="A922" s="3" t="e">
        <f t="shared" si="397"/>
        <v>#REF!</v>
      </c>
      <c r="B922" s="32" t="s">
        <v>168</v>
      </c>
      <c r="C922" s="13" t="s">
        <v>426</v>
      </c>
      <c r="D922" s="14"/>
      <c r="E922" s="14"/>
      <c r="F922" s="14"/>
      <c r="G922" s="61">
        <f t="shared" si="393"/>
        <v>0</v>
      </c>
      <c r="H922" s="15"/>
      <c r="I922" s="30"/>
      <c r="J922" s="14"/>
      <c r="K922" s="30"/>
      <c r="L922" s="14">
        <f t="shared" si="394"/>
        <v>0</v>
      </c>
      <c r="M922" s="62">
        <f t="shared" si="395"/>
        <v>0</v>
      </c>
      <c r="N922" s="15"/>
      <c r="O922" s="38"/>
      <c r="P922" s="15"/>
      <c r="Q922" s="241"/>
      <c r="R922" s="38"/>
      <c r="S922" s="38"/>
      <c r="T922" s="38"/>
      <c r="U922" s="38"/>
      <c r="V922" s="38"/>
      <c r="W922" s="38"/>
      <c r="X922" s="167"/>
      <c r="Y922" s="279"/>
      <c r="Z922" s="3"/>
      <c r="AA922" s="3"/>
      <c r="AB922" s="3"/>
      <c r="AC922" s="3"/>
      <c r="AD922" s="3"/>
      <c r="AE922" s="3"/>
    </row>
    <row r="923" spans="1:31" ht="15.75" customHeight="1" x14ac:dyDescent="0.25">
      <c r="A923" s="3" t="e">
        <f t="shared" si="397"/>
        <v>#REF!</v>
      </c>
      <c r="B923" s="32" t="s">
        <v>168</v>
      </c>
      <c r="C923" s="13" t="s">
        <v>861</v>
      </c>
      <c r="D923" s="14"/>
      <c r="E923" s="14"/>
      <c r="F923" s="14"/>
      <c r="G923" s="61">
        <f t="shared" si="393"/>
        <v>0</v>
      </c>
      <c r="H923" s="15"/>
      <c r="I923" s="30"/>
      <c r="J923" s="14"/>
      <c r="K923" s="30"/>
      <c r="L923" s="14">
        <f t="shared" si="394"/>
        <v>0</v>
      </c>
      <c r="M923" s="62">
        <f t="shared" si="395"/>
        <v>0</v>
      </c>
      <c r="N923" s="15"/>
      <c r="O923" s="38"/>
      <c r="P923" s="15"/>
      <c r="Q923" s="241"/>
      <c r="R923" s="38"/>
      <c r="S923" s="38"/>
      <c r="T923" s="38"/>
      <c r="U923" s="38"/>
      <c r="V923" s="38"/>
      <c r="W923" s="38"/>
      <c r="X923" s="167"/>
    </row>
    <row r="924" spans="1:31" ht="15.75" customHeight="1" x14ac:dyDescent="0.25">
      <c r="A924" s="3" t="e">
        <f t="shared" si="397"/>
        <v>#REF!</v>
      </c>
      <c r="B924" s="32" t="s">
        <v>168</v>
      </c>
      <c r="C924" s="13" t="s">
        <v>965</v>
      </c>
      <c r="D924" s="14"/>
      <c r="E924" s="14"/>
      <c r="F924" s="14"/>
      <c r="G924" s="61">
        <f t="shared" si="393"/>
        <v>0</v>
      </c>
      <c r="H924" s="15"/>
      <c r="I924" s="30"/>
      <c r="J924" s="14"/>
      <c r="K924" s="30"/>
      <c r="L924" s="14">
        <f t="shared" si="394"/>
        <v>0</v>
      </c>
      <c r="M924" s="62">
        <f t="shared" si="395"/>
        <v>0</v>
      </c>
      <c r="N924" s="15"/>
      <c r="O924" s="38"/>
      <c r="P924" s="15"/>
      <c r="Q924" s="241"/>
      <c r="R924" s="38"/>
      <c r="S924" s="38"/>
      <c r="T924" s="38"/>
      <c r="U924" s="38"/>
      <c r="V924" s="38"/>
      <c r="W924" s="38"/>
      <c r="X924" s="167"/>
    </row>
    <row r="925" spans="1:31" ht="15.75" customHeight="1" x14ac:dyDescent="0.25">
      <c r="A925" s="3" t="e">
        <f t="shared" si="397"/>
        <v>#REF!</v>
      </c>
      <c r="B925" s="32" t="s">
        <v>168</v>
      </c>
      <c r="C925" s="13" t="s">
        <v>966</v>
      </c>
      <c r="D925" s="14"/>
      <c r="E925" s="14"/>
      <c r="F925" s="14"/>
      <c r="G925" s="61">
        <f t="shared" si="393"/>
        <v>0</v>
      </c>
      <c r="H925" s="15"/>
      <c r="I925" s="30"/>
      <c r="J925" s="14"/>
      <c r="K925" s="14"/>
      <c r="L925" s="14">
        <f t="shared" si="394"/>
        <v>0</v>
      </c>
      <c r="M925" s="62">
        <f t="shared" si="395"/>
        <v>0</v>
      </c>
      <c r="N925" s="15"/>
      <c r="O925" s="38"/>
      <c r="P925" s="15"/>
      <c r="Q925" s="241"/>
      <c r="R925" s="38"/>
      <c r="S925" s="38"/>
      <c r="T925" s="38"/>
      <c r="U925" s="38"/>
      <c r="V925" s="38"/>
      <c r="W925" s="38"/>
      <c r="X925" s="167"/>
    </row>
    <row r="926" spans="1:31" ht="15.75" customHeight="1" x14ac:dyDescent="0.25">
      <c r="A926" s="3"/>
      <c r="B926" s="3"/>
      <c r="C926" s="31" t="s">
        <v>231</v>
      </c>
      <c r="D926" s="14"/>
      <c r="E926" s="14"/>
      <c r="F926" s="14"/>
      <c r="G926" s="61">
        <f>SUM(D926:F926)</f>
        <v>0</v>
      </c>
      <c r="H926" s="15"/>
      <c r="I926" s="14"/>
      <c r="J926" s="14"/>
      <c r="K926" s="14"/>
      <c r="L926" s="14">
        <f>SUM(I926:K926)</f>
        <v>0</v>
      </c>
      <c r="M926" s="62">
        <f>(L926-G926)</f>
        <v>0</v>
      </c>
      <c r="N926" s="14"/>
      <c r="O926" s="38"/>
      <c r="P926" s="15"/>
      <c r="Q926" s="241"/>
      <c r="R926" s="38"/>
      <c r="S926" s="38"/>
      <c r="T926" s="38"/>
      <c r="U926" s="38"/>
      <c r="V926" s="38"/>
      <c r="W926" s="38"/>
      <c r="X926" s="167"/>
    </row>
    <row r="927" spans="1:31" ht="15.75" customHeight="1" x14ac:dyDescent="0.25">
      <c r="A927" s="3"/>
      <c r="B927" s="3"/>
      <c r="C927" s="13" t="s">
        <v>438</v>
      </c>
      <c r="D927" s="14"/>
      <c r="E927" s="14"/>
      <c r="F927" s="14"/>
      <c r="G927" s="61">
        <f>SUM(D927:F927)</f>
        <v>0</v>
      </c>
      <c r="H927" s="15"/>
      <c r="I927" s="14"/>
      <c r="J927" s="14"/>
      <c r="K927" s="14"/>
      <c r="L927" s="14">
        <f>SUM(I927:K927)</f>
        <v>0</v>
      </c>
      <c r="M927" s="62">
        <f>(L927-G927)</f>
        <v>0</v>
      </c>
      <c r="N927" s="14"/>
      <c r="O927" s="38"/>
      <c r="P927" s="15">
        <v>3200</v>
      </c>
      <c r="Q927" s="241"/>
      <c r="R927" s="38"/>
      <c r="S927" s="38"/>
      <c r="T927" s="38"/>
      <c r="U927" s="38"/>
      <c r="V927" s="38"/>
      <c r="W927" s="38"/>
      <c r="X927" s="167"/>
    </row>
    <row r="928" spans="1:31" ht="15.75" customHeight="1" x14ac:dyDescent="0.25">
      <c r="A928" s="3"/>
      <c r="B928" s="3"/>
      <c r="C928" s="13" t="s">
        <v>967</v>
      </c>
      <c r="D928" s="14"/>
      <c r="E928" s="14"/>
      <c r="F928" s="14"/>
      <c r="G928" s="61">
        <f>SUM(D928:F928)</f>
        <v>0</v>
      </c>
      <c r="H928" s="15"/>
      <c r="I928" s="14"/>
      <c r="J928" s="14"/>
      <c r="K928" s="14"/>
      <c r="L928" s="14">
        <f>SUM(I928:K928)</f>
        <v>0</v>
      </c>
      <c r="M928" s="62">
        <f>(L928-G928)</f>
        <v>0</v>
      </c>
      <c r="N928" s="14"/>
      <c r="O928" s="38"/>
      <c r="P928" s="15">
        <v>600</v>
      </c>
      <c r="Q928" s="241"/>
      <c r="R928" s="38"/>
      <c r="S928" s="38"/>
      <c r="T928" s="38"/>
      <c r="U928" s="38"/>
      <c r="V928" s="38"/>
      <c r="W928" s="38"/>
      <c r="X928" s="167"/>
    </row>
    <row r="929" spans="1:31" ht="15.75" customHeight="1" x14ac:dyDescent="0.25">
      <c r="A929" s="3"/>
      <c r="B929" s="3"/>
      <c r="C929" s="13" t="s">
        <v>968</v>
      </c>
      <c r="D929" s="14"/>
      <c r="E929" s="14"/>
      <c r="F929" s="14"/>
      <c r="G929" s="61">
        <f>SUM(D929:F929)</f>
        <v>0</v>
      </c>
      <c r="H929" s="15"/>
      <c r="I929" s="14"/>
      <c r="J929" s="14"/>
      <c r="K929" s="14"/>
      <c r="L929" s="14">
        <f>SUM(I929:K929)</f>
        <v>0</v>
      </c>
      <c r="M929" s="62">
        <f>(L929-G929)</f>
        <v>0</v>
      </c>
      <c r="N929" s="14"/>
      <c r="O929" s="38"/>
      <c r="P929" s="15">
        <v>1000</v>
      </c>
      <c r="Q929" s="241"/>
      <c r="R929" s="38"/>
      <c r="S929" s="38"/>
      <c r="T929" s="38"/>
      <c r="U929" s="38"/>
      <c r="V929" s="38"/>
      <c r="W929" s="38"/>
      <c r="X929" s="167"/>
    </row>
    <row r="930" spans="1:31" ht="15.75" customHeight="1" x14ac:dyDescent="0.25">
      <c r="A930" s="3"/>
      <c r="B930" s="3"/>
      <c r="C930" s="13" t="s">
        <v>969</v>
      </c>
      <c r="D930" s="14"/>
      <c r="E930" s="14"/>
      <c r="F930" s="14"/>
      <c r="G930" s="61">
        <f>SUM(D930:F930)</f>
        <v>0</v>
      </c>
      <c r="H930" s="15"/>
      <c r="I930" s="14"/>
      <c r="J930" s="14"/>
      <c r="K930" s="14"/>
      <c r="L930" s="14">
        <f>SUM(I930:K930)</f>
        <v>0</v>
      </c>
      <c r="M930" s="62">
        <f>(L930-G930)</f>
        <v>0</v>
      </c>
      <c r="N930" s="14"/>
      <c r="O930" s="38"/>
      <c r="P930" s="15">
        <v>300</v>
      </c>
      <c r="Q930" s="241"/>
      <c r="R930" s="38"/>
      <c r="S930" s="38"/>
      <c r="T930" s="38"/>
      <c r="U930" s="38"/>
      <c r="V930" s="38"/>
      <c r="W930" s="38"/>
      <c r="X930" s="167"/>
    </row>
    <row r="931" spans="1:31" ht="15.75" customHeight="1" x14ac:dyDescent="0.25">
      <c r="C931" s="40" t="s">
        <v>188</v>
      </c>
      <c r="D931" s="89">
        <f>SUM(D916:D925)</f>
        <v>77257</v>
      </c>
      <c r="E931" s="89">
        <f>SUM(E916:E925)</f>
        <v>18405</v>
      </c>
      <c r="F931" s="89">
        <f>SUM(F916:F925)</f>
        <v>4025</v>
      </c>
      <c r="G931" s="27">
        <f t="shared" si="393"/>
        <v>99687</v>
      </c>
      <c r="H931" s="89">
        <f>SUM(H916:H930)</f>
        <v>14550.15</v>
      </c>
      <c r="I931" s="89">
        <f>SUM(I916:I930)</f>
        <v>90349</v>
      </c>
      <c r="J931" s="89">
        <f>SUM(J916:J930)</f>
        <v>55370</v>
      </c>
      <c r="K931" s="89">
        <f>SUM(K916:K930)</f>
        <v>275</v>
      </c>
      <c r="L931" s="89">
        <f t="shared" si="394"/>
        <v>145994</v>
      </c>
      <c r="M931" s="28">
        <f t="shared" si="395"/>
        <v>46307</v>
      </c>
      <c r="N931" s="89">
        <f t="shared" ref="N931:X931" si="398">SUM(N916:N930)</f>
        <v>119174</v>
      </c>
      <c r="O931" s="89">
        <f t="shared" si="398"/>
        <v>0</v>
      </c>
      <c r="P931" s="89">
        <f t="shared" si="398"/>
        <v>5100</v>
      </c>
      <c r="Q931" s="246">
        <f t="shared" si="398"/>
        <v>0</v>
      </c>
      <c r="R931" s="89">
        <f t="shared" si="398"/>
        <v>0</v>
      </c>
      <c r="S931" s="89">
        <f t="shared" si="398"/>
        <v>0</v>
      </c>
      <c r="T931" s="89">
        <f t="shared" si="398"/>
        <v>0</v>
      </c>
      <c r="U931" s="89">
        <f t="shared" si="398"/>
        <v>0</v>
      </c>
      <c r="V931" s="89">
        <f t="shared" si="398"/>
        <v>0</v>
      </c>
      <c r="W931" s="89">
        <f t="shared" si="398"/>
        <v>0</v>
      </c>
      <c r="X931" s="89">
        <f t="shared" si="398"/>
        <v>0</v>
      </c>
    </row>
    <row r="932" spans="1:31" ht="15.75" customHeight="1" x14ac:dyDescent="0.25">
      <c r="A932" s="3" t="e">
        <f>A925</f>
        <v>#REF!</v>
      </c>
      <c r="B932" s="32" t="s">
        <v>165</v>
      </c>
      <c r="C932" s="32" t="s">
        <v>165</v>
      </c>
      <c r="D932" s="74">
        <v>101232</v>
      </c>
      <c r="E932" s="74">
        <v>47722</v>
      </c>
      <c r="F932" s="74">
        <v>500</v>
      </c>
      <c r="G932" s="61">
        <f t="shared" si="393"/>
        <v>149454</v>
      </c>
      <c r="H932" s="15">
        <v>7577.25</v>
      </c>
      <c r="I932" s="112">
        <v>120265</v>
      </c>
      <c r="J932" s="112">
        <v>54082</v>
      </c>
      <c r="K932" s="112">
        <v>460</v>
      </c>
      <c r="L932" s="14">
        <f t="shared" si="394"/>
        <v>174807</v>
      </c>
      <c r="M932" s="62">
        <f t="shared" si="395"/>
        <v>25353</v>
      </c>
      <c r="N932" s="112"/>
      <c r="O932" s="102"/>
      <c r="P932" s="90"/>
      <c r="Q932" s="247"/>
      <c r="R932" s="102"/>
      <c r="S932" s="102"/>
      <c r="T932" s="102"/>
      <c r="U932" s="102"/>
      <c r="V932" s="102"/>
      <c r="W932" s="102"/>
      <c r="X932" s="179"/>
    </row>
    <row r="933" spans="1:31" ht="15.75" customHeight="1" x14ac:dyDescent="0.25">
      <c r="A933" s="3" t="e">
        <f>A932</f>
        <v>#REF!</v>
      </c>
      <c r="B933" s="32" t="s">
        <v>165</v>
      </c>
      <c r="C933" s="13" t="s">
        <v>414</v>
      </c>
      <c r="D933" s="14"/>
      <c r="E933" s="14">
        <v>6894</v>
      </c>
      <c r="F933" s="14"/>
      <c r="G933" s="61">
        <f t="shared" si="393"/>
        <v>6894</v>
      </c>
      <c r="H933" s="15"/>
      <c r="I933" s="45"/>
      <c r="J933" s="45">
        <v>11670</v>
      </c>
      <c r="K933" s="45"/>
      <c r="L933" s="14">
        <f t="shared" si="394"/>
        <v>11670</v>
      </c>
      <c r="M933" s="62">
        <f t="shared" si="395"/>
        <v>4776</v>
      </c>
      <c r="N933" s="45">
        <v>5600</v>
      </c>
      <c r="O933" s="38"/>
      <c r="P933" s="15"/>
      <c r="Q933" s="241"/>
      <c r="R933" s="38"/>
      <c r="S933" s="38"/>
      <c r="T933" s="38"/>
      <c r="U933" s="38"/>
      <c r="V933" s="38"/>
      <c r="W933" s="38"/>
      <c r="X933" s="167"/>
      <c r="Y933" s="279"/>
      <c r="Z933" s="3"/>
      <c r="AA933" s="3"/>
      <c r="AB933" s="3"/>
      <c r="AC933" s="3"/>
      <c r="AD933" s="3"/>
      <c r="AE933" s="3"/>
    </row>
    <row r="934" spans="1:31" ht="15.75" customHeight="1" x14ac:dyDescent="0.25">
      <c r="A934" s="3" t="e">
        <f t="shared" ref="A934:A943" si="399">A933</f>
        <v>#REF!</v>
      </c>
      <c r="B934" s="32" t="s">
        <v>165</v>
      </c>
      <c r="C934" s="13" t="s">
        <v>400</v>
      </c>
      <c r="D934" s="14">
        <v>18074</v>
      </c>
      <c r="E934" s="14"/>
      <c r="F934" s="14"/>
      <c r="G934" s="61">
        <f t="shared" si="393"/>
        <v>18074</v>
      </c>
      <c r="H934" s="15"/>
      <c r="I934" s="45">
        <v>15283</v>
      </c>
      <c r="J934" s="45"/>
      <c r="K934" s="45"/>
      <c r="L934" s="14">
        <f t="shared" si="394"/>
        <v>15283</v>
      </c>
      <c r="M934" s="62">
        <f t="shared" si="395"/>
        <v>-2791</v>
      </c>
      <c r="N934" s="45"/>
      <c r="O934" s="38"/>
      <c r="P934" s="15"/>
      <c r="Q934" s="241"/>
      <c r="R934" s="38"/>
      <c r="S934" s="38"/>
      <c r="T934" s="38"/>
      <c r="U934" s="38"/>
      <c r="V934" s="38"/>
      <c r="W934" s="38"/>
      <c r="X934" s="167"/>
      <c r="Y934" s="279"/>
      <c r="Z934" s="3"/>
      <c r="AA934" s="3"/>
      <c r="AB934" s="3"/>
      <c r="AC934" s="3"/>
      <c r="AD934" s="3"/>
      <c r="AE934" s="3"/>
    </row>
    <row r="935" spans="1:31" ht="15.75" customHeight="1" x14ac:dyDescent="0.25">
      <c r="A935" s="3" t="e">
        <f t="shared" si="399"/>
        <v>#REF!</v>
      </c>
      <c r="B935" s="32" t="s">
        <v>165</v>
      </c>
      <c r="C935" s="13" t="s">
        <v>401</v>
      </c>
      <c r="D935" s="14"/>
      <c r="E935" s="14"/>
      <c r="F935" s="14"/>
      <c r="G935" s="61">
        <f t="shared" si="393"/>
        <v>0</v>
      </c>
      <c r="H935" s="15"/>
      <c r="I935" s="45"/>
      <c r="J935" s="45"/>
      <c r="K935" s="45"/>
      <c r="L935" s="14">
        <f t="shared" si="394"/>
        <v>0</v>
      </c>
      <c r="M935" s="62">
        <f t="shared" si="395"/>
        <v>0</v>
      </c>
      <c r="N935" s="45">
        <v>169359</v>
      </c>
      <c r="O935" s="38"/>
      <c r="P935" s="15"/>
      <c r="Q935" s="241"/>
      <c r="R935" s="38"/>
      <c r="S935" s="38"/>
      <c r="T935" s="38"/>
      <c r="U935" s="38"/>
      <c r="V935" s="38"/>
      <c r="W935" s="38"/>
      <c r="X935" s="167"/>
      <c r="Y935" s="279"/>
      <c r="Z935" s="3"/>
      <c r="AA935" s="3"/>
      <c r="AB935" s="3"/>
      <c r="AC935" s="3"/>
      <c r="AD935" s="3"/>
      <c r="AE935" s="3"/>
    </row>
    <row r="936" spans="1:31" ht="15.75" customHeight="1" x14ac:dyDescent="0.25">
      <c r="A936" s="3" t="e">
        <f t="shared" si="399"/>
        <v>#REF!</v>
      </c>
      <c r="B936" s="32" t="s">
        <v>165</v>
      </c>
      <c r="C936" s="13" t="s">
        <v>402</v>
      </c>
      <c r="D936" s="14"/>
      <c r="E936" s="14"/>
      <c r="F936" s="14"/>
      <c r="G936" s="61">
        <f t="shared" si="393"/>
        <v>0</v>
      </c>
      <c r="H936" s="15"/>
      <c r="I936" s="45"/>
      <c r="J936" s="45"/>
      <c r="K936" s="45"/>
      <c r="L936" s="14">
        <f t="shared" si="394"/>
        <v>0</v>
      </c>
      <c r="M936" s="62">
        <f t="shared" si="395"/>
        <v>0</v>
      </c>
      <c r="N936" s="45"/>
      <c r="O936" s="38"/>
      <c r="P936" s="15"/>
      <c r="Q936" s="241"/>
      <c r="R936" s="38"/>
      <c r="S936" s="38"/>
      <c r="T936" s="38"/>
      <c r="U936" s="38"/>
      <c r="V936" s="38"/>
      <c r="W936" s="38"/>
      <c r="X936" s="167"/>
      <c r="Y936" s="279"/>
      <c r="Z936" s="3"/>
      <c r="AA936" s="3"/>
      <c r="AB936" s="3"/>
      <c r="AC936" s="3"/>
      <c r="AD936" s="3"/>
      <c r="AE936" s="3"/>
    </row>
    <row r="937" spans="1:31" ht="15.75" customHeight="1" x14ac:dyDescent="0.25">
      <c r="A937" s="3" t="e">
        <f t="shared" si="399"/>
        <v>#REF!</v>
      </c>
      <c r="B937" s="32" t="s">
        <v>165</v>
      </c>
      <c r="C937" s="13" t="s">
        <v>426</v>
      </c>
      <c r="D937" s="14"/>
      <c r="E937" s="14"/>
      <c r="F937" s="14"/>
      <c r="G937" s="61">
        <f t="shared" si="393"/>
        <v>0</v>
      </c>
      <c r="H937" s="15"/>
      <c r="I937" s="45"/>
      <c r="J937" s="45"/>
      <c r="K937" s="45"/>
      <c r="L937" s="14">
        <f t="shared" si="394"/>
        <v>0</v>
      </c>
      <c r="M937" s="62">
        <f t="shared" si="395"/>
        <v>0</v>
      </c>
      <c r="N937" s="45"/>
      <c r="O937" s="38"/>
      <c r="P937" s="15"/>
      <c r="Q937" s="241"/>
      <c r="R937" s="38"/>
      <c r="S937" s="38"/>
      <c r="T937" s="38"/>
      <c r="U937" s="38"/>
      <c r="V937" s="38"/>
      <c r="W937" s="38"/>
      <c r="X937" s="167"/>
      <c r="Y937" s="279"/>
      <c r="Z937" s="3"/>
      <c r="AA937" s="3"/>
      <c r="AB937" s="3"/>
      <c r="AC937" s="3"/>
      <c r="AD937" s="3"/>
      <c r="AE937" s="3"/>
    </row>
    <row r="938" spans="1:31" ht="15.75" customHeight="1" x14ac:dyDescent="0.25">
      <c r="A938" s="3" t="e">
        <f t="shared" si="399"/>
        <v>#REF!</v>
      </c>
      <c r="B938" s="32" t="s">
        <v>165</v>
      </c>
      <c r="C938" s="13" t="s">
        <v>955</v>
      </c>
      <c r="D938" s="14"/>
      <c r="E938" s="14">
        <v>2300</v>
      </c>
      <c r="F938" s="14"/>
      <c r="G938" s="61">
        <f t="shared" si="393"/>
        <v>2300</v>
      </c>
      <c r="H938" s="15"/>
      <c r="I938" s="45"/>
      <c r="J938" s="45">
        <v>1040</v>
      </c>
      <c r="K938" s="45"/>
      <c r="L938" s="14">
        <f t="shared" si="394"/>
        <v>1040</v>
      </c>
      <c r="M938" s="62">
        <f t="shared" si="395"/>
        <v>-1260</v>
      </c>
      <c r="N938" s="45"/>
      <c r="O938" s="38"/>
      <c r="P938" s="15"/>
      <c r="Q938" s="241"/>
      <c r="R938" s="38"/>
      <c r="S938" s="38"/>
      <c r="T938" s="38"/>
      <c r="U938" s="38"/>
      <c r="V938" s="38"/>
      <c r="W938" s="38"/>
      <c r="X938" s="167"/>
    </row>
    <row r="939" spans="1:31" ht="15.75" customHeight="1" x14ac:dyDescent="0.25">
      <c r="A939" s="3" t="e">
        <f t="shared" si="399"/>
        <v>#REF!</v>
      </c>
      <c r="B939" s="32" t="s">
        <v>165</v>
      </c>
      <c r="C939" s="13" t="s">
        <v>970</v>
      </c>
      <c r="D939" s="14"/>
      <c r="E939" s="14"/>
      <c r="F939" s="14"/>
      <c r="G939" s="61">
        <f t="shared" si="393"/>
        <v>0</v>
      </c>
      <c r="H939" s="15"/>
      <c r="I939" s="45"/>
      <c r="J939" s="45"/>
      <c r="K939" s="45"/>
      <c r="L939" s="14">
        <f t="shared" si="394"/>
        <v>0</v>
      </c>
      <c r="M939" s="62">
        <f t="shared" si="395"/>
        <v>0</v>
      </c>
      <c r="N939" s="45"/>
      <c r="O939" s="38"/>
      <c r="P939" s="15"/>
      <c r="Q939" s="241"/>
      <c r="R939" s="38"/>
      <c r="S939" s="38"/>
      <c r="T939" s="38"/>
      <c r="U939" s="38"/>
      <c r="V939" s="38"/>
      <c r="W939" s="38"/>
      <c r="X939" s="167"/>
    </row>
    <row r="940" spans="1:31" ht="15.75" customHeight="1" x14ac:dyDescent="0.25">
      <c r="A940" s="3"/>
      <c r="B940" s="12"/>
      <c r="C940" s="31" t="s">
        <v>231</v>
      </c>
      <c r="D940" s="14"/>
      <c r="E940" s="14"/>
      <c r="F940" s="14"/>
      <c r="G940" s="61">
        <f>SUM(D940:F940)</f>
        <v>0</v>
      </c>
      <c r="H940" s="15"/>
      <c r="I940" s="14"/>
      <c r="J940" s="14"/>
      <c r="K940" s="14"/>
      <c r="L940" s="14">
        <f>SUM(I940:K940)</f>
        <v>0</v>
      </c>
      <c r="M940" s="62">
        <f>(L940-G940)</f>
        <v>0</v>
      </c>
      <c r="N940" s="14"/>
      <c r="O940" s="38"/>
      <c r="P940" s="15"/>
      <c r="Q940" s="241"/>
      <c r="R940" s="38"/>
      <c r="S940" s="38"/>
      <c r="T940" s="38"/>
      <c r="U940" s="38"/>
      <c r="V940" s="38"/>
      <c r="W940" s="38"/>
      <c r="X940" s="167"/>
    </row>
    <row r="941" spans="1:31" ht="15.75" customHeight="1" x14ac:dyDescent="0.25">
      <c r="A941" s="3"/>
      <c r="B941" s="12"/>
      <c r="C941" s="13" t="s">
        <v>971</v>
      </c>
      <c r="D941" s="14"/>
      <c r="E941" s="14"/>
      <c r="F941" s="14"/>
      <c r="G941" s="61">
        <f>SUM(D941:F941)</f>
        <v>0</v>
      </c>
      <c r="H941" s="15"/>
      <c r="I941" s="45"/>
      <c r="J941" s="45"/>
      <c r="K941" s="45"/>
      <c r="L941" s="14">
        <f>SUM(I941:K941)</f>
        <v>0</v>
      </c>
      <c r="M941" s="62">
        <f>(L941-G941)</f>
        <v>0</v>
      </c>
      <c r="N941" s="45"/>
      <c r="O941" s="38">
        <v>1175</v>
      </c>
      <c r="P941" s="15"/>
      <c r="Q941" s="241"/>
      <c r="R941" s="38"/>
      <c r="S941" s="38"/>
      <c r="T941" s="38"/>
      <c r="U941" s="38"/>
      <c r="V941" s="38"/>
      <c r="W941" s="38"/>
      <c r="X941" s="167"/>
      <c r="Z941" s="46"/>
    </row>
    <row r="942" spans="1:31" ht="15.75" customHeight="1" x14ac:dyDescent="0.25">
      <c r="A942" s="3" t="e">
        <f>A939</f>
        <v>#REF!</v>
      </c>
      <c r="B942" s="32" t="s">
        <v>165</v>
      </c>
      <c r="C942" s="13" t="s">
        <v>972</v>
      </c>
      <c r="D942" s="14"/>
      <c r="E942" s="14"/>
      <c r="F942" s="14"/>
      <c r="G942" s="61">
        <f>SUM(D942:F942)</f>
        <v>0</v>
      </c>
      <c r="H942" s="15"/>
      <c r="I942" s="45"/>
      <c r="J942" s="45"/>
      <c r="K942" s="45"/>
      <c r="L942" s="14">
        <f>SUM(I942:K942)</f>
        <v>0</v>
      </c>
      <c r="M942" s="62">
        <f t="shared" si="395"/>
        <v>0</v>
      </c>
      <c r="N942" s="45"/>
      <c r="O942" s="38"/>
      <c r="P942" s="15"/>
      <c r="Q942" s="241"/>
      <c r="R942" s="38"/>
      <c r="S942" s="38"/>
      <c r="T942" s="38"/>
      <c r="U942" s="38">
        <f>SUM(V942:X942)</f>
        <v>0</v>
      </c>
      <c r="V942" s="38"/>
      <c r="W942" s="38"/>
      <c r="X942" s="167"/>
    </row>
    <row r="943" spans="1:31" ht="15.75" customHeight="1" x14ac:dyDescent="0.25">
      <c r="A943" s="3" t="e">
        <f t="shared" si="399"/>
        <v>#REF!</v>
      </c>
      <c r="B943" s="32" t="s">
        <v>165</v>
      </c>
      <c r="C943" s="37" t="s">
        <v>973</v>
      </c>
      <c r="D943" s="14"/>
      <c r="E943" s="14"/>
      <c r="F943" s="14"/>
      <c r="G943" s="61">
        <f t="shared" ref="G943" si="400">SUM(D943:F943)</f>
        <v>0</v>
      </c>
      <c r="H943" s="15"/>
      <c r="I943" s="45"/>
      <c r="J943" s="45"/>
      <c r="K943" s="45"/>
      <c r="L943" s="14">
        <f t="shared" ref="L943" si="401">SUM(I943:K943)</f>
        <v>0</v>
      </c>
      <c r="M943" s="62">
        <f t="shared" ref="M943" si="402">L943-G943</f>
        <v>0</v>
      </c>
      <c r="N943" s="45"/>
      <c r="O943" s="38"/>
      <c r="P943" s="15"/>
      <c r="Q943" s="241"/>
      <c r="R943" s="38"/>
      <c r="S943" s="38"/>
      <c r="T943" s="38"/>
      <c r="U943" s="38">
        <f>SUM(V943:X943)</f>
        <v>23803</v>
      </c>
      <c r="V943" s="38"/>
      <c r="W943" s="38">
        <v>23803</v>
      </c>
      <c r="X943" s="38"/>
    </row>
    <row r="944" spans="1:31" ht="15.75" customHeight="1" x14ac:dyDescent="0.25">
      <c r="A944" s="3"/>
      <c r="B944" s="3"/>
      <c r="C944" s="37" t="s">
        <v>974</v>
      </c>
      <c r="D944" s="14"/>
      <c r="E944" s="14"/>
      <c r="F944" s="14"/>
      <c r="G944" s="61">
        <f t="shared" ref="G944:G960" si="403">SUM(D944:F944)</f>
        <v>0</v>
      </c>
      <c r="H944" s="15"/>
      <c r="I944" s="14"/>
      <c r="J944" s="14"/>
      <c r="K944" s="14"/>
      <c r="L944" s="14">
        <f t="shared" ref="L944:L960" si="404">SUM(I944:K944)</f>
        <v>0</v>
      </c>
      <c r="M944" s="62">
        <f t="shared" ref="M944:M960" si="405">(L944-G944)</f>
        <v>0</v>
      </c>
      <c r="N944" s="14"/>
      <c r="O944" s="38"/>
      <c r="P944" s="15"/>
      <c r="Q944" s="241">
        <v>1264</v>
      </c>
      <c r="R944" s="38"/>
      <c r="S944" s="38"/>
      <c r="T944" s="38"/>
      <c r="U944" s="38"/>
      <c r="V944" s="38"/>
      <c r="W944" s="38"/>
      <c r="X944" s="167"/>
      <c r="Y944" s="277" t="s">
        <v>975</v>
      </c>
    </row>
    <row r="945" spans="1:25" ht="15.75" customHeight="1" x14ac:dyDescent="0.25">
      <c r="A945" s="3"/>
      <c r="B945" s="3"/>
      <c r="C945" s="37" t="s">
        <v>976</v>
      </c>
      <c r="D945" s="14"/>
      <c r="E945" s="14"/>
      <c r="F945" s="14"/>
      <c r="G945" s="61">
        <f t="shared" si="403"/>
        <v>0</v>
      </c>
      <c r="H945" s="15"/>
      <c r="I945" s="14"/>
      <c r="J945" s="14"/>
      <c r="K945" s="14"/>
      <c r="L945" s="14">
        <f t="shared" si="404"/>
        <v>0</v>
      </c>
      <c r="M945" s="62">
        <f t="shared" si="405"/>
        <v>0</v>
      </c>
      <c r="N945" s="14"/>
      <c r="O945" s="38"/>
      <c r="P945" s="15">
        <v>1000</v>
      </c>
      <c r="Q945" s="241"/>
      <c r="R945" s="38"/>
      <c r="S945" s="38"/>
      <c r="T945" s="38"/>
      <c r="U945" s="38"/>
      <c r="V945" s="38"/>
      <c r="W945" s="38"/>
      <c r="X945" s="167"/>
    </row>
    <row r="946" spans="1:25" ht="15.75" customHeight="1" x14ac:dyDescent="0.25">
      <c r="A946" s="3"/>
      <c r="B946" s="3"/>
      <c r="C946" s="37" t="s">
        <v>977</v>
      </c>
      <c r="D946" s="14"/>
      <c r="E946" s="14"/>
      <c r="F946" s="14"/>
      <c r="G946" s="61">
        <f t="shared" si="403"/>
        <v>0</v>
      </c>
      <c r="H946" s="15"/>
      <c r="I946" s="14"/>
      <c r="J946" s="14"/>
      <c r="K946" s="14"/>
      <c r="L946" s="14">
        <f t="shared" si="404"/>
        <v>0</v>
      </c>
      <c r="M946" s="62">
        <f t="shared" si="405"/>
        <v>0</v>
      </c>
      <c r="N946" s="14"/>
      <c r="O946" s="38"/>
      <c r="P946" s="15">
        <v>1000</v>
      </c>
      <c r="Q946" s="241"/>
      <c r="R946" s="38"/>
      <c r="S946" s="38"/>
      <c r="T946" s="38"/>
      <c r="U946" s="38"/>
      <c r="V946" s="38"/>
      <c r="W946" s="38"/>
      <c r="X946" s="167"/>
    </row>
    <row r="947" spans="1:25" ht="15.75" customHeight="1" x14ac:dyDescent="0.25">
      <c r="A947" s="3"/>
      <c r="B947" s="3"/>
      <c r="C947" s="37" t="s">
        <v>443</v>
      </c>
      <c r="D947" s="14"/>
      <c r="E947" s="14"/>
      <c r="F947" s="14"/>
      <c r="G947" s="61">
        <f t="shared" si="403"/>
        <v>0</v>
      </c>
      <c r="H947" s="15"/>
      <c r="I947" s="14"/>
      <c r="J947" s="14"/>
      <c r="K947" s="14"/>
      <c r="L947" s="14">
        <f t="shared" si="404"/>
        <v>0</v>
      </c>
      <c r="M947" s="62">
        <f t="shared" si="405"/>
        <v>0</v>
      </c>
      <c r="N947" s="14"/>
      <c r="O947" s="38"/>
      <c r="P947" s="15">
        <v>800</v>
      </c>
      <c r="Q947" s="241"/>
      <c r="R947" s="38"/>
      <c r="S947" s="38"/>
      <c r="T947" s="38"/>
      <c r="U947" s="38"/>
      <c r="V947" s="38"/>
      <c r="W947" s="38"/>
      <c r="X947" s="167"/>
    </row>
    <row r="948" spans="1:25" ht="15.75" customHeight="1" x14ac:dyDescent="0.25">
      <c r="A948" s="3"/>
      <c r="B948" s="3"/>
      <c r="C948" s="37" t="s">
        <v>978</v>
      </c>
      <c r="D948" s="14"/>
      <c r="E948" s="14"/>
      <c r="F948" s="14"/>
      <c r="G948" s="61">
        <f t="shared" si="403"/>
        <v>0</v>
      </c>
      <c r="H948" s="15"/>
      <c r="I948" s="14"/>
      <c r="J948" s="14"/>
      <c r="K948" s="14"/>
      <c r="L948" s="14">
        <f t="shared" si="404"/>
        <v>0</v>
      </c>
      <c r="M948" s="62">
        <f t="shared" si="405"/>
        <v>0</v>
      </c>
      <c r="N948" s="14"/>
      <c r="O948" s="38"/>
      <c r="P948" s="15">
        <v>100</v>
      </c>
      <c r="Q948" s="241"/>
      <c r="R948" s="38"/>
      <c r="S948" s="38"/>
      <c r="T948" s="38"/>
      <c r="U948" s="38"/>
      <c r="V948" s="38"/>
      <c r="W948" s="38"/>
      <c r="X948" s="167"/>
    </row>
    <row r="949" spans="1:25" ht="15.75" customHeight="1" x14ac:dyDescent="0.25">
      <c r="A949" s="3"/>
      <c r="B949" s="3"/>
      <c r="C949" s="37" t="s">
        <v>979</v>
      </c>
      <c r="D949" s="14"/>
      <c r="E949" s="14"/>
      <c r="F949" s="14"/>
      <c r="G949" s="61">
        <f t="shared" si="403"/>
        <v>0</v>
      </c>
      <c r="H949" s="15"/>
      <c r="I949" s="14"/>
      <c r="J949" s="14"/>
      <c r="K949" s="14"/>
      <c r="L949" s="14">
        <f t="shared" si="404"/>
        <v>0</v>
      </c>
      <c r="M949" s="62">
        <f t="shared" si="405"/>
        <v>0</v>
      </c>
      <c r="N949" s="14"/>
      <c r="O949" s="38"/>
      <c r="P949" s="15">
        <v>100</v>
      </c>
      <c r="Q949" s="241"/>
      <c r="R949" s="38"/>
      <c r="S949" s="38"/>
      <c r="T949" s="38"/>
      <c r="U949" s="38"/>
      <c r="V949" s="38"/>
      <c r="W949" s="38"/>
      <c r="X949" s="167"/>
    </row>
    <row r="950" spans="1:25" ht="15.75" customHeight="1" x14ac:dyDescent="0.25">
      <c r="A950" s="3"/>
      <c r="B950" s="3"/>
      <c r="C950" s="37" t="s">
        <v>980</v>
      </c>
      <c r="D950" s="14"/>
      <c r="E950" s="14"/>
      <c r="F950" s="14"/>
      <c r="G950" s="61">
        <f t="shared" si="403"/>
        <v>0</v>
      </c>
      <c r="H950" s="15"/>
      <c r="I950" s="14"/>
      <c r="J950" s="14"/>
      <c r="K950" s="14"/>
      <c r="L950" s="14">
        <f t="shared" si="404"/>
        <v>0</v>
      </c>
      <c r="M950" s="62">
        <f t="shared" si="405"/>
        <v>0</v>
      </c>
      <c r="N950" s="14"/>
      <c r="O950" s="38"/>
      <c r="P950" s="15">
        <v>100</v>
      </c>
      <c r="Q950" s="241"/>
      <c r="R950" s="38"/>
      <c r="S950" s="38"/>
      <c r="T950" s="38"/>
      <c r="U950" s="38"/>
      <c r="V950" s="38"/>
      <c r="W950" s="38"/>
      <c r="X950" s="167"/>
    </row>
    <row r="951" spans="1:25" ht="15.75" customHeight="1" x14ac:dyDescent="0.25">
      <c r="A951" s="3"/>
      <c r="B951" s="3"/>
      <c r="C951" s="37" t="s">
        <v>981</v>
      </c>
      <c r="D951" s="14"/>
      <c r="E951" s="14"/>
      <c r="F951" s="14"/>
      <c r="G951" s="61">
        <f t="shared" si="403"/>
        <v>0</v>
      </c>
      <c r="H951" s="15"/>
      <c r="I951" s="14"/>
      <c r="J951" s="14"/>
      <c r="K951" s="14"/>
      <c r="L951" s="14">
        <f t="shared" si="404"/>
        <v>0</v>
      </c>
      <c r="M951" s="62">
        <f t="shared" si="405"/>
        <v>0</v>
      </c>
      <c r="N951" s="14"/>
      <c r="O951" s="38"/>
      <c r="P951" s="15">
        <v>500</v>
      </c>
      <c r="Q951" s="241"/>
      <c r="R951" s="38"/>
      <c r="S951" s="38"/>
      <c r="T951" s="38"/>
      <c r="U951" s="38"/>
      <c r="V951" s="38"/>
      <c r="W951" s="38"/>
      <c r="X951" s="167"/>
    </row>
    <row r="952" spans="1:25" ht="15.75" customHeight="1" x14ac:dyDescent="0.25">
      <c r="A952" s="3"/>
      <c r="B952" s="3"/>
      <c r="C952" s="37" t="s">
        <v>982</v>
      </c>
      <c r="D952" s="14"/>
      <c r="E952" s="14"/>
      <c r="F952" s="14"/>
      <c r="G952" s="61">
        <f t="shared" si="403"/>
        <v>0</v>
      </c>
      <c r="H952" s="15"/>
      <c r="I952" s="14"/>
      <c r="J952" s="14"/>
      <c r="K952" s="14"/>
      <c r="L952" s="14">
        <f t="shared" si="404"/>
        <v>0</v>
      </c>
      <c r="M952" s="62">
        <f t="shared" si="405"/>
        <v>0</v>
      </c>
      <c r="N952" s="14"/>
      <c r="O952" s="38"/>
      <c r="P952" s="15">
        <v>300</v>
      </c>
      <c r="Q952" s="241"/>
      <c r="R952" s="38"/>
      <c r="S952" s="38"/>
      <c r="T952" s="38"/>
      <c r="U952" s="38"/>
      <c r="V952" s="38"/>
      <c r="W952" s="38"/>
      <c r="X952" s="167"/>
    </row>
    <row r="953" spans="1:25" ht="15.75" customHeight="1" x14ac:dyDescent="0.25">
      <c r="A953" s="3"/>
      <c r="B953" s="3"/>
      <c r="C953" s="37" t="s">
        <v>983</v>
      </c>
      <c r="D953" s="14"/>
      <c r="E953" s="14"/>
      <c r="F953" s="14"/>
      <c r="G953" s="61">
        <f t="shared" si="403"/>
        <v>0</v>
      </c>
      <c r="H953" s="15"/>
      <c r="I953" s="14"/>
      <c r="J953" s="14"/>
      <c r="K953" s="14"/>
      <c r="L953" s="14">
        <f t="shared" si="404"/>
        <v>0</v>
      </c>
      <c r="M953" s="62">
        <f t="shared" si="405"/>
        <v>0</v>
      </c>
      <c r="N953" s="14"/>
      <c r="O953" s="38"/>
      <c r="P953" s="15">
        <v>190</v>
      </c>
      <c r="Q953" s="241"/>
      <c r="R953" s="38"/>
      <c r="S953" s="38"/>
      <c r="T953" s="38"/>
      <c r="U953" s="38"/>
      <c r="V953" s="38"/>
      <c r="W953" s="38"/>
      <c r="X953" s="167"/>
    </row>
    <row r="954" spans="1:25" ht="15.75" customHeight="1" x14ac:dyDescent="0.25">
      <c r="A954" s="3"/>
      <c r="B954" s="3"/>
      <c r="C954" s="37" t="s">
        <v>444</v>
      </c>
      <c r="D954" s="14"/>
      <c r="E954" s="14"/>
      <c r="F954" s="14"/>
      <c r="G954" s="61">
        <f t="shared" si="403"/>
        <v>0</v>
      </c>
      <c r="H954" s="15"/>
      <c r="I954" s="14"/>
      <c r="J954" s="14"/>
      <c r="K954" s="14"/>
      <c r="L954" s="14">
        <f t="shared" si="404"/>
        <v>0</v>
      </c>
      <c r="M954" s="62">
        <f t="shared" si="405"/>
        <v>0</v>
      </c>
      <c r="N954" s="14"/>
      <c r="O954" s="38"/>
      <c r="P954" s="15">
        <v>1500</v>
      </c>
      <c r="Q954" s="241"/>
      <c r="R954" s="38"/>
      <c r="S954" s="38"/>
      <c r="T954" s="38"/>
      <c r="U954" s="38"/>
      <c r="V954" s="38"/>
      <c r="W954" s="38"/>
      <c r="X954" s="167"/>
    </row>
    <row r="955" spans="1:25" ht="15.75" customHeight="1" x14ac:dyDescent="0.25">
      <c r="A955" s="3"/>
      <c r="B955" s="3"/>
      <c r="C955" s="37" t="s">
        <v>984</v>
      </c>
      <c r="D955" s="14"/>
      <c r="E955" s="14"/>
      <c r="F955" s="14"/>
      <c r="G955" s="61">
        <f t="shared" si="403"/>
        <v>0</v>
      </c>
      <c r="H955" s="15"/>
      <c r="I955" s="14"/>
      <c r="J955" s="14"/>
      <c r="K955" s="14"/>
      <c r="L955" s="14">
        <f t="shared" si="404"/>
        <v>0</v>
      </c>
      <c r="M955" s="62">
        <f t="shared" si="405"/>
        <v>0</v>
      </c>
      <c r="N955" s="14"/>
      <c r="O955" s="38"/>
      <c r="P955" s="15">
        <v>300</v>
      </c>
      <c r="Q955" s="241"/>
      <c r="R955" s="38"/>
      <c r="S955" s="38"/>
      <c r="T955" s="38"/>
      <c r="U955" s="38"/>
      <c r="V955" s="38"/>
      <c r="W955" s="38"/>
      <c r="X955" s="167"/>
    </row>
    <row r="956" spans="1:25" ht="15.75" customHeight="1" x14ac:dyDescent="0.25">
      <c r="A956" s="3"/>
      <c r="B956" s="3"/>
      <c r="C956" s="37" t="s">
        <v>445</v>
      </c>
      <c r="D956" s="14"/>
      <c r="E956" s="14"/>
      <c r="F956" s="14"/>
      <c r="G956" s="61">
        <f t="shared" si="403"/>
        <v>0</v>
      </c>
      <c r="H956" s="15"/>
      <c r="I956" s="14"/>
      <c r="J956" s="14"/>
      <c r="K956" s="14"/>
      <c r="L956" s="14">
        <f t="shared" si="404"/>
        <v>0</v>
      </c>
      <c r="M956" s="62">
        <f t="shared" si="405"/>
        <v>0</v>
      </c>
      <c r="N956" s="14"/>
      <c r="O956" s="38"/>
      <c r="P956" s="15">
        <v>1500</v>
      </c>
      <c r="Q956" s="241"/>
      <c r="R956" s="38"/>
      <c r="S956" s="38"/>
      <c r="T956" s="38"/>
      <c r="U956" s="38"/>
      <c r="V956" s="38"/>
      <c r="W956" s="38"/>
      <c r="X956" s="167"/>
    </row>
    <row r="957" spans="1:25" ht="15.75" customHeight="1" x14ac:dyDescent="0.25">
      <c r="A957" s="3"/>
      <c r="B957" s="3"/>
      <c r="C957" s="37" t="s">
        <v>417</v>
      </c>
      <c r="D957" s="14"/>
      <c r="E957" s="14"/>
      <c r="F957" s="14"/>
      <c r="G957" s="61">
        <f t="shared" si="403"/>
        <v>0</v>
      </c>
      <c r="H957" s="15"/>
      <c r="I957" s="14"/>
      <c r="J957" s="14"/>
      <c r="K957" s="14"/>
      <c r="L957" s="14">
        <f t="shared" si="404"/>
        <v>0</v>
      </c>
      <c r="M957" s="62">
        <f t="shared" si="405"/>
        <v>0</v>
      </c>
      <c r="N957" s="14"/>
      <c r="O957" s="38"/>
      <c r="P957" s="15">
        <v>3210</v>
      </c>
      <c r="Q957" s="241"/>
      <c r="R957" s="38"/>
      <c r="S957" s="38"/>
      <c r="T957" s="38"/>
      <c r="U957" s="38"/>
      <c r="V957" s="38"/>
      <c r="W957" s="38"/>
      <c r="X957" s="167"/>
    </row>
    <row r="958" spans="1:25" ht="15.75" customHeight="1" x14ac:dyDescent="0.25">
      <c r="A958" s="3"/>
      <c r="B958" s="3"/>
      <c r="C958" s="37" t="s">
        <v>446</v>
      </c>
      <c r="D958" s="14"/>
      <c r="E958" s="14"/>
      <c r="F958" s="14"/>
      <c r="G958" s="61">
        <f t="shared" si="403"/>
        <v>0</v>
      </c>
      <c r="H958" s="15"/>
      <c r="I958" s="14"/>
      <c r="J958" s="14"/>
      <c r="K958" s="14"/>
      <c r="L958" s="14">
        <f t="shared" si="404"/>
        <v>0</v>
      </c>
      <c r="M958" s="62">
        <f t="shared" si="405"/>
        <v>0</v>
      </c>
      <c r="N958" s="14"/>
      <c r="O958" s="38"/>
      <c r="P958" s="15">
        <v>1500</v>
      </c>
      <c r="Q958" s="241"/>
      <c r="R958" s="38"/>
      <c r="S958" s="38"/>
      <c r="T958" s="38"/>
      <c r="U958" s="38"/>
      <c r="V958" s="38"/>
      <c r="W958" s="38"/>
      <c r="X958" s="167"/>
    </row>
    <row r="959" spans="1:25" ht="15.75" customHeight="1" x14ac:dyDescent="0.25">
      <c r="A959" s="3"/>
      <c r="B959" s="3"/>
      <c r="C959" s="37" t="s">
        <v>985</v>
      </c>
      <c r="D959" s="14"/>
      <c r="E959" s="14"/>
      <c r="F959" s="14"/>
      <c r="G959" s="61">
        <f t="shared" si="403"/>
        <v>0</v>
      </c>
      <c r="H959" s="15"/>
      <c r="I959" s="14"/>
      <c r="J959" s="14"/>
      <c r="K959" s="14"/>
      <c r="L959" s="14">
        <f t="shared" si="404"/>
        <v>0</v>
      </c>
      <c r="M959" s="62">
        <f t="shared" si="405"/>
        <v>0</v>
      </c>
      <c r="N959" s="14"/>
      <c r="O959" s="38"/>
      <c r="P959" s="15"/>
      <c r="Q959" s="241">
        <v>300</v>
      </c>
      <c r="R959" s="38"/>
      <c r="S959" s="38"/>
      <c r="T959" s="38"/>
      <c r="U959" s="38"/>
      <c r="V959" s="38"/>
      <c r="W959" s="38"/>
      <c r="X959" s="167"/>
    </row>
    <row r="960" spans="1:25" ht="15.75" customHeight="1" x14ac:dyDescent="0.25">
      <c r="A960" s="3"/>
      <c r="B960" s="3"/>
      <c r="C960" s="37" t="s">
        <v>986</v>
      </c>
      <c r="D960" s="14"/>
      <c r="E960" s="14"/>
      <c r="F960" s="14"/>
      <c r="G960" s="61">
        <f t="shared" si="403"/>
        <v>0</v>
      </c>
      <c r="H960" s="15"/>
      <c r="I960" s="14"/>
      <c r="J960" s="14"/>
      <c r="K960" s="14"/>
      <c r="L960" s="14">
        <f t="shared" si="404"/>
        <v>0</v>
      </c>
      <c r="M960" s="62">
        <f t="shared" si="405"/>
        <v>0</v>
      </c>
      <c r="N960" s="14"/>
      <c r="O960" s="38"/>
      <c r="P960" s="15">
        <v>700</v>
      </c>
      <c r="Q960" s="241"/>
      <c r="R960" s="38"/>
      <c r="S960" s="38"/>
      <c r="T960" s="38"/>
      <c r="U960" s="38"/>
      <c r="V960" s="38"/>
      <c r="W960" s="38"/>
      <c r="X960" s="167"/>
      <c r="Y960" s="277" t="s">
        <v>975</v>
      </c>
    </row>
    <row r="961" spans="1:31" ht="15.75" customHeight="1" x14ac:dyDescent="0.25">
      <c r="C961" s="40" t="s">
        <v>188</v>
      </c>
      <c r="D961" s="89">
        <f>SUM(D932:D942)</f>
        <v>119306</v>
      </c>
      <c r="E961" s="89">
        <f>SUM(E932:E942)</f>
        <v>56916</v>
      </c>
      <c r="F961" s="89">
        <f>SUM(F932:F942)</f>
        <v>500</v>
      </c>
      <c r="G961" s="27">
        <f t="shared" ref="G961:G1012" si="406">SUM(D961:F961)</f>
        <v>176722</v>
      </c>
      <c r="H961" s="89">
        <f>SUM(H932:H960)</f>
        <v>7577.25</v>
      </c>
      <c r="I961" s="89">
        <f>SUM(I932:I960)</f>
        <v>135548</v>
      </c>
      <c r="J961" s="89">
        <f>SUM(J932:J960)</f>
        <v>66792</v>
      </c>
      <c r="K961" s="89">
        <f>SUM(K932:K960)</f>
        <v>460</v>
      </c>
      <c r="L961" s="89">
        <f t="shared" ref="L961:L1012" si="407">SUM(I961:K961)</f>
        <v>202800</v>
      </c>
      <c r="M961" s="28">
        <f t="shared" ref="M961:M1012" si="408">(L961-G961)</f>
        <v>26078</v>
      </c>
      <c r="N961" s="89">
        <f t="shared" ref="N961:X961" si="409">SUM(N932:N960)</f>
        <v>174959</v>
      </c>
      <c r="O961" s="89">
        <f t="shared" si="409"/>
        <v>1175</v>
      </c>
      <c r="P961" s="89">
        <f t="shared" si="409"/>
        <v>12800</v>
      </c>
      <c r="Q961" s="246">
        <f t="shared" si="409"/>
        <v>1564</v>
      </c>
      <c r="R961" s="89">
        <f t="shared" si="409"/>
        <v>0</v>
      </c>
      <c r="S961" s="89">
        <f t="shared" si="409"/>
        <v>0</v>
      </c>
      <c r="T961" s="89">
        <f t="shared" si="409"/>
        <v>0</v>
      </c>
      <c r="U961" s="89">
        <f t="shared" si="409"/>
        <v>23803</v>
      </c>
      <c r="V961" s="89">
        <f t="shared" si="409"/>
        <v>0</v>
      </c>
      <c r="W961" s="89">
        <f t="shared" si="409"/>
        <v>23803</v>
      </c>
      <c r="X961" s="89">
        <f t="shared" si="409"/>
        <v>0</v>
      </c>
    </row>
    <row r="962" spans="1:31" ht="15.75" customHeight="1" x14ac:dyDescent="0.25">
      <c r="A962" s="3" t="e">
        <f>A943</f>
        <v>#REF!</v>
      </c>
      <c r="B962" s="32" t="s">
        <v>170</v>
      </c>
      <c r="C962" s="32" t="s">
        <v>170</v>
      </c>
      <c r="D962" s="74">
        <v>61464</v>
      </c>
      <c r="E962" s="74">
        <v>27926</v>
      </c>
      <c r="F962" s="74">
        <v>500</v>
      </c>
      <c r="G962" s="61">
        <f t="shared" si="406"/>
        <v>89890</v>
      </c>
      <c r="H962" s="15"/>
      <c r="I962" s="74"/>
      <c r="J962" s="74"/>
      <c r="K962" s="74"/>
      <c r="L962" s="14">
        <f t="shared" si="407"/>
        <v>0</v>
      </c>
      <c r="M962" s="62">
        <f t="shared" si="408"/>
        <v>-89890</v>
      </c>
      <c r="N962" s="90"/>
      <c r="O962" s="102"/>
      <c r="P962" s="90"/>
      <c r="Q962" s="247"/>
      <c r="R962" s="102"/>
      <c r="S962" s="102"/>
      <c r="T962" s="102"/>
      <c r="U962" s="102"/>
      <c r="V962" s="102"/>
      <c r="W962" s="102"/>
      <c r="X962" s="179"/>
    </row>
    <row r="963" spans="1:31" ht="15.75" customHeight="1" x14ac:dyDescent="0.25">
      <c r="A963" s="3" t="e">
        <f>A962</f>
        <v>#REF!</v>
      </c>
      <c r="B963" s="32" t="s">
        <v>170</v>
      </c>
      <c r="C963" s="13" t="s">
        <v>414</v>
      </c>
      <c r="D963" s="14"/>
      <c r="E963" s="14">
        <v>3025</v>
      </c>
      <c r="F963" s="14"/>
      <c r="G963" s="61">
        <f t="shared" si="406"/>
        <v>3025</v>
      </c>
      <c r="H963" s="15"/>
      <c r="I963" s="14"/>
      <c r="J963" s="14"/>
      <c r="K963" s="14"/>
      <c r="L963" s="14">
        <f t="shared" si="407"/>
        <v>0</v>
      </c>
      <c r="M963" s="62">
        <f t="shared" si="408"/>
        <v>-3025</v>
      </c>
      <c r="N963" s="14"/>
      <c r="O963" s="38"/>
      <c r="P963" s="15"/>
      <c r="Q963" s="241"/>
      <c r="R963" s="38"/>
      <c r="S963" s="38"/>
      <c r="T963" s="38"/>
      <c r="U963" s="38"/>
      <c r="V963" s="38"/>
      <c r="W963" s="38"/>
      <c r="X963" s="167"/>
      <c r="Y963" s="279"/>
      <c r="Z963" s="3"/>
      <c r="AA963" s="3"/>
      <c r="AB963" s="3"/>
      <c r="AC963" s="3"/>
      <c r="AD963" s="3"/>
      <c r="AE963" s="3"/>
    </row>
    <row r="964" spans="1:31" ht="15.75" customHeight="1" x14ac:dyDescent="0.25">
      <c r="A964" s="3" t="e">
        <f t="shared" ref="A964:A970" si="410">A963</f>
        <v>#REF!</v>
      </c>
      <c r="B964" s="32" t="s">
        <v>170</v>
      </c>
      <c r="C964" s="13" t="s">
        <v>400</v>
      </c>
      <c r="D964" s="14">
        <v>4924</v>
      </c>
      <c r="E964" s="14"/>
      <c r="F964" s="14"/>
      <c r="G964" s="61">
        <f t="shared" si="406"/>
        <v>4924</v>
      </c>
      <c r="H964" s="15"/>
      <c r="I964" s="14"/>
      <c r="J964" s="14"/>
      <c r="K964" s="14"/>
      <c r="L964" s="14">
        <f t="shared" si="407"/>
        <v>0</v>
      </c>
      <c r="M964" s="62">
        <f t="shared" si="408"/>
        <v>-4924</v>
      </c>
      <c r="N964" s="15"/>
      <c r="O964" s="38"/>
      <c r="P964" s="15"/>
      <c r="Q964" s="241"/>
      <c r="R964" s="38"/>
      <c r="S964" s="38"/>
      <c r="T964" s="38"/>
      <c r="U964" s="38"/>
      <c r="V964" s="38"/>
      <c r="W964" s="38"/>
      <c r="X964" s="167"/>
      <c r="Y964" s="279"/>
      <c r="Z964" s="3"/>
      <c r="AA964" s="3"/>
      <c r="AB964" s="3"/>
      <c r="AC964" s="3"/>
      <c r="AD964" s="3"/>
      <c r="AE964" s="3"/>
    </row>
    <row r="965" spans="1:31" ht="15.75" customHeight="1" x14ac:dyDescent="0.25">
      <c r="A965" s="3" t="e">
        <f t="shared" si="410"/>
        <v>#REF!</v>
      </c>
      <c r="B965" s="32" t="s">
        <v>170</v>
      </c>
      <c r="C965" s="13" t="s">
        <v>401</v>
      </c>
      <c r="D965" s="14"/>
      <c r="E965" s="14"/>
      <c r="F965" s="14"/>
      <c r="G965" s="61">
        <f t="shared" si="406"/>
        <v>0</v>
      </c>
      <c r="H965" s="15"/>
      <c r="I965" s="14"/>
      <c r="J965" s="14"/>
      <c r="K965" s="14"/>
      <c r="L965" s="14">
        <f t="shared" si="407"/>
        <v>0</v>
      </c>
      <c r="M965" s="62">
        <f t="shared" si="408"/>
        <v>0</v>
      </c>
      <c r="N965" s="14"/>
      <c r="O965" s="38"/>
      <c r="P965" s="15"/>
      <c r="Q965" s="241"/>
      <c r="R965" s="38"/>
      <c r="S965" s="38"/>
      <c r="T965" s="38"/>
      <c r="U965" s="38"/>
      <c r="V965" s="38"/>
      <c r="W965" s="38"/>
      <c r="X965" s="167"/>
      <c r="Y965" s="279"/>
      <c r="Z965" s="3"/>
      <c r="AA965" s="3"/>
      <c r="AB965" s="3"/>
      <c r="AC965" s="3"/>
      <c r="AD965" s="3"/>
      <c r="AE965" s="3"/>
    </row>
    <row r="966" spans="1:31" ht="15.75" customHeight="1" x14ac:dyDescent="0.25">
      <c r="A966" s="3" t="e">
        <f t="shared" si="410"/>
        <v>#REF!</v>
      </c>
      <c r="B966" s="32" t="s">
        <v>170</v>
      </c>
      <c r="C966" s="13" t="s">
        <v>402</v>
      </c>
      <c r="D966" s="14"/>
      <c r="E966" s="14"/>
      <c r="F966" s="14"/>
      <c r="G966" s="61">
        <f t="shared" si="406"/>
        <v>0</v>
      </c>
      <c r="H966" s="15"/>
      <c r="I966" s="14"/>
      <c r="J966" s="14"/>
      <c r="K966" s="14"/>
      <c r="L966" s="14">
        <f t="shared" si="407"/>
        <v>0</v>
      </c>
      <c r="M966" s="62">
        <f t="shared" si="408"/>
        <v>0</v>
      </c>
      <c r="N966" s="14"/>
      <c r="O966" s="38"/>
      <c r="P966" s="15"/>
      <c r="Q966" s="241"/>
      <c r="R966" s="38"/>
      <c r="S966" s="38"/>
      <c r="T966" s="38"/>
      <c r="U966" s="38"/>
      <c r="V966" s="38"/>
      <c r="W966" s="38"/>
      <c r="X966" s="167"/>
      <c r="Y966" s="279"/>
      <c r="Z966" s="3"/>
      <c r="AA966" s="3"/>
      <c r="AB966" s="3"/>
      <c r="AC966" s="3"/>
      <c r="AD966" s="3"/>
      <c r="AE966" s="3"/>
    </row>
    <row r="967" spans="1:31" ht="15.75" customHeight="1" x14ac:dyDescent="0.25">
      <c r="A967" s="3" t="e">
        <f t="shared" si="410"/>
        <v>#REF!</v>
      </c>
      <c r="B967" s="32" t="s">
        <v>170</v>
      </c>
      <c r="C967" s="13" t="s">
        <v>861</v>
      </c>
      <c r="D967" s="14"/>
      <c r="E967" s="14"/>
      <c r="F967" s="14"/>
      <c r="G967" s="61">
        <f t="shared" si="406"/>
        <v>0</v>
      </c>
      <c r="H967" s="15"/>
      <c r="I967" s="14"/>
      <c r="J967" s="14"/>
      <c r="K967" s="14"/>
      <c r="L967" s="14">
        <f t="shared" si="407"/>
        <v>0</v>
      </c>
      <c r="M967" s="62">
        <f t="shared" si="408"/>
        <v>0</v>
      </c>
      <c r="N967" s="15"/>
      <c r="O967" s="38"/>
      <c r="P967" s="15"/>
      <c r="Q967" s="241"/>
      <c r="R967" s="38"/>
      <c r="S967" s="38"/>
      <c r="T967" s="38"/>
      <c r="U967" s="38"/>
      <c r="V967" s="38"/>
      <c r="W967" s="38"/>
      <c r="X967" s="167"/>
      <c r="Y967" s="279"/>
      <c r="Z967" s="3"/>
      <c r="AA967" s="3"/>
      <c r="AB967" s="3"/>
      <c r="AC967" s="3"/>
      <c r="AD967" s="3"/>
      <c r="AE967" s="3"/>
    </row>
    <row r="968" spans="1:31" ht="15.75" customHeight="1" x14ac:dyDescent="0.25">
      <c r="A968" s="3" t="e">
        <f t="shared" si="410"/>
        <v>#REF!</v>
      </c>
      <c r="B968" s="32" t="s">
        <v>170</v>
      </c>
      <c r="C968" s="13" t="s">
        <v>426</v>
      </c>
      <c r="D968" s="14"/>
      <c r="E968" s="14"/>
      <c r="F968" s="14"/>
      <c r="G968" s="61">
        <f t="shared" si="406"/>
        <v>0</v>
      </c>
      <c r="H968" s="15"/>
      <c r="I968" s="14"/>
      <c r="J968" s="14"/>
      <c r="K968" s="14"/>
      <c r="L968" s="14">
        <f t="shared" si="407"/>
        <v>0</v>
      </c>
      <c r="M968" s="62">
        <f t="shared" si="408"/>
        <v>0</v>
      </c>
      <c r="N968" s="15"/>
      <c r="O968" s="38"/>
      <c r="P968" s="15"/>
      <c r="Q968" s="241"/>
      <c r="R968" s="38"/>
      <c r="S968" s="38"/>
      <c r="T968" s="38"/>
      <c r="U968" s="38"/>
      <c r="V968" s="38"/>
      <c r="W968" s="38"/>
      <c r="X968" s="167"/>
      <c r="Y968" s="279"/>
      <c r="Z968" s="3"/>
      <c r="AA968" s="3"/>
      <c r="AB968" s="3"/>
      <c r="AC968" s="3"/>
      <c r="AD968" s="3"/>
      <c r="AE968" s="3"/>
    </row>
    <row r="969" spans="1:31" ht="15.75" customHeight="1" x14ac:dyDescent="0.25">
      <c r="A969" s="3" t="e">
        <f t="shared" si="410"/>
        <v>#REF!</v>
      </c>
      <c r="B969" s="32" t="s">
        <v>170</v>
      </c>
      <c r="C969" s="13" t="s">
        <v>987</v>
      </c>
      <c r="D969" s="14"/>
      <c r="E969" s="14"/>
      <c r="F969" s="14"/>
      <c r="G969" s="61">
        <f t="shared" si="406"/>
        <v>0</v>
      </c>
      <c r="H969" s="15"/>
      <c r="I969" s="14"/>
      <c r="J969" s="14"/>
      <c r="K969" s="14"/>
      <c r="L969" s="14">
        <f t="shared" si="407"/>
        <v>0</v>
      </c>
      <c r="M969" s="62">
        <f t="shared" si="408"/>
        <v>0</v>
      </c>
      <c r="N969" s="15"/>
      <c r="O969" s="38"/>
      <c r="P969" s="15"/>
      <c r="Q969" s="241"/>
      <c r="R969" s="38"/>
      <c r="S969" s="38"/>
      <c r="T969" s="38">
        <v>5650</v>
      </c>
      <c r="U969" s="38"/>
      <c r="V969" s="38"/>
      <c r="W969" s="38"/>
      <c r="X969" s="167"/>
    </row>
    <row r="970" spans="1:31" ht="15.75" customHeight="1" x14ac:dyDescent="0.25">
      <c r="A970" s="3" t="e">
        <f t="shared" si="410"/>
        <v>#REF!</v>
      </c>
      <c r="B970" s="32" t="s">
        <v>170</v>
      </c>
      <c r="C970" s="13" t="s">
        <v>955</v>
      </c>
      <c r="D970" s="14"/>
      <c r="E970" s="14"/>
      <c r="F970" s="14"/>
      <c r="G970" s="61">
        <f t="shared" si="406"/>
        <v>0</v>
      </c>
      <c r="H970" s="15"/>
      <c r="I970" s="14"/>
      <c r="J970" s="14"/>
      <c r="K970" s="14"/>
      <c r="L970" s="14">
        <f t="shared" si="407"/>
        <v>0</v>
      </c>
      <c r="M970" s="62">
        <f t="shared" si="408"/>
        <v>0</v>
      </c>
      <c r="N970" s="15"/>
      <c r="O970" s="38"/>
      <c r="P970" s="15"/>
      <c r="Q970" s="241"/>
      <c r="R970" s="38"/>
      <c r="S970" s="38"/>
      <c r="T970" s="38"/>
      <c r="U970" s="38"/>
      <c r="V970" s="38"/>
      <c r="W970" s="38"/>
      <c r="X970" s="167"/>
    </row>
    <row r="971" spans="1:31" ht="15.75" customHeight="1" x14ac:dyDescent="0.25">
      <c r="C971" s="40" t="s">
        <v>188</v>
      </c>
      <c r="D971" s="89">
        <f>SUM(D962:D970)</f>
        <v>66388</v>
      </c>
      <c r="E971" s="89">
        <f>SUM(E962:E970)</f>
        <v>30951</v>
      </c>
      <c r="F971" s="89">
        <f>SUM(F962:F970)</f>
        <v>500</v>
      </c>
      <c r="G971" s="27">
        <f t="shared" si="406"/>
        <v>97839</v>
      </c>
      <c r="H971" s="210"/>
      <c r="I971" s="89">
        <f>SUM(I962:I970)</f>
        <v>0</v>
      </c>
      <c r="J971" s="89">
        <f>SUM(J962:J970)</f>
        <v>0</v>
      </c>
      <c r="K971" s="89">
        <f>SUM(K962:K970)</f>
        <v>0</v>
      </c>
      <c r="L971" s="89">
        <f t="shared" si="407"/>
        <v>0</v>
      </c>
      <c r="M971" s="28">
        <f t="shared" si="408"/>
        <v>-97839</v>
      </c>
      <c r="N971" s="89">
        <f t="shared" ref="N971:X971" si="411">SUM(N962:N970)</f>
        <v>0</v>
      </c>
      <c r="O971" s="107">
        <f t="shared" si="411"/>
        <v>0</v>
      </c>
      <c r="P971" s="210"/>
      <c r="Q971" s="246"/>
      <c r="R971" s="107">
        <f t="shared" si="411"/>
        <v>0</v>
      </c>
      <c r="S971" s="107">
        <f t="shared" si="411"/>
        <v>0</v>
      </c>
      <c r="T971" s="107">
        <f t="shared" si="411"/>
        <v>5650</v>
      </c>
      <c r="U971" s="107">
        <f t="shared" si="411"/>
        <v>0</v>
      </c>
      <c r="V971" s="107">
        <f t="shared" si="411"/>
        <v>0</v>
      </c>
      <c r="W971" s="107">
        <f t="shared" si="411"/>
        <v>0</v>
      </c>
      <c r="X971" s="107">
        <f t="shared" si="411"/>
        <v>0</v>
      </c>
    </row>
    <row r="972" spans="1:31" ht="15.75" customHeight="1" x14ac:dyDescent="0.25">
      <c r="A972" s="3" t="e">
        <f>A970</f>
        <v>#REF!</v>
      </c>
      <c r="B972" s="32" t="s">
        <v>163</v>
      </c>
      <c r="C972" s="32" t="s">
        <v>163</v>
      </c>
      <c r="D972" s="74">
        <v>229032</v>
      </c>
      <c r="E972" s="74">
        <v>116013</v>
      </c>
      <c r="F972" s="74">
        <v>4573</v>
      </c>
      <c r="G972" s="61">
        <f t="shared" si="406"/>
        <v>349618</v>
      </c>
      <c r="H972" s="15">
        <v>4256.83</v>
      </c>
      <c r="I972" s="112">
        <v>256687</v>
      </c>
      <c r="J972" s="112">
        <v>180019</v>
      </c>
      <c r="K972" s="112">
        <v>1000</v>
      </c>
      <c r="L972" s="14">
        <f t="shared" si="407"/>
        <v>437706</v>
      </c>
      <c r="M972" s="62">
        <f t="shared" si="408"/>
        <v>88088</v>
      </c>
      <c r="N972" s="112"/>
      <c r="O972" s="102"/>
      <c r="P972" s="90"/>
      <c r="Q972" s="247"/>
      <c r="R972" s="102"/>
      <c r="S972" s="102"/>
      <c r="T972" s="102"/>
      <c r="U972" s="102"/>
      <c r="V972" s="102"/>
      <c r="W972" s="102"/>
      <c r="X972" s="179"/>
    </row>
    <row r="973" spans="1:31" ht="15.75" customHeight="1" x14ac:dyDescent="0.25">
      <c r="A973" s="3" t="e">
        <f>A972</f>
        <v>#REF!</v>
      </c>
      <c r="B973" s="32" t="s">
        <v>163</v>
      </c>
      <c r="C973" s="13" t="s">
        <v>414</v>
      </c>
      <c r="D973" s="14"/>
      <c r="E973" s="14">
        <v>55169</v>
      </c>
      <c r="F973" s="14"/>
      <c r="G973" s="61">
        <f t="shared" si="406"/>
        <v>55169</v>
      </c>
      <c r="H973" s="15"/>
      <c r="I973" s="45"/>
      <c r="J973" s="45">
        <v>74783</v>
      </c>
      <c r="K973" s="45"/>
      <c r="L973" s="14">
        <f t="shared" si="407"/>
        <v>74783</v>
      </c>
      <c r="M973" s="62">
        <f t="shared" si="408"/>
        <v>19614</v>
      </c>
      <c r="N973" s="45">
        <v>19482</v>
      </c>
      <c r="O973" s="38"/>
      <c r="P973" s="15"/>
      <c r="Q973" s="241"/>
      <c r="R973" s="38"/>
      <c r="S973" s="38"/>
      <c r="T973" s="38"/>
      <c r="U973" s="38"/>
      <c r="V973" s="38"/>
      <c r="W973" s="38"/>
      <c r="X973" s="167"/>
      <c r="Y973" s="279"/>
      <c r="Z973" s="3"/>
      <c r="AA973" s="3"/>
      <c r="AB973" s="3"/>
      <c r="AC973" s="3"/>
      <c r="AD973" s="3"/>
      <c r="AE973" s="3"/>
    </row>
    <row r="974" spans="1:31" ht="15.75" customHeight="1" x14ac:dyDescent="0.25">
      <c r="A974" s="3" t="e">
        <f t="shared" ref="A974:A985" si="412">A973</f>
        <v>#REF!</v>
      </c>
      <c r="B974" s="32" t="s">
        <v>163</v>
      </c>
      <c r="C974" s="13" t="s">
        <v>400</v>
      </c>
      <c r="D974" s="14">
        <v>24620</v>
      </c>
      <c r="E974" s="14"/>
      <c r="F974" s="14"/>
      <c r="G974" s="61">
        <f t="shared" si="406"/>
        <v>24620</v>
      </c>
      <c r="H974" s="15"/>
      <c r="I974" s="45"/>
      <c r="J974" s="45"/>
      <c r="K974" s="45"/>
      <c r="L974" s="14">
        <f t="shared" si="407"/>
        <v>0</v>
      </c>
      <c r="M974" s="62">
        <f t="shared" si="408"/>
        <v>-24620</v>
      </c>
      <c r="N974" s="45">
        <v>26696</v>
      </c>
      <c r="O974" s="38"/>
      <c r="P974" s="15"/>
      <c r="Q974" s="241"/>
      <c r="R974" s="38"/>
      <c r="S974" s="38"/>
      <c r="T974" s="38"/>
      <c r="U974" s="38"/>
      <c r="V974" s="38"/>
      <c r="W974" s="38"/>
      <c r="X974" s="167"/>
      <c r="Y974" s="279"/>
      <c r="Z974" s="3"/>
      <c r="AA974" s="3"/>
      <c r="AB974" s="3"/>
      <c r="AC974" s="3"/>
      <c r="AD974" s="3"/>
      <c r="AE974" s="3"/>
    </row>
    <row r="975" spans="1:31" ht="15.75" customHeight="1" x14ac:dyDescent="0.25">
      <c r="A975" s="3" t="e">
        <f t="shared" si="412"/>
        <v>#REF!</v>
      </c>
      <c r="B975" s="32" t="s">
        <v>163</v>
      </c>
      <c r="C975" s="13" t="s">
        <v>401</v>
      </c>
      <c r="D975" s="14"/>
      <c r="E975" s="14"/>
      <c r="F975" s="14"/>
      <c r="G975" s="61">
        <f t="shared" si="406"/>
        <v>0</v>
      </c>
      <c r="H975" s="15"/>
      <c r="I975" s="45"/>
      <c r="J975" s="45"/>
      <c r="K975" s="45"/>
      <c r="L975" s="14">
        <f t="shared" si="407"/>
        <v>0</v>
      </c>
      <c r="M975" s="62">
        <f t="shared" si="408"/>
        <v>0</v>
      </c>
      <c r="N975" s="45">
        <v>440620</v>
      </c>
      <c r="O975" s="38"/>
      <c r="P975" s="15"/>
      <c r="Q975" s="241"/>
      <c r="R975" s="38"/>
      <c r="S975" s="38"/>
      <c r="T975" s="38"/>
      <c r="U975" s="38"/>
      <c r="V975" s="38"/>
      <c r="W975" s="38"/>
      <c r="X975" s="167"/>
      <c r="Y975" s="279"/>
      <c r="Z975" s="3"/>
      <c r="AA975" s="3"/>
      <c r="AB975" s="3"/>
      <c r="AC975" s="3"/>
      <c r="AD975" s="3"/>
      <c r="AE975" s="3"/>
    </row>
    <row r="976" spans="1:31" ht="15.75" customHeight="1" x14ac:dyDescent="0.25">
      <c r="A976" s="3"/>
      <c r="B976" s="12"/>
      <c r="C976" s="13" t="s">
        <v>988</v>
      </c>
      <c r="D976" s="14"/>
      <c r="E976" s="14"/>
      <c r="F976" s="14"/>
      <c r="G976" s="61">
        <f>SUM(D976:F976)</f>
        <v>0</v>
      </c>
      <c r="H976" s="15"/>
      <c r="I976" s="45"/>
      <c r="J976" s="45"/>
      <c r="K976" s="45"/>
      <c r="L976" s="14">
        <f>SUM(I976:K976)</f>
        <v>0</v>
      </c>
      <c r="M976" s="62">
        <f>(L976-G976)</f>
        <v>0</v>
      </c>
      <c r="N976" s="45">
        <v>818</v>
      </c>
      <c r="O976" s="38"/>
      <c r="P976" s="15"/>
      <c r="Q976" s="241"/>
      <c r="R976" s="38"/>
      <c r="S976" s="38"/>
      <c r="T976" s="38"/>
      <c r="U976" s="38"/>
      <c r="V976" s="38"/>
      <c r="W976" s="38"/>
      <c r="X976" s="167"/>
      <c r="Y976" s="279"/>
      <c r="Z976" s="3"/>
      <c r="AA976" s="3"/>
      <c r="AB976" s="3"/>
      <c r="AC976" s="3"/>
      <c r="AD976" s="3"/>
      <c r="AE976" s="3"/>
    </row>
    <row r="977" spans="1:31" ht="15.75" customHeight="1" x14ac:dyDescent="0.25">
      <c r="A977" s="3"/>
      <c r="B977" s="12"/>
      <c r="C977" s="13"/>
      <c r="D977" s="14"/>
      <c r="E977" s="14"/>
      <c r="F977" s="14"/>
      <c r="G977" s="61">
        <f>SUM(D977:F977)</f>
        <v>0</v>
      </c>
      <c r="H977" s="15"/>
      <c r="I977" s="45"/>
      <c r="J977" s="45"/>
      <c r="K977" s="45"/>
      <c r="L977" s="14">
        <f>SUM(I977:K977)</f>
        <v>0</v>
      </c>
      <c r="M977" s="62">
        <f>(L977-G977)</f>
        <v>0</v>
      </c>
      <c r="N977" s="45"/>
      <c r="O977" s="38"/>
      <c r="P977" s="15"/>
      <c r="Q977" s="241"/>
      <c r="R977" s="38"/>
      <c r="S977" s="38"/>
      <c r="T977" s="38"/>
      <c r="U977" s="38"/>
      <c r="V977" s="38"/>
      <c r="W977" s="38"/>
      <c r="X977" s="167"/>
      <c r="Y977" s="279"/>
      <c r="Z977" s="3"/>
      <c r="AA977" s="3"/>
      <c r="AB977" s="3"/>
      <c r="AC977" s="3"/>
      <c r="AD977" s="3"/>
      <c r="AE977" s="3"/>
    </row>
    <row r="978" spans="1:31" ht="15.75" customHeight="1" x14ac:dyDescent="0.25">
      <c r="A978" s="3" t="e">
        <f>A975</f>
        <v>#REF!</v>
      </c>
      <c r="B978" s="32" t="s">
        <v>163</v>
      </c>
      <c r="C978" s="13" t="s">
        <v>402</v>
      </c>
      <c r="D978" s="14"/>
      <c r="E978" s="14"/>
      <c r="F978" s="14"/>
      <c r="G978" s="61">
        <f t="shared" si="406"/>
        <v>0</v>
      </c>
      <c r="H978" s="15"/>
      <c r="I978" s="45"/>
      <c r="J978" s="45"/>
      <c r="K978" s="45"/>
      <c r="L978" s="14">
        <f t="shared" si="407"/>
        <v>0</v>
      </c>
      <c r="M978" s="62">
        <f t="shared" si="408"/>
        <v>0</v>
      </c>
      <c r="N978" s="45"/>
      <c r="O978" s="38"/>
      <c r="P978" s="15"/>
      <c r="Q978" s="241"/>
      <c r="R978" s="38"/>
      <c r="S978" s="38"/>
      <c r="T978" s="38"/>
      <c r="U978" s="38"/>
      <c r="V978" s="38"/>
      <c r="W978" s="38"/>
      <c r="X978" s="167"/>
      <c r="Y978" s="279"/>
      <c r="Z978" s="3"/>
      <c r="AA978" s="3"/>
      <c r="AB978" s="3"/>
      <c r="AC978" s="3"/>
      <c r="AD978" s="3"/>
      <c r="AE978" s="3"/>
    </row>
    <row r="979" spans="1:31" ht="15.75" customHeight="1" x14ac:dyDescent="0.25">
      <c r="A979" s="3" t="e">
        <f t="shared" si="412"/>
        <v>#REF!</v>
      </c>
      <c r="B979" s="32" t="s">
        <v>163</v>
      </c>
      <c r="C979" s="13" t="s">
        <v>426</v>
      </c>
      <c r="D979" s="14"/>
      <c r="E979" s="14"/>
      <c r="F979" s="14"/>
      <c r="G979" s="61">
        <f t="shared" si="406"/>
        <v>0</v>
      </c>
      <c r="H979" s="15"/>
      <c r="I979" s="45"/>
      <c r="J979" s="45"/>
      <c r="K979" s="45"/>
      <c r="L979" s="14">
        <f t="shared" si="407"/>
        <v>0</v>
      </c>
      <c r="M979" s="62">
        <f t="shared" si="408"/>
        <v>0</v>
      </c>
      <c r="N979" s="45"/>
      <c r="O979" s="38"/>
      <c r="P979" s="15"/>
      <c r="Q979" s="241"/>
      <c r="R979" s="38"/>
      <c r="S979" s="38"/>
      <c r="T979" s="38"/>
      <c r="U979" s="38"/>
      <c r="V979" s="38"/>
      <c r="W979" s="38"/>
      <c r="X979" s="167"/>
      <c r="Y979" s="279"/>
      <c r="Z979" s="3"/>
      <c r="AA979" s="3"/>
      <c r="AB979" s="3"/>
      <c r="AC979" s="3"/>
      <c r="AD979" s="3"/>
      <c r="AE979" s="3"/>
    </row>
    <row r="980" spans="1:31" ht="15.75" customHeight="1" x14ac:dyDescent="0.25">
      <c r="A980" s="3" t="e">
        <f t="shared" si="412"/>
        <v>#REF!</v>
      </c>
      <c r="B980" s="32" t="s">
        <v>163</v>
      </c>
      <c r="C980" s="13" t="s">
        <v>427</v>
      </c>
      <c r="D980" s="14"/>
      <c r="E980" s="14">
        <v>3500</v>
      </c>
      <c r="F980" s="14"/>
      <c r="G980" s="61">
        <f t="shared" si="406"/>
        <v>3500</v>
      </c>
      <c r="H980" s="15"/>
      <c r="I980" s="45"/>
      <c r="J980" s="45">
        <v>4200</v>
      </c>
      <c r="K980" s="45"/>
      <c r="L980" s="14">
        <f t="shared" si="407"/>
        <v>4200</v>
      </c>
      <c r="M980" s="62">
        <f t="shared" si="408"/>
        <v>700</v>
      </c>
      <c r="N980" s="45"/>
      <c r="O980" s="38"/>
      <c r="P980" s="15"/>
      <c r="Q980" s="241"/>
      <c r="R980" s="38"/>
      <c r="S980" s="38"/>
      <c r="T980" s="38"/>
      <c r="U980" s="38"/>
      <c r="V980" s="38"/>
      <c r="W980" s="38"/>
      <c r="X980" s="167"/>
    </row>
    <row r="981" spans="1:31" ht="15.75" customHeight="1" x14ac:dyDescent="0.25">
      <c r="A981" s="3"/>
      <c r="B981" s="12"/>
      <c r="C981" s="233" t="s">
        <v>231</v>
      </c>
      <c r="D981" s="14"/>
      <c r="E981" s="14"/>
      <c r="F981" s="14"/>
      <c r="G981" s="61">
        <f>SUM(D981:F981)</f>
        <v>0</v>
      </c>
      <c r="H981" s="15"/>
      <c r="I981" s="14"/>
      <c r="J981" s="14"/>
      <c r="K981" s="14"/>
      <c r="L981" s="14">
        <f>SUM(I981:K981)</f>
        <v>0</v>
      </c>
      <c r="M981" s="62">
        <f>(L981-G981)</f>
        <v>0</v>
      </c>
      <c r="N981" s="14"/>
      <c r="O981" s="38"/>
      <c r="P981" s="15"/>
      <c r="Q981" s="241"/>
      <c r="R981" s="38"/>
      <c r="S981" s="38"/>
      <c r="T981" s="38"/>
      <c r="U981" s="38"/>
      <c r="V981" s="38"/>
      <c r="W981" s="38"/>
      <c r="X981" s="167"/>
    </row>
    <row r="982" spans="1:31" ht="15.75" customHeight="1" x14ac:dyDescent="0.25">
      <c r="A982" s="3"/>
      <c r="B982" s="12"/>
      <c r="C982" s="13" t="s">
        <v>989</v>
      </c>
      <c r="D982" s="14"/>
      <c r="E982" s="14"/>
      <c r="F982" s="14"/>
      <c r="G982" s="61">
        <f>SUM(D982:F982)</f>
        <v>0</v>
      </c>
      <c r="H982" s="15"/>
      <c r="I982" s="45"/>
      <c r="J982" s="45"/>
      <c r="K982" s="45"/>
      <c r="L982" s="14">
        <f>SUM(I982:K982)</f>
        <v>0</v>
      </c>
      <c r="M982" s="62">
        <f>(L982-G982)</f>
        <v>0</v>
      </c>
      <c r="N982" s="45"/>
      <c r="O982" s="38">
        <v>2000</v>
      </c>
      <c r="P982" s="15"/>
      <c r="Q982" s="241"/>
      <c r="R982" s="38"/>
      <c r="S982" s="38"/>
      <c r="T982" s="38"/>
      <c r="U982" s="38"/>
      <c r="V982" s="38"/>
      <c r="W982" s="38"/>
      <c r="X982" s="167"/>
    </row>
    <row r="983" spans="1:31" ht="15.75" customHeight="1" x14ac:dyDescent="0.25">
      <c r="A983" s="3"/>
      <c r="B983" s="12"/>
      <c r="C983" s="13" t="s">
        <v>990</v>
      </c>
      <c r="D983" s="14"/>
      <c r="E983" s="14"/>
      <c r="F983" s="14"/>
      <c r="G983" s="61">
        <f>SUM(D983:F983)</f>
        <v>0</v>
      </c>
      <c r="H983" s="15"/>
      <c r="I983" s="45"/>
      <c r="J983" s="45"/>
      <c r="K983" s="45"/>
      <c r="L983" s="14">
        <f>SUM(I983:K983)</f>
        <v>0</v>
      </c>
      <c r="M983" s="62">
        <f>(L983-G983)</f>
        <v>0</v>
      </c>
      <c r="N983" s="45"/>
      <c r="O983" s="38">
        <v>2000</v>
      </c>
      <c r="P983" s="15"/>
      <c r="Q983" s="241"/>
      <c r="R983" s="38"/>
      <c r="S983" s="38"/>
      <c r="T983" s="38"/>
      <c r="U983" s="38"/>
      <c r="V983" s="38"/>
      <c r="W983" s="38"/>
      <c r="X983" s="167"/>
      <c r="Z983" s="46"/>
    </row>
    <row r="984" spans="1:31" ht="15.75" customHeight="1" x14ac:dyDescent="0.25">
      <c r="A984" s="3" t="e">
        <f>A980</f>
        <v>#REF!</v>
      </c>
      <c r="B984" s="32" t="s">
        <v>163</v>
      </c>
      <c r="C984" s="13" t="s">
        <v>449</v>
      </c>
      <c r="D984" s="14"/>
      <c r="E984" s="14"/>
      <c r="F984" s="14"/>
      <c r="G984" s="61">
        <f t="shared" si="406"/>
        <v>0</v>
      </c>
      <c r="H984" s="15"/>
      <c r="I984" s="14"/>
      <c r="J984" s="14"/>
      <c r="K984" s="14"/>
      <c r="L984" s="14">
        <f t="shared" si="407"/>
        <v>0</v>
      </c>
      <c r="M984" s="62">
        <f t="shared" si="408"/>
        <v>0</v>
      </c>
      <c r="N984" s="15"/>
      <c r="O984" s="38"/>
      <c r="P984" s="15"/>
      <c r="Q984" s="241"/>
      <c r="R984" s="38"/>
      <c r="S984" s="38"/>
      <c r="T984" s="38"/>
      <c r="U984" s="38"/>
      <c r="V984" s="38"/>
      <c r="W984" s="38"/>
      <c r="X984" s="167"/>
      <c r="Y984" s="279"/>
    </row>
    <row r="985" spans="1:31" ht="15.75" customHeight="1" x14ac:dyDescent="0.25">
      <c r="A985" s="3" t="e">
        <f t="shared" si="412"/>
        <v>#REF!</v>
      </c>
      <c r="B985" s="32" t="s">
        <v>163</v>
      </c>
      <c r="C985" s="13" t="s">
        <v>450</v>
      </c>
      <c r="D985" s="14"/>
      <c r="E985" s="14"/>
      <c r="F985" s="14"/>
      <c r="G985" s="61">
        <f t="shared" si="406"/>
        <v>0</v>
      </c>
      <c r="H985" s="15"/>
      <c r="I985" s="14"/>
      <c r="J985" s="14"/>
      <c r="K985" s="14"/>
      <c r="L985" s="14">
        <f t="shared" si="407"/>
        <v>0</v>
      </c>
      <c r="M985" s="62">
        <f t="shared" si="408"/>
        <v>0</v>
      </c>
      <c r="N985" s="15"/>
      <c r="O985" s="38"/>
      <c r="P985" s="15"/>
      <c r="Q985" s="241"/>
      <c r="R985" s="38"/>
      <c r="S985" s="38"/>
      <c r="T985" s="38"/>
      <c r="U985" s="38"/>
      <c r="V985" s="38"/>
      <c r="W985" s="38"/>
      <c r="X985" s="167"/>
      <c r="Y985" s="279"/>
    </row>
    <row r="986" spans="1:31" ht="15.75" customHeight="1" x14ac:dyDescent="0.25">
      <c r="A986" s="3"/>
      <c r="B986" s="3"/>
      <c r="C986" s="13" t="s">
        <v>991</v>
      </c>
      <c r="D986" s="14"/>
      <c r="E986" s="14"/>
      <c r="F986" s="14"/>
      <c r="G986" s="61">
        <f t="shared" ref="G986:G995" si="413">SUM(D986:F986)</f>
        <v>0</v>
      </c>
      <c r="H986" s="15"/>
      <c r="I986" s="14"/>
      <c r="J986" s="14"/>
      <c r="K986" s="14"/>
      <c r="L986" s="14">
        <f t="shared" ref="L986:L995" si="414">SUM(I986:K986)</f>
        <v>0</v>
      </c>
      <c r="M986" s="62">
        <f t="shared" ref="M986:M995" si="415">(L986-G986)</f>
        <v>0</v>
      </c>
      <c r="N986" s="14"/>
      <c r="O986" s="38"/>
      <c r="P986" s="15"/>
      <c r="Q986" s="241">
        <v>4400</v>
      </c>
      <c r="R986" s="38"/>
      <c r="S986" s="38"/>
      <c r="T986" s="38"/>
      <c r="U986" s="38"/>
      <c r="V986" s="38"/>
      <c r="W986" s="38"/>
      <c r="X986" s="167"/>
      <c r="Y986" s="279"/>
    </row>
    <row r="987" spans="1:31" ht="15.75" customHeight="1" x14ac:dyDescent="0.25">
      <c r="A987" s="3"/>
      <c r="B987" s="3"/>
      <c r="C987" s="13" t="s">
        <v>992</v>
      </c>
      <c r="D987" s="14"/>
      <c r="E987" s="14"/>
      <c r="F987" s="14"/>
      <c r="G987" s="61">
        <f t="shared" si="413"/>
        <v>0</v>
      </c>
      <c r="H987" s="15"/>
      <c r="I987" s="14"/>
      <c r="J987" s="14"/>
      <c r="K987" s="14"/>
      <c r="L987" s="14">
        <f t="shared" si="414"/>
        <v>0</v>
      </c>
      <c r="M987" s="62">
        <f t="shared" si="415"/>
        <v>0</v>
      </c>
      <c r="N987" s="14"/>
      <c r="O987" s="38"/>
      <c r="P987" s="15"/>
      <c r="Q987" s="241">
        <v>2000</v>
      </c>
      <c r="R987" s="38"/>
      <c r="S987" s="38"/>
      <c r="T987" s="38"/>
      <c r="U987" s="38"/>
      <c r="V987" s="38"/>
      <c r="W987" s="38"/>
      <c r="X987" s="167"/>
      <c r="Y987" s="279"/>
    </row>
    <row r="988" spans="1:31" ht="15.75" customHeight="1" x14ac:dyDescent="0.25">
      <c r="A988" s="3"/>
      <c r="B988" s="3"/>
      <c r="C988" s="13" t="s">
        <v>993</v>
      </c>
      <c r="D988" s="14"/>
      <c r="E988" s="14"/>
      <c r="F988" s="14"/>
      <c r="G988" s="61">
        <f t="shared" si="413"/>
        <v>0</v>
      </c>
      <c r="H988" s="15"/>
      <c r="I988" s="14"/>
      <c r="J988" s="14"/>
      <c r="K988" s="14"/>
      <c r="L988" s="14">
        <f t="shared" si="414"/>
        <v>0</v>
      </c>
      <c r="M988" s="62">
        <f t="shared" si="415"/>
        <v>0</v>
      </c>
      <c r="N988" s="14"/>
      <c r="O988" s="38"/>
      <c r="P988" s="15">
        <v>2500</v>
      </c>
      <c r="Q988" s="241"/>
      <c r="R988" s="38"/>
      <c r="S988" s="38"/>
      <c r="T988" s="38"/>
      <c r="U988" s="38"/>
      <c r="V988" s="38"/>
      <c r="W988" s="38"/>
      <c r="X988" s="167"/>
      <c r="Y988" s="279"/>
    </row>
    <row r="989" spans="1:31" ht="15.75" customHeight="1" x14ac:dyDescent="0.25">
      <c r="A989" s="3"/>
      <c r="B989" s="3"/>
      <c r="C989" s="13" t="s">
        <v>994</v>
      </c>
      <c r="D989" s="14"/>
      <c r="E989" s="14"/>
      <c r="F989" s="14"/>
      <c r="G989" s="61">
        <f t="shared" si="413"/>
        <v>0</v>
      </c>
      <c r="H989" s="15"/>
      <c r="I989" s="14"/>
      <c r="J989" s="14"/>
      <c r="K989" s="14"/>
      <c r="L989" s="14">
        <f t="shared" si="414"/>
        <v>0</v>
      </c>
      <c r="M989" s="62">
        <f t="shared" si="415"/>
        <v>0</v>
      </c>
      <c r="N989" s="14"/>
      <c r="O989" s="38"/>
      <c r="P989" s="15"/>
      <c r="Q989" s="241">
        <v>500</v>
      </c>
      <c r="R989" s="38"/>
      <c r="S989" s="38"/>
      <c r="T989" s="38"/>
      <c r="U989" s="38"/>
      <c r="V989" s="38"/>
      <c r="W989" s="38"/>
      <c r="X989" s="167"/>
      <c r="Y989" s="279" t="s">
        <v>995</v>
      </c>
    </row>
    <row r="990" spans="1:31" ht="15.75" customHeight="1" x14ac:dyDescent="0.25">
      <c r="A990" s="3"/>
      <c r="B990" s="3"/>
      <c r="C990" s="13" t="s">
        <v>996</v>
      </c>
      <c r="D990" s="14"/>
      <c r="E990" s="14"/>
      <c r="F990" s="14"/>
      <c r="G990" s="61">
        <f t="shared" si="413"/>
        <v>0</v>
      </c>
      <c r="H990" s="15"/>
      <c r="I990" s="14"/>
      <c r="J990" s="14"/>
      <c r="K990" s="14"/>
      <c r="L990" s="14">
        <f t="shared" si="414"/>
        <v>0</v>
      </c>
      <c r="M990" s="62">
        <f t="shared" si="415"/>
        <v>0</v>
      </c>
      <c r="N990" s="14"/>
      <c r="O990" s="38"/>
      <c r="P990" s="15">
        <v>1500</v>
      </c>
      <c r="Q990" s="241"/>
      <c r="R990" s="38"/>
      <c r="S990" s="38"/>
      <c r="T990" s="38"/>
      <c r="U990" s="38"/>
      <c r="V990" s="38"/>
      <c r="W990" s="38"/>
      <c r="X990" s="167"/>
      <c r="Y990" s="279"/>
    </row>
    <row r="991" spans="1:31" ht="15.75" customHeight="1" x14ac:dyDescent="0.25">
      <c r="A991" s="3"/>
      <c r="B991" s="3"/>
      <c r="C991" s="13" t="s">
        <v>997</v>
      </c>
      <c r="D991" s="14"/>
      <c r="E991" s="14"/>
      <c r="F991" s="14"/>
      <c r="G991" s="61">
        <f t="shared" si="413"/>
        <v>0</v>
      </c>
      <c r="H991" s="15"/>
      <c r="I991" s="14"/>
      <c r="J991" s="14"/>
      <c r="K991" s="14"/>
      <c r="L991" s="14">
        <f t="shared" si="414"/>
        <v>0</v>
      </c>
      <c r="M991" s="62">
        <f t="shared" si="415"/>
        <v>0</v>
      </c>
      <c r="N991" s="14"/>
      <c r="O991" s="38"/>
      <c r="P991" s="15">
        <v>3200</v>
      </c>
      <c r="Q991" s="241"/>
      <c r="R991" s="38"/>
      <c r="S991" s="38"/>
      <c r="T991" s="38"/>
      <c r="U991" s="38"/>
      <c r="V991" s="38"/>
      <c r="W991" s="38"/>
      <c r="X991" s="167"/>
      <c r="Y991" s="279"/>
    </row>
    <row r="992" spans="1:31" ht="15.75" customHeight="1" x14ac:dyDescent="0.25">
      <c r="A992" s="3"/>
      <c r="B992" s="3"/>
      <c r="C992" s="13" t="s">
        <v>998</v>
      </c>
      <c r="D992" s="14"/>
      <c r="E992" s="14"/>
      <c r="F992" s="14"/>
      <c r="G992" s="61">
        <f t="shared" si="413"/>
        <v>0</v>
      </c>
      <c r="H992" s="15"/>
      <c r="I992" s="14"/>
      <c r="J992" s="14"/>
      <c r="K992" s="14"/>
      <c r="L992" s="14">
        <f t="shared" si="414"/>
        <v>0</v>
      </c>
      <c r="M992" s="62">
        <f t="shared" si="415"/>
        <v>0</v>
      </c>
      <c r="N992" s="14"/>
      <c r="O992" s="38"/>
      <c r="P992" s="15"/>
      <c r="Q992" s="241">
        <v>11000</v>
      </c>
      <c r="R992" s="38"/>
      <c r="S992" s="38"/>
      <c r="T992" s="38"/>
      <c r="U992" s="38"/>
      <c r="V992" s="38"/>
      <c r="W992" s="38"/>
      <c r="X992" s="167"/>
      <c r="Y992" s="279" t="s">
        <v>999</v>
      </c>
    </row>
    <row r="993" spans="1:31" ht="15.75" customHeight="1" x14ac:dyDescent="0.25">
      <c r="A993" s="3"/>
      <c r="B993" s="3"/>
      <c r="C993" s="13" t="s">
        <v>1000</v>
      </c>
      <c r="D993" s="14"/>
      <c r="E993" s="14"/>
      <c r="F993" s="14"/>
      <c r="G993" s="61">
        <f t="shared" si="413"/>
        <v>0</v>
      </c>
      <c r="H993" s="15"/>
      <c r="I993" s="14"/>
      <c r="J993" s="14"/>
      <c r="K993" s="14"/>
      <c r="L993" s="14">
        <f t="shared" si="414"/>
        <v>0</v>
      </c>
      <c r="M993" s="62">
        <f t="shared" si="415"/>
        <v>0</v>
      </c>
      <c r="N993" s="14"/>
      <c r="O993" s="38"/>
      <c r="P993" s="15"/>
      <c r="Q993" s="241">
        <v>1100</v>
      </c>
      <c r="R993" s="38"/>
      <c r="S993" s="38"/>
      <c r="T993" s="38"/>
      <c r="U993" s="38"/>
      <c r="V993" s="38"/>
      <c r="W993" s="38"/>
      <c r="X993" s="167"/>
      <c r="Y993" s="279"/>
    </row>
    <row r="994" spans="1:31" ht="15.75" customHeight="1" x14ac:dyDescent="0.25">
      <c r="A994" s="3"/>
      <c r="B994" s="3"/>
      <c r="C994" s="13" t="s">
        <v>1001</v>
      </c>
      <c r="D994" s="14"/>
      <c r="E994" s="14"/>
      <c r="F994" s="14"/>
      <c r="G994" s="61">
        <f t="shared" si="413"/>
        <v>0</v>
      </c>
      <c r="H994" s="15"/>
      <c r="I994" s="14"/>
      <c r="J994" s="14"/>
      <c r="K994" s="14"/>
      <c r="L994" s="14">
        <f t="shared" si="414"/>
        <v>0</v>
      </c>
      <c r="M994" s="62">
        <f t="shared" si="415"/>
        <v>0</v>
      </c>
      <c r="N994" s="14"/>
      <c r="O994" s="38"/>
      <c r="P994" s="15">
        <v>2500</v>
      </c>
      <c r="Q994" s="241"/>
      <c r="R994" s="38"/>
      <c r="S994" s="38"/>
      <c r="T994" s="38"/>
      <c r="U994" s="38"/>
      <c r="V994" s="38"/>
      <c r="W994" s="38"/>
      <c r="X994" s="167"/>
      <c r="Y994" s="279"/>
    </row>
    <row r="995" spans="1:31" ht="15.75" customHeight="1" x14ac:dyDescent="0.25">
      <c r="A995" s="3"/>
      <c r="B995" s="3"/>
      <c r="C995" s="13" t="s">
        <v>1002</v>
      </c>
      <c r="D995" s="14"/>
      <c r="E995" s="14"/>
      <c r="F995" s="14"/>
      <c r="G995" s="61">
        <f t="shared" si="413"/>
        <v>0</v>
      </c>
      <c r="H995" s="15"/>
      <c r="I995" s="14"/>
      <c r="J995" s="14"/>
      <c r="K995" s="14"/>
      <c r="L995" s="14">
        <f t="shared" si="414"/>
        <v>0</v>
      </c>
      <c r="M995" s="62">
        <f t="shared" si="415"/>
        <v>0</v>
      </c>
      <c r="N995" s="14"/>
      <c r="O995" s="38"/>
      <c r="P995" s="15">
        <v>20000</v>
      </c>
      <c r="Q995" s="241"/>
      <c r="R995" s="38"/>
      <c r="S995" s="38"/>
      <c r="T995" s="38"/>
      <c r="U995" s="38"/>
      <c r="V995" s="38"/>
      <c r="W995" s="38"/>
      <c r="X995" s="167"/>
      <c r="Y995" s="279"/>
    </row>
    <row r="996" spans="1:31" ht="15.75" customHeight="1" x14ac:dyDescent="0.25">
      <c r="C996" s="40" t="s">
        <v>188</v>
      </c>
      <c r="D996" s="89">
        <f t="shared" ref="D996:F996" si="416">SUM(D972:D985)</f>
        <v>253652</v>
      </c>
      <c r="E996" s="89">
        <f t="shared" si="416"/>
        <v>174682</v>
      </c>
      <c r="F996" s="89">
        <f t="shared" si="416"/>
        <v>4573</v>
      </c>
      <c r="G996" s="27">
        <f t="shared" si="406"/>
        <v>432907</v>
      </c>
      <c r="H996" s="89">
        <f>SUM(H972:H995)</f>
        <v>4256.83</v>
      </c>
      <c r="I996" s="89">
        <f>SUM(I972:I995)</f>
        <v>256687</v>
      </c>
      <c r="J996" s="89">
        <f>SUM(J972:J995)</f>
        <v>259002</v>
      </c>
      <c r="K996" s="89">
        <f>SUM(K972:K995)</f>
        <v>1000</v>
      </c>
      <c r="L996" s="89">
        <f t="shared" si="407"/>
        <v>516689</v>
      </c>
      <c r="M996" s="28">
        <f t="shared" si="408"/>
        <v>83782</v>
      </c>
      <c r="N996" s="89">
        <f t="shared" ref="N996:X996" si="417">SUM(N972:N995)</f>
        <v>487616</v>
      </c>
      <c r="O996" s="89">
        <f t="shared" si="417"/>
        <v>4000</v>
      </c>
      <c r="P996" s="89">
        <f t="shared" si="417"/>
        <v>29700</v>
      </c>
      <c r="Q996" s="246">
        <f t="shared" si="417"/>
        <v>19000</v>
      </c>
      <c r="R996" s="89">
        <f t="shared" si="417"/>
        <v>0</v>
      </c>
      <c r="S996" s="89">
        <f t="shared" si="417"/>
        <v>0</v>
      </c>
      <c r="T996" s="89">
        <f t="shared" si="417"/>
        <v>0</v>
      </c>
      <c r="U996" s="89">
        <f t="shared" si="417"/>
        <v>0</v>
      </c>
      <c r="V996" s="89">
        <f t="shared" si="417"/>
        <v>0</v>
      </c>
      <c r="W996" s="89">
        <f t="shared" si="417"/>
        <v>0</v>
      </c>
      <c r="X996" s="89">
        <f t="shared" si="417"/>
        <v>0</v>
      </c>
    </row>
    <row r="997" spans="1:31" ht="15.75" customHeight="1" x14ac:dyDescent="0.25">
      <c r="A997" s="3" t="e">
        <f>A985</f>
        <v>#REF!</v>
      </c>
      <c r="B997" s="32" t="s">
        <v>169</v>
      </c>
      <c r="C997" s="32" t="s">
        <v>169</v>
      </c>
      <c r="D997" s="74">
        <v>55991</v>
      </c>
      <c r="E997" s="74">
        <v>19228</v>
      </c>
      <c r="F997" s="74"/>
      <c r="G997" s="61">
        <f t="shared" si="406"/>
        <v>75219</v>
      </c>
      <c r="H997" s="15">
        <v>11814.77</v>
      </c>
      <c r="I997" s="112">
        <v>52792</v>
      </c>
      <c r="J997" s="112">
        <v>26117</v>
      </c>
      <c r="K997" s="112"/>
      <c r="L997" s="14">
        <f t="shared" si="407"/>
        <v>78909</v>
      </c>
      <c r="M997" s="62">
        <f t="shared" si="408"/>
        <v>3690</v>
      </c>
      <c r="N997" s="112"/>
      <c r="O997" s="102"/>
      <c r="P997" s="90"/>
      <c r="Q997" s="247"/>
      <c r="R997" s="102"/>
      <c r="S997" s="102"/>
      <c r="T997" s="102"/>
      <c r="U997" s="102"/>
      <c r="V997" s="102"/>
      <c r="W997" s="102"/>
      <c r="X997" s="179"/>
    </row>
    <row r="998" spans="1:31" ht="15.75" customHeight="1" x14ac:dyDescent="0.25">
      <c r="A998" s="3" t="e">
        <f>A997</f>
        <v>#REF!</v>
      </c>
      <c r="B998" s="32" t="s">
        <v>169</v>
      </c>
      <c r="C998" s="13" t="s">
        <v>414</v>
      </c>
      <c r="D998" s="14"/>
      <c r="E998" s="14">
        <v>4655</v>
      </c>
      <c r="F998" s="14"/>
      <c r="G998" s="61">
        <f t="shared" si="406"/>
        <v>4655</v>
      </c>
      <c r="H998" s="15"/>
      <c r="I998" s="45"/>
      <c r="J998" s="45">
        <v>6650</v>
      </c>
      <c r="K998" s="45"/>
      <c r="L998" s="14">
        <f t="shared" si="407"/>
        <v>6650</v>
      </c>
      <c r="M998" s="62">
        <f t="shared" si="408"/>
        <v>1995</v>
      </c>
      <c r="N998" s="45">
        <v>2881</v>
      </c>
      <c r="O998" s="38"/>
      <c r="P998" s="15"/>
      <c r="Q998" s="241"/>
      <c r="R998" s="38"/>
      <c r="S998" s="38"/>
      <c r="T998" s="38"/>
      <c r="U998" s="38"/>
      <c r="V998" s="38"/>
      <c r="W998" s="38"/>
      <c r="X998" s="167"/>
      <c r="Y998" s="279"/>
      <c r="Z998" s="3"/>
      <c r="AA998" s="3"/>
      <c r="AB998" s="3"/>
      <c r="AC998" s="3"/>
      <c r="AD998" s="3"/>
      <c r="AE998" s="3"/>
    </row>
    <row r="999" spans="1:31" ht="15.75" customHeight="1" x14ac:dyDescent="0.25">
      <c r="A999" s="3" t="e">
        <f t="shared" ref="A999:A1007" si="418">A998</f>
        <v>#REF!</v>
      </c>
      <c r="B999" s="32" t="s">
        <v>169</v>
      </c>
      <c r="C999" s="13" t="s">
        <v>400</v>
      </c>
      <c r="D999" s="14">
        <v>19310</v>
      </c>
      <c r="E999" s="14"/>
      <c r="F999" s="14"/>
      <c r="G999" s="61">
        <f t="shared" si="406"/>
        <v>19310</v>
      </c>
      <c r="H999" s="15"/>
      <c r="I999" s="45">
        <v>10679</v>
      </c>
      <c r="J999" s="45"/>
      <c r="K999" s="45"/>
      <c r="L999" s="14">
        <f t="shared" si="407"/>
        <v>10679</v>
      </c>
      <c r="M999" s="62">
        <f t="shared" si="408"/>
        <v>-8631</v>
      </c>
      <c r="N999" s="45"/>
      <c r="O999" s="38"/>
      <c r="P999" s="15"/>
      <c r="Q999" s="241"/>
      <c r="R999" s="38"/>
      <c r="S999" s="38"/>
      <c r="T999" s="38"/>
      <c r="U999" s="38"/>
      <c r="V999" s="38"/>
      <c r="W999" s="38"/>
      <c r="X999" s="167"/>
      <c r="Y999" s="279"/>
      <c r="Z999" s="3"/>
      <c r="AA999" s="3"/>
      <c r="AB999" s="3"/>
      <c r="AC999" s="3"/>
      <c r="AD999" s="3"/>
      <c r="AE999" s="3"/>
    </row>
    <row r="1000" spans="1:31" ht="15.75" customHeight="1" x14ac:dyDescent="0.25">
      <c r="A1000" s="3" t="e">
        <f t="shared" si="418"/>
        <v>#REF!</v>
      </c>
      <c r="B1000" s="32" t="s">
        <v>169</v>
      </c>
      <c r="C1000" s="13" t="s">
        <v>401</v>
      </c>
      <c r="D1000" s="14"/>
      <c r="E1000" s="14"/>
      <c r="F1000" s="14"/>
      <c r="G1000" s="61">
        <f t="shared" si="406"/>
        <v>0</v>
      </c>
      <c r="H1000" s="15"/>
      <c r="I1000" s="45"/>
      <c r="J1000" s="45"/>
      <c r="K1000" s="45"/>
      <c r="L1000" s="14">
        <f t="shared" si="407"/>
        <v>0</v>
      </c>
      <c r="M1000" s="62">
        <f t="shared" si="408"/>
        <v>0</v>
      </c>
      <c r="N1000" s="45">
        <v>74462</v>
      </c>
      <c r="O1000" s="38"/>
      <c r="P1000" s="15"/>
      <c r="Q1000" s="241"/>
      <c r="R1000" s="38"/>
      <c r="S1000" s="38"/>
      <c r="T1000" s="38"/>
      <c r="U1000" s="38"/>
      <c r="V1000" s="38"/>
      <c r="W1000" s="38"/>
      <c r="X1000" s="167"/>
      <c r="Y1000" s="279"/>
      <c r="Z1000" s="3"/>
      <c r="AA1000" s="3"/>
      <c r="AB1000" s="3"/>
      <c r="AC1000" s="3"/>
      <c r="AD1000" s="3"/>
      <c r="AE1000" s="3"/>
    </row>
    <row r="1001" spans="1:31" ht="15.75" customHeight="1" x14ac:dyDescent="0.25">
      <c r="A1001" s="3"/>
      <c r="B1001" s="12"/>
      <c r="C1001" s="13" t="s">
        <v>427</v>
      </c>
      <c r="D1001" s="14"/>
      <c r="E1001" s="14"/>
      <c r="F1001" s="14"/>
      <c r="G1001" s="61">
        <f>SUM(D1001:F1001)</f>
        <v>0</v>
      </c>
      <c r="H1001" s="15"/>
      <c r="I1001" s="45"/>
      <c r="J1001" s="45">
        <v>110</v>
      </c>
      <c r="K1001" s="45"/>
      <c r="L1001" s="14">
        <f>SUM(I1001:K1001)</f>
        <v>110</v>
      </c>
      <c r="M1001" s="62">
        <f>(L1001-G1001)</f>
        <v>110</v>
      </c>
      <c r="N1001" s="30"/>
      <c r="O1001" s="38"/>
      <c r="P1001" s="15"/>
      <c r="Q1001" s="241"/>
      <c r="R1001" s="38"/>
      <c r="S1001" s="38"/>
      <c r="T1001" s="38"/>
      <c r="U1001" s="38"/>
      <c r="V1001" s="38"/>
      <c r="W1001" s="38"/>
      <c r="X1001" s="167"/>
      <c r="Y1001" s="279"/>
      <c r="Z1001" s="14"/>
      <c r="AA1001" s="3"/>
      <c r="AB1001" s="3"/>
      <c r="AC1001" s="3"/>
      <c r="AD1001" s="3"/>
      <c r="AE1001" s="3"/>
    </row>
    <row r="1002" spans="1:31" ht="15.75" customHeight="1" x14ac:dyDescent="0.25">
      <c r="A1002" s="3" t="e">
        <f>A1000</f>
        <v>#REF!</v>
      </c>
      <c r="B1002" s="32" t="s">
        <v>169</v>
      </c>
      <c r="C1002" s="13" t="s">
        <v>402</v>
      </c>
      <c r="D1002" s="14"/>
      <c r="E1002" s="14"/>
      <c r="F1002" s="14"/>
      <c r="G1002" s="61">
        <f t="shared" si="406"/>
        <v>0</v>
      </c>
      <c r="H1002" s="15"/>
      <c r="I1002" s="30"/>
      <c r="J1002" s="14"/>
      <c r="K1002" s="14"/>
      <c r="L1002" s="14">
        <f t="shared" si="407"/>
        <v>0</v>
      </c>
      <c r="M1002" s="62">
        <f t="shared" si="408"/>
        <v>0</v>
      </c>
      <c r="N1002" s="14"/>
      <c r="O1002" s="38"/>
      <c r="P1002" s="15"/>
      <c r="Q1002" s="241"/>
      <c r="R1002" s="38"/>
      <c r="S1002" s="38"/>
      <c r="T1002" s="38"/>
      <c r="U1002" s="38"/>
      <c r="V1002" s="38"/>
      <c r="W1002" s="38"/>
      <c r="X1002" s="167"/>
      <c r="Y1002" s="279"/>
      <c r="Z1002" s="3"/>
      <c r="AA1002" s="3"/>
      <c r="AB1002" s="3"/>
      <c r="AC1002" s="3"/>
      <c r="AD1002" s="3"/>
      <c r="AE1002" s="3"/>
    </row>
    <row r="1003" spans="1:31" ht="15.75" customHeight="1" x14ac:dyDescent="0.25">
      <c r="A1003" s="3" t="e">
        <f t="shared" si="418"/>
        <v>#REF!</v>
      </c>
      <c r="B1003" s="32" t="s">
        <v>169</v>
      </c>
      <c r="C1003" s="13" t="s">
        <v>861</v>
      </c>
      <c r="D1003" s="14"/>
      <c r="E1003" s="14"/>
      <c r="F1003" s="14"/>
      <c r="G1003" s="61">
        <f t="shared" si="406"/>
        <v>0</v>
      </c>
      <c r="H1003" s="15"/>
      <c r="I1003" s="30"/>
      <c r="J1003" s="14"/>
      <c r="K1003" s="14"/>
      <c r="L1003" s="14">
        <f t="shared" si="407"/>
        <v>0</v>
      </c>
      <c r="M1003" s="62">
        <f t="shared" si="408"/>
        <v>0</v>
      </c>
      <c r="N1003" s="15"/>
      <c r="O1003" s="38"/>
      <c r="P1003" s="15"/>
      <c r="Q1003" s="241"/>
      <c r="R1003" s="38"/>
      <c r="S1003" s="38"/>
      <c r="T1003" s="38"/>
      <c r="U1003" s="38"/>
      <c r="V1003" s="38"/>
      <c r="W1003" s="38"/>
      <c r="X1003" s="167"/>
      <c r="Y1003" s="279"/>
      <c r="Z1003" s="3"/>
      <c r="AA1003" s="3"/>
      <c r="AB1003" s="3"/>
      <c r="AC1003" s="3"/>
      <c r="AD1003" s="3"/>
      <c r="AE1003" s="3"/>
    </row>
    <row r="1004" spans="1:31" ht="15.75" customHeight="1" x14ac:dyDescent="0.25">
      <c r="A1004" s="3" t="e">
        <f t="shared" si="418"/>
        <v>#REF!</v>
      </c>
      <c r="B1004" s="32" t="s">
        <v>169</v>
      </c>
      <c r="C1004" s="13" t="s">
        <v>426</v>
      </c>
      <c r="D1004" s="14"/>
      <c r="E1004" s="14"/>
      <c r="F1004" s="14"/>
      <c r="G1004" s="61">
        <f t="shared" si="406"/>
        <v>0</v>
      </c>
      <c r="H1004" s="15"/>
      <c r="I1004" s="30"/>
      <c r="J1004" s="30"/>
      <c r="K1004" s="14"/>
      <c r="L1004" s="14">
        <f t="shared" si="407"/>
        <v>0</v>
      </c>
      <c r="M1004" s="62">
        <f t="shared" si="408"/>
        <v>0</v>
      </c>
      <c r="N1004" s="15"/>
      <c r="O1004" s="38"/>
      <c r="P1004" s="15"/>
      <c r="Q1004" s="241"/>
      <c r="R1004" s="38"/>
      <c r="S1004" s="38"/>
      <c r="T1004" s="38"/>
      <c r="U1004" s="38"/>
      <c r="V1004" s="38"/>
      <c r="W1004" s="38"/>
      <c r="X1004" s="167"/>
      <c r="Y1004" s="279"/>
      <c r="Z1004" s="3"/>
      <c r="AA1004" s="3"/>
      <c r="AB1004" s="3"/>
      <c r="AC1004" s="3"/>
      <c r="AD1004" s="3"/>
      <c r="AE1004" s="3"/>
    </row>
    <row r="1005" spans="1:31" ht="15.75" customHeight="1" x14ac:dyDescent="0.25">
      <c r="A1005" s="3" t="e">
        <f t="shared" si="418"/>
        <v>#REF!</v>
      </c>
      <c r="B1005" s="32" t="s">
        <v>169</v>
      </c>
      <c r="C1005" s="17" t="s">
        <v>1003</v>
      </c>
      <c r="D1005" s="14"/>
      <c r="E1005" s="14"/>
      <c r="F1005" s="14"/>
      <c r="G1005" s="61">
        <f t="shared" si="406"/>
        <v>0</v>
      </c>
      <c r="H1005" s="15"/>
      <c r="I1005" s="14"/>
      <c r="J1005" s="14"/>
      <c r="K1005" s="14"/>
      <c r="L1005" s="14">
        <f t="shared" si="407"/>
        <v>0</v>
      </c>
      <c r="M1005" s="62">
        <f t="shared" si="408"/>
        <v>0</v>
      </c>
      <c r="N1005" s="15"/>
      <c r="O1005" s="38"/>
      <c r="P1005" s="15"/>
      <c r="Q1005" s="241"/>
      <c r="R1005" s="38"/>
      <c r="S1005" s="38"/>
      <c r="T1005" s="38">
        <v>4800</v>
      </c>
      <c r="U1005" s="38"/>
      <c r="V1005" s="38"/>
      <c r="W1005" s="38"/>
      <c r="X1005" s="167"/>
    </row>
    <row r="1006" spans="1:31" ht="15.75" customHeight="1" x14ac:dyDescent="0.25">
      <c r="A1006" s="3" t="e">
        <f t="shared" si="418"/>
        <v>#REF!</v>
      </c>
      <c r="B1006" s="32" t="s">
        <v>169</v>
      </c>
      <c r="C1006" s="17" t="s">
        <v>1004</v>
      </c>
      <c r="D1006" s="14"/>
      <c r="E1006" s="14"/>
      <c r="F1006" s="14"/>
      <c r="G1006" s="61">
        <f t="shared" si="406"/>
        <v>0</v>
      </c>
      <c r="H1006" s="15"/>
      <c r="I1006" s="14"/>
      <c r="J1006" s="14"/>
      <c r="K1006" s="14"/>
      <c r="L1006" s="14">
        <f t="shared" si="407"/>
        <v>0</v>
      </c>
      <c r="M1006" s="62">
        <f t="shared" si="408"/>
        <v>0</v>
      </c>
      <c r="N1006" s="15"/>
      <c r="O1006" s="38"/>
      <c r="P1006" s="15"/>
      <c r="Q1006" s="241"/>
      <c r="R1006" s="38"/>
      <c r="S1006" s="38"/>
      <c r="T1006" s="38"/>
      <c r="U1006" s="38"/>
      <c r="V1006" s="38"/>
      <c r="W1006" s="38"/>
      <c r="X1006" s="167"/>
      <c r="Y1006" s="279"/>
    </row>
    <row r="1007" spans="1:31" ht="15.75" customHeight="1" x14ac:dyDescent="0.25">
      <c r="A1007" s="3" t="e">
        <f t="shared" si="418"/>
        <v>#REF!</v>
      </c>
      <c r="B1007" s="32" t="s">
        <v>169</v>
      </c>
      <c r="C1007" s="17" t="s">
        <v>1005</v>
      </c>
      <c r="D1007" s="14"/>
      <c r="E1007" s="14"/>
      <c r="F1007" s="14"/>
      <c r="G1007" s="61">
        <f t="shared" si="406"/>
        <v>0</v>
      </c>
      <c r="H1007" s="15"/>
      <c r="I1007" s="14"/>
      <c r="J1007" s="14"/>
      <c r="K1007" s="14"/>
      <c r="L1007" s="14">
        <f t="shared" si="407"/>
        <v>0</v>
      </c>
      <c r="M1007" s="62">
        <f t="shared" si="408"/>
        <v>0</v>
      </c>
      <c r="N1007" s="15"/>
      <c r="O1007" s="38"/>
      <c r="P1007" s="15"/>
      <c r="Q1007" s="241"/>
      <c r="R1007" s="38"/>
      <c r="S1007" s="38"/>
      <c r="T1007" s="38"/>
      <c r="U1007" s="38"/>
      <c r="V1007" s="38"/>
      <c r="W1007" s="38"/>
      <c r="X1007" s="167"/>
    </row>
    <row r="1008" spans="1:31" ht="15.75" customHeight="1" x14ac:dyDescent="0.25">
      <c r="C1008" s="40" t="s">
        <v>188</v>
      </c>
      <c r="D1008" s="89">
        <f>SUM(D997:D1007)</f>
        <v>75301</v>
      </c>
      <c r="E1008" s="89">
        <f>SUM(E997:E1007)</f>
        <v>23883</v>
      </c>
      <c r="F1008" s="89">
        <f>SUM(F997:F1007)</f>
        <v>0</v>
      </c>
      <c r="G1008" s="27">
        <f t="shared" si="406"/>
        <v>99184</v>
      </c>
      <c r="H1008" s="89">
        <f>SUM(H997:H1007)</f>
        <v>11814.77</v>
      </c>
      <c r="I1008" s="89">
        <f>SUM(I997:I1007)</f>
        <v>63471</v>
      </c>
      <c r="J1008" s="89">
        <f>SUM(J997:J1007)</f>
        <v>32877</v>
      </c>
      <c r="K1008" s="89">
        <f>SUM(K997:K1007)</f>
        <v>0</v>
      </c>
      <c r="L1008" s="89">
        <f t="shared" si="407"/>
        <v>96348</v>
      </c>
      <c r="M1008" s="28">
        <f t="shared" si="408"/>
        <v>-2836</v>
      </c>
      <c r="N1008" s="89">
        <f t="shared" ref="N1008:X1008" si="419">SUM(N997:N1007)</f>
        <v>77343</v>
      </c>
      <c r="O1008" s="89">
        <f t="shared" si="419"/>
        <v>0</v>
      </c>
      <c r="P1008" s="89">
        <f t="shared" si="419"/>
        <v>0</v>
      </c>
      <c r="Q1008" s="246">
        <f t="shared" si="419"/>
        <v>0</v>
      </c>
      <c r="R1008" s="89">
        <f t="shared" si="419"/>
        <v>0</v>
      </c>
      <c r="S1008" s="89">
        <f t="shared" si="419"/>
        <v>0</v>
      </c>
      <c r="T1008" s="89">
        <f t="shared" si="419"/>
        <v>4800</v>
      </c>
      <c r="U1008" s="89">
        <f t="shared" si="419"/>
        <v>0</v>
      </c>
      <c r="V1008" s="89">
        <f t="shared" si="419"/>
        <v>0</v>
      </c>
      <c r="W1008" s="89">
        <f t="shared" si="419"/>
        <v>0</v>
      </c>
      <c r="X1008" s="89">
        <f t="shared" si="419"/>
        <v>0</v>
      </c>
    </row>
    <row r="1009" spans="1:31" ht="15.75" customHeight="1" x14ac:dyDescent="0.25">
      <c r="A1009" s="3" t="e">
        <f>A1007</f>
        <v>#REF!</v>
      </c>
      <c r="B1009" s="32" t="s">
        <v>166</v>
      </c>
      <c r="C1009" s="32" t="s">
        <v>166</v>
      </c>
      <c r="D1009" s="74">
        <v>95050</v>
      </c>
      <c r="E1009" s="74">
        <v>46605</v>
      </c>
      <c r="F1009" s="74">
        <v>1000</v>
      </c>
      <c r="G1009" s="61">
        <f t="shared" si="406"/>
        <v>142655</v>
      </c>
      <c r="H1009" s="15">
        <v>6638</v>
      </c>
      <c r="I1009" s="112">
        <v>104277</v>
      </c>
      <c r="J1009" s="112">
        <v>84279</v>
      </c>
      <c r="K1009" s="112">
        <v>455</v>
      </c>
      <c r="L1009" s="14">
        <f t="shared" si="407"/>
        <v>189011</v>
      </c>
      <c r="M1009" s="62">
        <f t="shared" si="408"/>
        <v>46356</v>
      </c>
      <c r="N1009" s="112"/>
      <c r="O1009" s="102"/>
      <c r="P1009" s="90"/>
      <c r="Q1009" s="247"/>
      <c r="R1009" s="102"/>
      <c r="S1009" s="102"/>
      <c r="T1009" s="102"/>
      <c r="U1009" s="102"/>
      <c r="V1009" s="102"/>
      <c r="W1009" s="102"/>
      <c r="X1009" s="179"/>
    </row>
    <row r="1010" spans="1:31" ht="15.75" customHeight="1" x14ac:dyDescent="0.25">
      <c r="A1010" s="3" t="e">
        <f>A1009</f>
        <v>#REF!</v>
      </c>
      <c r="B1010" s="32" t="s">
        <v>166</v>
      </c>
      <c r="C1010" s="13" t="s">
        <v>414</v>
      </c>
      <c r="D1010" s="14"/>
      <c r="E1010" s="14">
        <v>7144</v>
      </c>
      <c r="F1010" s="14"/>
      <c r="G1010" s="61">
        <f t="shared" si="406"/>
        <v>7144</v>
      </c>
      <c r="H1010" s="15"/>
      <c r="I1010" s="45"/>
      <c r="J1010" s="45">
        <v>15537</v>
      </c>
      <c r="K1010" s="45"/>
      <c r="L1010" s="14">
        <f t="shared" si="407"/>
        <v>15537</v>
      </c>
      <c r="M1010" s="62">
        <f t="shared" si="408"/>
        <v>8393</v>
      </c>
      <c r="N1010" s="45">
        <v>7944</v>
      </c>
      <c r="O1010" s="38"/>
      <c r="P1010" s="15"/>
      <c r="Q1010" s="241"/>
      <c r="R1010" s="38"/>
      <c r="S1010" s="38"/>
      <c r="T1010" s="38"/>
      <c r="U1010" s="38"/>
      <c r="V1010" s="38"/>
      <c r="W1010" s="38"/>
      <c r="X1010" s="167"/>
      <c r="Y1010" s="279"/>
      <c r="Z1010" s="3"/>
      <c r="AA1010" s="3"/>
      <c r="AB1010" s="3"/>
      <c r="AC1010" s="3"/>
      <c r="AD1010" s="3"/>
      <c r="AE1010" s="3"/>
    </row>
    <row r="1011" spans="1:31" ht="15.75" customHeight="1" x14ac:dyDescent="0.25">
      <c r="A1011" s="3" t="e">
        <f t="shared" ref="A1011:A1023" si="420">A1010</f>
        <v>#REF!</v>
      </c>
      <c r="B1011" s="32" t="s">
        <v>166</v>
      </c>
      <c r="C1011" s="13" t="s">
        <v>400</v>
      </c>
      <c r="D1011" s="15">
        <v>10694</v>
      </c>
      <c r="E1011" s="15"/>
      <c r="F1011" s="15"/>
      <c r="G1011" s="61">
        <f t="shared" si="406"/>
        <v>10694</v>
      </c>
      <c r="H1011" s="15"/>
      <c r="I1011" s="45">
        <v>32655</v>
      </c>
      <c r="J1011" s="45"/>
      <c r="K1011" s="45"/>
      <c r="L1011" s="14">
        <f t="shared" si="407"/>
        <v>32655</v>
      </c>
      <c r="M1011" s="62">
        <f t="shared" si="408"/>
        <v>21961</v>
      </c>
      <c r="N1011" s="45"/>
      <c r="O1011" s="38"/>
      <c r="P1011" s="15"/>
      <c r="Q1011" s="241"/>
      <c r="R1011" s="38"/>
      <c r="S1011" s="38"/>
      <c r="T1011" s="38"/>
      <c r="U1011" s="38"/>
      <c r="V1011" s="38"/>
      <c r="W1011" s="38"/>
      <c r="X1011" s="167"/>
      <c r="Y1011" s="279"/>
      <c r="Z1011" s="3"/>
      <c r="AA1011" s="3"/>
      <c r="AB1011" s="3"/>
      <c r="AC1011" s="3"/>
      <c r="AD1011" s="3"/>
      <c r="AE1011" s="3"/>
    </row>
    <row r="1012" spans="1:31" ht="15.75" customHeight="1" x14ac:dyDescent="0.25">
      <c r="A1012" s="3" t="e">
        <f t="shared" si="420"/>
        <v>#REF!</v>
      </c>
      <c r="B1012" s="32" t="s">
        <v>166</v>
      </c>
      <c r="C1012" s="13" t="s">
        <v>401</v>
      </c>
      <c r="D1012" s="15"/>
      <c r="E1012" s="15"/>
      <c r="F1012" s="15"/>
      <c r="G1012" s="61">
        <f t="shared" si="406"/>
        <v>0</v>
      </c>
      <c r="H1012" s="15"/>
      <c r="I1012" s="45"/>
      <c r="J1012" s="45"/>
      <c r="K1012" s="45"/>
      <c r="L1012" s="14">
        <f t="shared" si="407"/>
        <v>0</v>
      </c>
      <c r="M1012" s="62">
        <f t="shared" si="408"/>
        <v>0</v>
      </c>
      <c r="N1012" s="45">
        <v>147635</v>
      </c>
      <c r="O1012" s="38"/>
      <c r="P1012" s="15"/>
      <c r="Q1012" s="241"/>
      <c r="R1012" s="38"/>
      <c r="S1012" s="38"/>
      <c r="T1012" s="38"/>
      <c r="U1012" s="38"/>
      <c r="V1012" s="38"/>
      <c r="W1012" s="38"/>
      <c r="X1012" s="167"/>
      <c r="Y1012" s="279"/>
      <c r="Z1012" s="3"/>
      <c r="AA1012" s="3"/>
      <c r="AB1012" s="3"/>
      <c r="AC1012" s="3"/>
      <c r="AD1012" s="3"/>
      <c r="AE1012" s="3"/>
    </row>
    <row r="1013" spans="1:31" ht="15.75" customHeight="1" x14ac:dyDescent="0.25">
      <c r="A1013" s="3" t="e">
        <f t="shared" si="420"/>
        <v>#REF!</v>
      </c>
      <c r="B1013" s="32" t="s">
        <v>166</v>
      </c>
      <c r="C1013" s="13" t="s">
        <v>453</v>
      </c>
      <c r="D1013" s="15"/>
      <c r="E1013" s="15"/>
      <c r="F1013" s="15"/>
      <c r="G1013" s="61">
        <f t="shared" ref="G1013:G1020" si="421">SUM(D1013:F1013)</f>
        <v>0</v>
      </c>
      <c r="H1013" s="15"/>
      <c r="I1013" s="45"/>
      <c r="J1013" s="45"/>
      <c r="K1013" s="45"/>
      <c r="L1013" s="14">
        <f t="shared" ref="L1013" si="422">SUM(I1013:K1013)</f>
        <v>0</v>
      </c>
      <c r="M1013" s="62">
        <f t="shared" ref="M1013" si="423">L1013-G1013</f>
        <v>0</v>
      </c>
      <c r="N1013" s="45">
        <v>7919</v>
      </c>
      <c r="O1013" s="38"/>
      <c r="P1013" s="15"/>
      <c r="Q1013" s="241"/>
      <c r="R1013" s="38"/>
      <c r="S1013" s="38"/>
      <c r="T1013" s="38"/>
      <c r="U1013" s="38"/>
      <c r="V1013" s="38"/>
      <c r="W1013" s="38"/>
      <c r="X1013" s="167"/>
      <c r="Y1013" s="279"/>
      <c r="Z1013" s="3"/>
      <c r="AA1013" s="3"/>
      <c r="AB1013" s="3"/>
      <c r="AC1013" s="3"/>
      <c r="AD1013" s="3"/>
      <c r="AE1013" s="3"/>
    </row>
    <row r="1014" spans="1:31" ht="15.75" customHeight="1" x14ac:dyDescent="0.25">
      <c r="A1014" s="3"/>
      <c r="B1014" s="12"/>
      <c r="C1014" s="13" t="s">
        <v>454</v>
      </c>
      <c r="D1014" s="14"/>
      <c r="E1014" s="14"/>
      <c r="F1014" s="14"/>
      <c r="G1014" s="61">
        <f>SUM(D1014:F1014)</f>
        <v>0</v>
      </c>
      <c r="H1014" s="15"/>
      <c r="I1014" s="45"/>
      <c r="J1014" s="45">
        <v>20</v>
      </c>
      <c r="K1014" s="45"/>
      <c r="L1014" s="14">
        <f t="shared" ref="L1014:L1019" si="424">SUM(I1014:K1014)</f>
        <v>20</v>
      </c>
      <c r="M1014" s="62">
        <f t="shared" ref="M1014:M1019" si="425">(L1014-G1014)</f>
        <v>20</v>
      </c>
      <c r="N1014" s="45"/>
      <c r="O1014" s="38"/>
      <c r="P1014" s="15"/>
      <c r="Q1014" s="241"/>
      <c r="R1014" s="38"/>
      <c r="S1014" s="38"/>
      <c r="T1014" s="38"/>
      <c r="U1014" s="38"/>
      <c r="V1014" s="38"/>
      <c r="W1014" s="38"/>
      <c r="X1014" s="167"/>
      <c r="Y1014" s="279"/>
      <c r="Z1014" s="3"/>
      <c r="AA1014" s="3"/>
      <c r="AB1014" s="3"/>
      <c r="AC1014" s="3"/>
      <c r="AD1014" s="3"/>
      <c r="AE1014" s="3"/>
    </row>
    <row r="1015" spans="1:31" ht="15.75" customHeight="1" x14ac:dyDescent="0.25">
      <c r="A1015" s="3"/>
      <c r="B1015" s="12"/>
      <c r="C1015" s="13" t="s">
        <v>403</v>
      </c>
      <c r="D1015" s="14"/>
      <c r="E1015" s="14"/>
      <c r="F1015" s="14"/>
      <c r="G1015" s="61">
        <f>SUM(D1015:F1015)</f>
        <v>0</v>
      </c>
      <c r="H1015" s="15"/>
      <c r="I1015" s="45"/>
      <c r="J1015" s="45"/>
      <c r="K1015" s="45"/>
      <c r="L1015" s="14">
        <f t="shared" si="424"/>
        <v>0</v>
      </c>
      <c r="M1015" s="62">
        <f t="shared" si="425"/>
        <v>0</v>
      </c>
      <c r="N1015" s="45">
        <v>859</v>
      </c>
      <c r="O1015" s="38"/>
      <c r="P1015" s="15"/>
      <c r="Q1015" s="241"/>
      <c r="R1015" s="38"/>
      <c r="S1015" s="38"/>
      <c r="T1015" s="38"/>
      <c r="U1015" s="38"/>
      <c r="V1015" s="38"/>
      <c r="W1015" s="38"/>
      <c r="X1015" s="167"/>
      <c r="Y1015" s="279"/>
      <c r="Z1015" s="3"/>
      <c r="AA1015" s="3"/>
      <c r="AB1015" s="3"/>
      <c r="AC1015" s="3"/>
      <c r="AD1015" s="3"/>
      <c r="AE1015" s="3"/>
    </row>
    <row r="1016" spans="1:31" ht="15.75" customHeight="1" x14ac:dyDescent="0.25">
      <c r="A1016" s="3"/>
      <c r="B1016" s="12"/>
      <c r="C1016" s="233" t="s">
        <v>231</v>
      </c>
      <c r="D1016" s="14"/>
      <c r="E1016" s="14"/>
      <c r="F1016" s="14"/>
      <c r="G1016" s="61">
        <f>SUM(D1016:F1016)</f>
        <v>0</v>
      </c>
      <c r="H1016" s="15"/>
      <c r="I1016" s="14"/>
      <c r="J1016" s="14"/>
      <c r="K1016" s="14"/>
      <c r="L1016" s="14">
        <f t="shared" si="424"/>
        <v>0</v>
      </c>
      <c r="M1016" s="62">
        <f t="shared" si="425"/>
        <v>0</v>
      </c>
      <c r="N1016" s="14"/>
      <c r="O1016" s="38"/>
      <c r="P1016" s="15"/>
      <c r="Q1016" s="241"/>
      <c r="R1016" s="38"/>
      <c r="S1016" s="38"/>
      <c r="T1016" s="38"/>
      <c r="U1016" s="38"/>
      <c r="V1016" s="38"/>
      <c r="W1016" s="38"/>
      <c r="X1016" s="167"/>
      <c r="Y1016" s="279"/>
      <c r="Z1016" s="3"/>
      <c r="AA1016" s="3"/>
      <c r="AB1016" s="3"/>
      <c r="AC1016" s="3"/>
      <c r="AD1016" s="3"/>
      <c r="AE1016" s="3"/>
    </row>
    <row r="1017" spans="1:31" ht="15.75" customHeight="1" x14ac:dyDescent="0.25">
      <c r="A1017" s="3"/>
      <c r="B1017" s="12"/>
      <c r="C1017" s="13" t="s">
        <v>1006</v>
      </c>
      <c r="D1017" s="14"/>
      <c r="E1017" s="14"/>
      <c r="F1017" s="14"/>
      <c r="G1017" s="61">
        <f>SUM(D1017:F1017)</f>
        <v>0</v>
      </c>
      <c r="H1017" s="15"/>
      <c r="I1017" s="45"/>
      <c r="J1017" s="45"/>
      <c r="K1017" s="45"/>
      <c r="L1017" s="14">
        <f t="shared" si="424"/>
        <v>0</v>
      </c>
      <c r="M1017" s="62">
        <f t="shared" si="425"/>
        <v>0</v>
      </c>
      <c r="N1017" s="45"/>
      <c r="O1017" s="38">
        <v>3000</v>
      </c>
      <c r="P1017" s="15"/>
      <c r="Q1017" s="241"/>
      <c r="R1017" s="38"/>
      <c r="S1017" s="38"/>
      <c r="T1017" s="38"/>
      <c r="U1017" s="38"/>
      <c r="V1017" s="38"/>
      <c r="W1017" s="38"/>
      <c r="X1017" s="167"/>
      <c r="Y1017" s="279"/>
      <c r="Z1017" s="3"/>
      <c r="AA1017" s="3"/>
      <c r="AB1017" s="3"/>
      <c r="AC1017" s="3"/>
      <c r="AD1017" s="3"/>
      <c r="AE1017" s="3"/>
    </row>
    <row r="1018" spans="1:31" ht="15.75" customHeight="1" x14ac:dyDescent="0.25">
      <c r="A1018" s="3"/>
      <c r="B1018" s="12"/>
      <c r="C1018" s="13" t="s">
        <v>1007</v>
      </c>
      <c r="D1018" s="14"/>
      <c r="E1018" s="14"/>
      <c r="F1018" s="14"/>
      <c r="G1018" s="61">
        <f>SUM(D1018:F1018)</f>
        <v>0</v>
      </c>
      <c r="H1018" s="15"/>
      <c r="I1018" s="45"/>
      <c r="J1018" s="45"/>
      <c r="K1018" s="45"/>
      <c r="L1018" s="14">
        <f t="shared" si="424"/>
        <v>0</v>
      </c>
      <c r="M1018" s="62">
        <f t="shared" si="425"/>
        <v>0</v>
      </c>
      <c r="N1018" s="45"/>
      <c r="O1018" s="38">
        <v>1000</v>
      </c>
      <c r="P1018" s="15"/>
      <c r="Q1018" s="241"/>
      <c r="R1018" s="38"/>
      <c r="S1018" s="38"/>
      <c r="T1018" s="38"/>
      <c r="U1018" s="38"/>
      <c r="V1018" s="38"/>
      <c r="W1018" s="38"/>
      <c r="X1018" s="167"/>
      <c r="Y1018" s="279"/>
      <c r="Z1018" s="14"/>
      <c r="AA1018" s="3"/>
      <c r="AB1018" s="3"/>
      <c r="AC1018" s="3"/>
      <c r="AD1018" s="3"/>
      <c r="AE1018" s="3"/>
    </row>
    <row r="1019" spans="1:31" ht="15.75" customHeight="1" x14ac:dyDescent="0.25">
      <c r="A1019" s="3" t="e">
        <f>A1013</f>
        <v>#REF!</v>
      </c>
      <c r="B1019" s="32" t="s">
        <v>166</v>
      </c>
      <c r="C1019" s="13" t="s">
        <v>402</v>
      </c>
      <c r="D1019" s="15"/>
      <c r="E1019" s="15"/>
      <c r="F1019" s="15"/>
      <c r="G1019" s="61">
        <f t="shared" si="421"/>
        <v>0</v>
      </c>
      <c r="H1019" s="15"/>
      <c r="I1019" s="15"/>
      <c r="J1019" s="15"/>
      <c r="K1019" s="15"/>
      <c r="L1019" s="14">
        <f t="shared" si="424"/>
        <v>0</v>
      </c>
      <c r="M1019" s="62">
        <f t="shared" si="425"/>
        <v>0</v>
      </c>
      <c r="N1019" s="14"/>
      <c r="O1019" s="38"/>
      <c r="P1019" s="15"/>
      <c r="Q1019" s="241"/>
      <c r="R1019" s="38"/>
      <c r="S1019" s="38"/>
      <c r="T1019" s="38"/>
      <c r="U1019" s="38"/>
      <c r="V1019" s="38"/>
      <c r="W1019" s="38"/>
      <c r="X1019" s="167"/>
      <c r="Y1019" s="279"/>
      <c r="Z1019" s="3"/>
      <c r="AA1019" s="3"/>
      <c r="AB1019" s="3"/>
      <c r="AC1019" s="3"/>
      <c r="AD1019" s="3"/>
      <c r="AE1019" s="3"/>
    </row>
    <row r="1020" spans="1:31" ht="15.75" customHeight="1" x14ac:dyDescent="0.25">
      <c r="A1020" s="3" t="e">
        <f t="shared" si="420"/>
        <v>#REF!</v>
      </c>
      <c r="B1020" s="32" t="s">
        <v>166</v>
      </c>
      <c r="C1020" s="13" t="s">
        <v>1008</v>
      </c>
      <c r="D1020" s="15"/>
      <c r="E1020" s="15"/>
      <c r="F1020" s="15"/>
      <c r="G1020" s="61">
        <f t="shared" si="421"/>
        <v>0</v>
      </c>
      <c r="H1020" s="15"/>
      <c r="I1020" s="15"/>
      <c r="J1020" s="15"/>
      <c r="K1020" s="15"/>
      <c r="L1020" s="14">
        <f t="shared" ref="L1020" si="426">SUM(I1020:K1020)</f>
        <v>0</v>
      </c>
      <c r="M1020" s="62">
        <f t="shared" ref="M1020" si="427">L1020-G1020</f>
        <v>0</v>
      </c>
      <c r="N1020" s="14"/>
      <c r="O1020" s="38"/>
      <c r="P1020" s="15"/>
      <c r="Q1020" s="241"/>
      <c r="R1020" s="38"/>
      <c r="S1020" s="38"/>
      <c r="T1020" s="38"/>
      <c r="U1020" s="38"/>
      <c r="V1020" s="38"/>
      <c r="W1020" s="38"/>
      <c r="X1020" s="167"/>
      <c r="Y1020" s="279"/>
      <c r="Z1020" s="3"/>
      <c r="AA1020" s="3"/>
      <c r="AB1020" s="3"/>
      <c r="AC1020" s="3"/>
      <c r="AD1020" s="3"/>
      <c r="AE1020" s="3"/>
    </row>
    <row r="1021" spans="1:31" ht="15.75" customHeight="1" x14ac:dyDescent="0.25">
      <c r="A1021" s="3" t="e">
        <f t="shared" si="420"/>
        <v>#REF!</v>
      </c>
      <c r="B1021" s="32" t="s">
        <v>166</v>
      </c>
      <c r="C1021" s="13" t="s">
        <v>426</v>
      </c>
      <c r="D1021" s="15"/>
      <c r="E1021" s="15"/>
      <c r="F1021" s="15"/>
      <c r="G1021" s="61">
        <f t="shared" ref="G1021:G1022" si="428">SUM(D1021:F1021)</f>
        <v>0</v>
      </c>
      <c r="H1021" s="15"/>
      <c r="I1021" s="15"/>
      <c r="J1021" s="15"/>
      <c r="K1021" s="15"/>
      <c r="L1021" s="14">
        <f>SUM(I1021:K1021)</f>
        <v>0</v>
      </c>
      <c r="M1021" s="62">
        <f>(L1021-G1021)</f>
        <v>0</v>
      </c>
      <c r="N1021" s="14"/>
      <c r="O1021" s="38"/>
      <c r="P1021" s="15"/>
      <c r="Q1021" s="241"/>
      <c r="R1021" s="38"/>
      <c r="S1021" s="38"/>
      <c r="T1021" s="38"/>
      <c r="U1021" s="38"/>
      <c r="V1021" s="38"/>
      <c r="W1021" s="38"/>
      <c r="X1021" s="167"/>
      <c r="Y1021" s="279"/>
      <c r="Z1021" s="3"/>
      <c r="AA1021" s="3"/>
      <c r="AB1021" s="3"/>
      <c r="AC1021" s="3"/>
      <c r="AD1021" s="3"/>
      <c r="AE1021" s="3"/>
    </row>
    <row r="1022" spans="1:31" ht="15.75" customHeight="1" x14ac:dyDescent="0.25">
      <c r="A1022" s="3" t="e">
        <f t="shared" si="420"/>
        <v>#REF!</v>
      </c>
      <c r="B1022" s="32" t="s">
        <v>166</v>
      </c>
      <c r="C1022" s="13" t="s">
        <v>861</v>
      </c>
      <c r="D1022" s="15"/>
      <c r="E1022" s="15"/>
      <c r="F1022" s="15"/>
      <c r="G1022" s="61">
        <f t="shared" si="428"/>
        <v>0</v>
      </c>
      <c r="H1022" s="15"/>
      <c r="I1022" s="15"/>
      <c r="J1022" s="14"/>
      <c r="K1022" s="15"/>
      <c r="L1022" s="14">
        <f>SUM(I1022:K1022)</f>
        <v>0</v>
      </c>
      <c r="M1022" s="62">
        <f>(L1022-G1022)</f>
        <v>0</v>
      </c>
      <c r="N1022" s="15"/>
      <c r="O1022" s="38"/>
      <c r="P1022" s="15"/>
      <c r="Q1022" s="241"/>
      <c r="R1022" s="38"/>
      <c r="S1022" s="38"/>
      <c r="T1022" s="38"/>
      <c r="U1022" s="38"/>
      <c r="V1022" s="38"/>
      <c r="W1022" s="38"/>
      <c r="X1022" s="167"/>
    </row>
    <row r="1023" spans="1:31" ht="15.75" customHeight="1" x14ac:dyDescent="0.25">
      <c r="A1023" s="3" t="e">
        <f t="shared" si="420"/>
        <v>#REF!</v>
      </c>
      <c r="B1023" s="32" t="s">
        <v>166</v>
      </c>
      <c r="C1023" s="13" t="s">
        <v>416</v>
      </c>
      <c r="D1023" s="15"/>
      <c r="E1023" s="15"/>
      <c r="F1023" s="15"/>
      <c r="G1023" s="61">
        <f t="shared" ref="G1023" si="429">SUM(D1023:F1023)</f>
        <v>0</v>
      </c>
      <c r="H1023" s="15"/>
      <c r="I1023" s="15"/>
      <c r="J1023" s="15"/>
      <c r="K1023" s="15"/>
      <c r="L1023" s="14">
        <f t="shared" ref="L1023" si="430">SUM(I1023:K1023)</f>
        <v>0</v>
      </c>
      <c r="M1023" s="62">
        <f t="shared" ref="M1023" si="431">L1023-G1023</f>
        <v>0</v>
      </c>
      <c r="N1023" s="15"/>
      <c r="O1023" s="38"/>
      <c r="P1023" s="15"/>
      <c r="Q1023" s="241"/>
      <c r="R1023" s="38"/>
      <c r="S1023" s="38"/>
      <c r="T1023" s="38">
        <v>900</v>
      </c>
      <c r="U1023" s="38"/>
      <c r="V1023" s="38"/>
      <c r="W1023" s="38"/>
      <c r="X1023" s="167"/>
    </row>
    <row r="1024" spans="1:31" ht="15.75" customHeight="1" x14ac:dyDescent="0.25">
      <c r="A1024" s="3"/>
      <c r="B1024" s="3"/>
      <c r="C1024" s="13" t="s">
        <v>1009</v>
      </c>
      <c r="D1024" s="14"/>
      <c r="E1024" s="14"/>
      <c r="F1024" s="14"/>
      <c r="G1024" s="61">
        <f>SUM(D1024:F1024)</f>
        <v>0</v>
      </c>
      <c r="H1024" s="15"/>
      <c r="I1024" s="14"/>
      <c r="J1024" s="14"/>
      <c r="K1024" s="14"/>
      <c r="L1024" s="14">
        <f>SUM(I1024:K1024)</f>
        <v>0</v>
      </c>
      <c r="M1024" s="62">
        <f t="shared" ref="M1024:M1031" si="432">(L1024-G1024)</f>
        <v>0</v>
      </c>
      <c r="N1024" s="14"/>
      <c r="O1024" s="38"/>
      <c r="P1024" s="15">
        <v>1500</v>
      </c>
      <c r="Q1024" s="241"/>
      <c r="R1024" s="38"/>
      <c r="S1024" s="38"/>
      <c r="T1024" s="38"/>
      <c r="U1024" s="38"/>
      <c r="V1024" s="38"/>
      <c r="W1024" s="38"/>
      <c r="X1024" s="167"/>
    </row>
    <row r="1025" spans="1:31" ht="15.75" customHeight="1" x14ac:dyDescent="0.25">
      <c r="A1025" s="3"/>
      <c r="B1025" s="3"/>
      <c r="C1025" s="13" t="s">
        <v>1010</v>
      </c>
      <c r="D1025" s="14"/>
      <c r="E1025" s="14"/>
      <c r="F1025" s="14"/>
      <c r="G1025" s="61">
        <f>SUM(D1025:F1025)</f>
        <v>0</v>
      </c>
      <c r="H1025" s="15"/>
      <c r="I1025" s="14"/>
      <c r="J1025" s="14"/>
      <c r="K1025" s="14"/>
      <c r="L1025" s="14">
        <f>SUM(I1025:K1025)</f>
        <v>0</v>
      </c>
      <c r="M1025" s="62">
        <f t="shared" si="432"/>
        <v>0</v>
      </c>
      <c r="N1025" s="14"/>
      <c r="O1025" s="38"/>
      <c r="P1025" s="15"/>
      <c r="Q1025" s="241">
        <v>1500</v>
      </c>
      <c r="R1025" s="38"/>
      <c r="S1025" s="38"/>
      <c r="T1025" s="38"/>
      <c r="U1025" s="38"/>
      <c r="V1025" s="38"/>
      <c r="W1025" s="38"/>
      <c r="X1025" s="167"/>
    </row>
    <row r="1026" spans="1:31" ht="15.75" customHeight="1" x14ac:dyDescent="0.25">
      <c r="A1026" s="3"/>
      <c r="B1026" s="3"/>
      <c r="C1026" s="13" t="s">
        <v>1011</v>
      </c>
      <c r="D1026" s="14"/>
      <c r="E1026" s="14"/>
      <c r="F1026" s="14"/>
      <c r="G1026" s="61">
        <f>SUM(D1026:F1026)</f>
        <v>0</v>
      </c>
      <c r="H1026" s="15"/>
      <c r="I1026" s="14"/>
      <c r="J1026" s="14"/>
      <c r="K1026" s="14"/>
      <c r="L1026" s="14">
        <f>SUM(I1026:K1026)</f>
        <v>0</v>
      </c>
      <c r="M1026" s="62">
        <f t="shared" si="432"/>
        <v>0</v>
      </c>
      <c r="N1026" s="14"/>
      <c r="O1026" s="38"/>
      <c r="P1026" s="15">
        <v>1500</v>
      </c>
      <c r="Q1026" s="241"/>
      <c r="R1026" s="38"/>
      <c r="S1026" s="38"/>
      <c r="T1026" s="38"/>
      <c r="U1026" s="38"/>
      <c r="V1026" s="38"/>
      <c r="W1026" s="38"/>
      <c r="X1026" s="167"/>
    </row>
    <row r="1027" spans="1:31" ht="15.75" customHeight="1" x14ac:dyDescent="0.25">
      <c r="C1027" s="40" t="s">
        <v>188</v>
      </c>
      <c r="D1027" s="89">
        <f>SUM(D1009:D1023)</f>
        <v>105744</v>
      </c>
      <c r="E1027" s="89">
        <f>SUM(E1009:E1023)</f>
        <v>53749</v>
      </c>
      <c r="F1027" s="89">
        <f>SUM(F1009:F1023)</f>
        <v>1000</v>
      </c>
      <c r="G1027" s="27">
        <f t="shared" ref="G1027:G1031" si="433">SUM(D1027:F1027)</f>
        <v>160493</v>
      </c>
      <c r="H1027" s="89">
        <f>SUM(H1009:H1026)</f>
        <v>6638</v>
      </c>
      <c r="I1027" s="89">
        <f>SUM(I1009:I1026)</f>
        <v>136932</v>
      </c>
      <c r="J1027" s="89">
        <f>SUM(J1009:J1026)</f>
        <v>99836</v>
      </c>
      <c r="K1027" s="89">
        <f>SUM(K1009:K1026)</f>
        <v>455</v>
      </c>
      <c r="L1027" s="89">
        <f t="shared" ref="L1027:L1031" si="434">SUM(I1027:K1027)</f>
        <v>237223</v>
      </c>
      <c r="M1027" s="28">
        <f t="shared" si="432"/>
        <v>76730</v>
      </c>
      <c r="N1027" s="89">
        <f t="shared" ref="N1027:X1027" si="435">SUM(N1009:N1026)</f>
        <v>164357</v>
      </c>
      <c r="O1027" s="89">
        <f t="shared" si="435"/>
        <v>4000</v>
      </c>
      <c r="P1027" s="89">
        <f t="shared" si="435"/>
        <v>3000</v>
      </c>
      <c r="Q1027" s="246">
        <f t="shared" si="435"/>
        <v>1500</v>
      </c>
      <c r="R1027" s="89">
        <f t="shared" si="435"/>
        <v>0</v>
      </c>
      <c r="S1027" s="89">
        <f t="shared" si="435"/>
        <v>0</v>
      </c>
      <c r="T1027" s="89">
        <f t="shared" si="435"/>
        <v>900</v>
      </c>
      <c r="U1027" s="89">
        <f t="shared" si="435"/>
        <v>0</v>
      </c>
      <c r="V1027" s="89">
        <f t="shared" si="435"/>
        <v>0</v>
      </c>
      <c r="W1027" s="89">
        <f t="shared" si="435"/>
        <v>0</v>
      </c>
      <c r="X1027" s="89">
        <f t="shared" si="435"/>
        <v>0</v>
      </c>
    </row>
    <row r="1028" spans="1:31" ht="15.75" customHeight="1" x14ac:dyDescent="0.25">
      <c r="A1028" s="3" t="e">
        <f>A1023</f>
        <v>#REF!</v>
      </c>
      <c r="B1028" s="32" t="s">
        <v>171</v>
      </c>
      <c r="C1028" s="32" t="s">
        <v>171</v>
      </c>
      <c r="D1028" s="102">
        <v>78680</v>
      </c>
      <c r="E1028" s="102">
        <v>19765</v>
      </c>
      <c r="F1028" s="102">
        <v>400</v>
      </c>
      <c r="G1028" s="106">
        <f t="shared" si="433"/>
        <v>98845</v>
      </c>
      <c r="H1028" s="15"/>
      <c r="I1028" s="74"/>
      <c r="J1028" s="74"/>
      <c r="K1028" s="74"/>
      <c r="L1028" s="14">
        <f t="shared" si="434"/>
        <v>0</v>
      </c>
      <c r="M1028" s="62">
        <f t="shared" si="432"/>
        <v>-98845</v>
      </c>
      <c r="N1028" s="90"/>
      <c r="O1028" s="102"/>
      <c r="P1028" s="90"/>
      <c r="Q1028" s="247"/>
      <c r="R1028" s="102"/>
      <c r="S1028" s="102"/>
      <c r="T1028" s="102"/>
      <c r="U1028" s="102"/>
      <c r="V1028" s="102"/>
      <c r="W1028" s="102"/>
      <c r="X1028" s="179"/>
    </row>
    <row r="1029" spans="1:31" ht="15.75" customHeight="1" x14ac:dyDescent="0.25">
      <c r="A1029" s="3" t="e">
        <f>A1028</f>
        <v>#REF!</v>
      </c>
      <c r="B1029" s="32" t="s">
        <v>171</v>
      </c>
      <c r="C1029" s="13" t="s">
        <v>414</v>
      </c>
      <c r="D1029" s="38"/>
      <c r="E1029" s="38">
        <v>3252</v>
      </c>
      <c r="F1029" s="38"/>
      <c r="G1029" s="106">
        <f t="shared" si="433"/>
        <v>3252</v>
      </c>
      <c r="H1029" s="15"/>
      <c r="I1029" s="15"/>
      <c r="J1029" s="15"/>
      <c r="K1029" s="15"/>
      <c r="L1029" s="14">
        <f t="shared" si="434"/>
        <v>0</v>
      </c>
      <c r="M1029" s="62">
        <f t="shared" si="432"/>
        <v>-3252</v>
      </c>
      <c r="N1029" s="14"/>
      <c r="O1029" s="38"/>
      <c r="P1029" s="15"/>
      <c r="Q1029" s="241"/>
      <c r="R1029" s="38"/>
      <c r="S1029" s="38"/>
      <c r="T1029" s="38"/>
      <c r="U1029" s="38"/>
      <c r="V1029" s="38"/>
      <c r="W1029" s="38"/>
      <c r="X1029" s="167"/>
      <c r="Y1029" s="279"/>
      <c r="Z1029" s="3"/>
      <c r="AA1029" s="3"/>
      <c r="AB1029" s="3"/>
      <c r="AC1029" s="3"/>
      <c r="AD1029" s="3"/>
      <c r="AE1029" s="3"/>
    </row>
    <row r="1030" spans="1:31" ht="15.75" customHeight="1" x14ac:dyDescent="0.25">
      <c r="A1030" s="3" t="e">
        <f t="shared" ref="A1030:A1037" si="436">A1029</f>
        <v>#REF!</v>
      </c>
      <c r="B1030" s="32" t="s">
        <v>171</v>
      </c>
      <c r="C1030" s="13" t="s">
        <v>400</v>
      </c>
      <c r="D1030" s="38">
        <v>5139</v>
      </c>
      <c r="E1030" s="38"/>
      <c r="F1030" s="38"/>
      <c r="G1030" s="106">
        <f t="shared" si="433"/>
        <v>5139</v>
      </c>
      <c r="H1030" s="15"/>
      <c r="I1030" s="15"/>
      <c r="J1030" s="15"/>
      <c r="K1030" s="15"/>
      <c r="L1030" s="14">
        <f t="shared" si="434"/>
        <v>0</v>
      </c>
      <c r="M1030" s="62">
        <f t="shared" si="432"/>
        <v>-5139</v>
      </c>
      <c r="N1030" s="15"/>
      <c r="O1030" s="38"/>
      <c r="P1030" s="15"/>
      <c r="Q1030" s="241"/>
      <c r="R1030" s="38"/>
      <c r="S1030" s="38"/>
      <c r="T1030" s="38"/>
      <c r="U1030" s="38"/>
      <c r="V1030" s="38"/>
      <c r="W1030" s="38"/>
      <c r="X1030" s="167"/>
      <c r="Y1030" s="279"/>
      <c r="Z1030" s="3"/>
      <c r="AA1030" s="3"/>
      <c r="AB1030" s="3"/>
      <c r="AC1030" s="3"/>
      <c r="AD1030" s="3"/>
      <c r="AE1030" s="3"/>
    </row>
    <row r="1031" spans="1:31" ht="15.75" customHeight="1" x14ac:dyDescent="0.25">
      <c r="A1031" s="3" t="e">
        <f t="shared" si="436"/>
        <v>#REF!</v>
      </c>
      <c r="B1031" s="32" t="s">
        <v>171</v>
      </c>
      <c r="C1031" s="13" t="s">
        <v>401</v>
      </c>
      <c r="D1031" s="38"/>
      <c r="E1031" s="38"/>
      <c r="F1031" s="38"/>
      <c r="G1031" s="106">
        <f t="shared" si="433"/>
        <v>0</v>
      </c>
      <c r="H1031" s="15"/>
      <c r="I1031" s="15"/>
      <c r="J1031" s="15"/>
      <c r="K1031" s="15"/>
      <c r="L1031" s="14">
        <f t="shared" si="434"/>
        <v>0</v>
      </c>
      <c r="M1031" s="62">
        <f t="shared" si="432"/>
        <v>0</v>
      </c>
      <c r="N1031" s="14"/>
      <c r="O1031" s="38"/>
      <c r="P1031" s="15"/>
      <c r="Q1031" s="241"/>
      <c r="R1031" s="38"/>
      <c r="S1031" s="38"/>
      <c r="T1031" s="38"/>
      <c r="U1031" s="38"/>
      <c r="V1031" s="38"/>
      <c r="W1031" s="38"/>
      <c r="X1031" s="167"/>
      <c r="Y1031" s="279"/>
      <c r="Z1031" s="3"/>
      <c r="AA1031" s="3"/>
      <c r="AB1031" s="3"/>
      <c r="AC1031" s="3"/>
      <c r="AD1031" s="3"/>
      <c r="AE1031" s="3"/>
    </row>
    <row r="1032" spans="1:31" ht="15.75" customHeight="1" x14ac:dyDescent="0.25">
      <c r="A1032" s="3" t="e">
        <f t="shared" si="436"/>
        <v>#REF!</v>
      </c>
      <c r="B1032" s="32" t="s">
        <v>171</v>
      </c>
      <c r="C1032" s="13" t="s">
        <v>453</v>
      </c>
      <c r="D1032" s="38"/>
      <c r="E1032" s="38"/>
      <c r="F1032" s="38"/>
      <c r="G1032" s="106">
        <f t="shared" ref="G1032" si="437">SUM(D1032:F1032)</f>
        <v>0</v>
      </c>
      <c r="H1032" s="15"/>
      <c r="I1032" s="15"/>
      <c r="J1032" s="15"/>
      <c r="K1032" s="15"/>
      <c r="L1032" s="14">
        <f t="shared" ref="L1032" si="438">SUM(I1032:K1032)</f>
        <v>0</v>
      </c>
      <c r="M1032" s="62">
        <f t="shared" ref="M1032" si="439">L1032-G1032</f>
        <v>0</v>
      </c>
      <c r="N1032" s="14"/>
      <c r="O1032" s="38"/>
      <c r="P1032" s="15"/>
      <c r="Q1032" s="241"/>
      <c r="R1032" s="38"/>
      <c r="S1032" s="38"/>
      <c r="T1032" s="38"/>
      <c r="U1032" s="38"/>
      <c r="V1032" s="38"/>
      <c r="W1032" s="38"/>
      <c r="X1032" s="167"/>
      <c r="Y1032" s="279"/>
      <c r="Z1032" s="3"/>
      <c r="AA1032" s="3"/>
      <c r="AB1032" s="3"/>
      <c r="AC1032" s="3"/>
      <c r="AD1032" s="3"/>
      <c r="AE1032" s="3"/>
    </row>
    <row r="1033" spans="1:31" ht="15.75" customHeight="1" x14ac:dyDescent="0.25">
      <c r="A1033" s="3" t="e">
        <f t="shared" si="436"/>
        <v>#REF!</v>
      </c>
      <c r="B1033" s="32" t="s">
        <v>171</v>
      </c>
      <c r="C1033" s="13" t="s">
        <v>402</v>
      </c>
      <c r="D1033" s="38"/>
      <c r="E1033" s="38"/>
      <c r="F1033" s="38"/>
      <c r="G1033" s="106">
        <f>SUM(D1033:F1033)</f>
        <v>0</v>
      </c>
      <c r="H1033" s="15"/>
      <c r="I1033" s="15"/>
      <c r="J1033" s="15"/>
      <c r="K1033" s="15"/>
      <c r="L1033" s="14">
        <f>SUM(I1033:K1033)</f>
        <v>0</v>
      </c>
      <c r="M1033" s="62">
        <f>(L1033-G1033)</f>
        <v>0</v>
      </c>
      <c r="N1033" s="14"/>
      <c r="O1033" s="38"/>
      <c r="P1033" s="15"/>
      <c r="Q1033" s="241"/>
      <c r="R1033" s="38"/>
      <c r="S1033" s="38"/>
      <c r="T1033" s="38"/>
      <c r="U1033" s="38"/>
      <c r="V1033" s="38"/>
      <c r="W1033" s="38"/>
      <c r="X1033" s="167"/>
      <c r="Y1033" s="279"/>
      <c r="Z1033" s="3"/>
      <c r="AA1033" s="3"/>
      <c r="AB1033" s="3"/>
      <c r="AC1033" s="3"/>
      <c r="AD1033" s="3"/>
      <c r="AE1033" s="3"/>
    </row>
    <row r="1034" spans="1:31" ht="15.75" customHeight="1" x14ac:dyDescent="0.25">
      <c r="A1034" s="3" t="e">
        <f t="shared" si="436"/>
        <v>#REF!</v>
      </c>
      <c r="B1034" s="32" t="s">
        <v>171</v>
      </c>
      <c r="C1034" s="13" t="s">
        <v>1008</v>
      </c>
      <c r="D1034" s="38"/>
      <c r="E1034" s="38"/>
      <c r="F1034" s="38"/>
      <c r="G1034" s="106">
        <f t="shared" ref="G1034:G1035" si="440">SUM(D1034:F1034)</f>
        <v>0</v>
      </c>
      <c r="H1034" s="15"/>
      <c r="I1034" s="15"/>
      <c r="J1034" s="15"/>
      <c r="K1034" s="15"/>
      <c r="L1034" s="14">
        <f t="shared" ref="L1034:L1035" si="441">SUM(I1034:K1034)</f>
        <v>0</v>
      </c>
      <c r="M1034" s="62">
        <f t="shared" ref="M1034:M1035" si="442">L1034-G1034</f>
        <v>0</v>
      </c>
      <c r="N1034" s="14"/>
      <c r="O1034" s="38"/>
      <c r="P1034" s="15"/>
      <c r="Q1034" s="241"/>
      <c r="R1034" s="38"/>
      <c r="S1034" s="38"/>
      <c r="T1034" s="38"/>
      <c r="U1034" s="38"/>
      <c r="V1034" s="38"/>
      <c r="W1034" s="38"/>
      <c r="X1034" s="167"/>
      <c r="Y1034" s="279"/>
      <c r="Z1034" s="3"/>
      <c r="AA1034" s="3"/>
      <c r="AB1034" s="3"/>
      <c r="AC1034" s="3"/>
      <c r="AD1034" s="3"/>
      <c r="AE1034" s="3"/>
    </row>
    <row r="1035" spans="1:31" ht="15.75" customHeight="1" x14ac:dyDescent="0.25">
      <c r="A1035" s="3" t="e">
        <f t="shared" si="436"/>
        <v>#REF!</v>
      </c>
      <c r="B1035" s="32" t="s">
        <v>171</v>
      </c>
      <c r="C1035" s="13" t="s">
        <v>403</v>
      </c>
      <c r="D1035" s="38"/>
      <c r="E1035" s="38"/>
      <c r="F1035" s="38"/>
      <c r="G1035" s="106">
        <f t="shared" si="440"/>
        <v>0</v>
      </c>
      <c r="H1035" s="15"/>
      <c r="I1035" s="15"/>
      <c r="J1035" s="15"/>
      <c r="K1035" s="15"/>
      <c r="L1035" s="14">
        <f t="shared" si="441"/>
        <v>0</v>
      </c>
      <c r="M1035" s="62">
        <f t="shared" si="442"/>
        <v>0</v>
      </c>
      <c r="N1035" s="14"/>
      <c r="O1035" s="38"/>
      <c r="P1035" s="15"/>
      <c r="Q1035" s="241"/>
      <c r="R1035" s="38"/>
      <c r="S1035" s="38"/>
      <c r="T1035" s="38"/>
      <c r="U1035" s="38"/>
      <c r="V1035" s="38"/>
      <c r="W1035" s="38"/>
      <c r="X1035" s="167"/>
      <c r="Y1035" s="279"/>
      <c r="Z1035" s="3"/>
      <c r="AA1035" s="3"/>
      <c r="AB1035" s="3"/>
      <c r="AC1035" s="3"/>
      <c r="AD1035" s="3"/>
      <c r="AE1035" s="3"/>
    </row>
    <row r="1036" spans="1:31" ht="15.75" customHeight="1" x14ac:dyDescent="0.25">
      <c r="A1036" s="3" t="e">
        <f t="shared" si="436"/>
        <v>#REF!</v>
      </c>
      <c r="B1036" s="32" t="s">
        <v>171</v>
      </c>
      <c r="C1036" s="13" t="s">
        <v>426</v>
      </c>
      <c r="D1036" s="38"/>
      <c r="E1036" s="38"/>
      <c r="F1036" s="38"/>
      <c r="G1036" s="106">
        <f t="shared" ref="G1036:G1042" si="443">SUM(D1036:F1036)</f>
        <v>0</v>
      </c>
      <c r="H1036" s="15"/>
      <c r="I1036" s="15"/>
      <c r="J1036" s="15"/>
      <c r="K1036" s="15"/>
      <c r="L1036" s="14">
        <f t="shared" ref="L1036:L1042" si="444">SUM(I1036:K1036)</f>
        <v>0</v>
      </c>
      <c r="M1036" s="62">
        <f t="shared" ref="M1036:M1042" si="445">(L1036-G1036)</f>
        <v>0</v>
      </c>
      <c r="N1036" s="15"/>
      <c r="O1036" s="38"/>
      <c r="P1036" s="15"/>
      <c r="Q1036" s="241"/>
      <c r="R1036" s="38"/>
      <c r="S1036" s="38"/>
      <c r="T1036" s="38"/>
      <c r="U1036" s="38"/>
      <c r="V1036" s="38"/>
      <c r="W1036" s="38"/>
      <c r="X1036" s="167"/>
      <c r="Y1036" s="279"/>
      <c r="Z1036" s="3"/>
      <c r="AA1036" s="3"/>
      <c r="AB1036" s="3"/>
      <c r="AC1036" s="3"/>
      <c r="AD1036" s="3"/>
      <c r="AE1036" s="3"/>
    </row>
    <row r="1037" spans="1:31" ht="15.75" customHeight="1" x14ac:dyDescent="0.25">
      <c r="A1037" s="3" t="e">
        <f t="shared" si="436"/>
        <v>#REF!</v>
      </c>
      <c r="B1037" s="32" t="s">
        <v>171</v>
      </c>
      <c r="C1037" s="13" t="s">
        <v>861</v>
      </c>
      <c r="D1037" s="38"/>
      <c r="E1037" s="38"/>
      <c r="F1037" s="38"/>
      <c r="G1037" s="106">
        <f t="shared" si="443"/>
        <v>0</v>
      </c>
      <c r="H1037" s="15"/>
      <c r="I1037" s="15"/>
      <c r="J1037" s="14"/>
      <c r="K1037" s="15"/>
      <c r="L1037" s="14">
        <f t="shared" si="444"/>
        <v>0</v>
      </c>
      <c r="M1037" s="62">
        <f t="shared" si="445"/>
        <v>0</v>
      </c>
      <c r="N1037" s="15"/>
      <c r="O1037" s="38"/>
      <c r="P1037" s="15"/>
      <c r="Q1037" s="241"/>
      <c r="R1037" s="38"/>
      <c r="S1037" s="38"/>
      <c r="T1037" s="38"/>
      <c r="U1037" s="38"/>
      <c r="V1037" s="38"/>
      <c r="W1037" s="38"/>
      <c r="X1037" s="167"/>
    </row>
    <row r="1038" spans="1:31" ht="15.75" customHeight="1" x14ac:dyDescent="0.25">
      <c r="C1038" s="40" t="s">
        <v>188</v>
      </c>
      <c r="D1038" s="107">
        <f>SUM(D1028:D1037)</f>
        <v>83819</v>
      </c>
      <c r="E1038" s="107">
        <f>SUM(E1028:E1037)</f>
        <v>23017</v>
      </c>
      <c r="F1038" s="107">
        <f>SUM(F1028:F1037)</f>
        <v>400</v>
      </c>
      <c r="G1038" s="75">
        <f t="shared" si="443"/>
        <v>107236</v>
      </c>
      <c r="H1038" s="210"/>
      <c r="I1038" s="89">
        <f>SUM(I1028:I1037)</f>
        <v>0</v>
      </c>
      <c r="J1038" s="89">
        <f>SUM(J1028:J1037)</f>
        <v>0</v>
      </c>
      <c r="K1038" s="89">
        <f>SUM(K1028:K1037)</f>
        <v>0</v>
      </c>
      <c r="L1038" s="89">
        <f t="shared" si="444"/>
        <v>0</v>
      </c>
      <c r="M1038" s="28">
        <f t="shared" si="445"/>
        <v>-107236</v>
      </c>
      <c r="N1038" s="89">
        <f t="shared" ref="N1038:X1038" si="446">SUM(N1028:N1037)</f>
        <v>0</v>
      </c>
      <c r="O1038" s="107">
        <f t="shared" si="446"/>
        <v>0</v>
      </c>
      <c r="P1038" s="210"/>
      <c r="Q1038" s="246"/>
      <c r="R1038" s="107">
        <f t="shared" si="446"/>
        <v>0</v>
      </c>
      <c r="S1038" s="107">
        <f t="shared" si="446"/>
        <v>0</v>
      </c>
      <c r="T1038" s="107">
        <f t="shared" si="446"/>
        <v>0</v>
      </c>
      <c r="U1038" s="107">
        <f t="shared" si="446"/>
        <v>0</v>
      </c>
      <c r="V1038" s="107">
        <f t="shared" si="446"/>
        <v>0</v>
      </c>
      <c r="W1038" s="107">
        <f t="shared" si="446"/>
        <v>0</v>
      </c>
      <c r="X1038" s="107">
        <f t="shared" si="446"/>
        <v>0</v>
      </c>
    </row>
    <row r="1039" spans="1:31" ht="15.75" customHeight="1" x14ac:dyDescent="0.25">
      <c r="A1039" s="3" t="e">
        <f>A1037</f>
        <v>#REF!</v>
      </c>
      <c r="B1039" s="32" t="s">
        <v>164</v>
      </c>
      <c r="C1039" s="32" t="s">
        <v>164</v>
      </c>
      <c r="D1039" s="102">
        <v>172833</v>
      </c>
      <c r="E1039" s="102">
        <v>23536</v>
      </c>
      <c r="F1039" s="102">
        <v>6800</v>
      </c>
      <c r="G1039" s="106">
        <f t="shared" si="443"/>
        <v>203169</v>
      </c>
      <c r="H1039" s="15">
        <v>6927</v>
      </c>
      <c r="I1039" s="112">
        <v>203925</v>
      </c>
      <c r="J1039" s="112">
        <v>165202</v>
      </c>
      <c r="K1039" s="112">
        <v>1120</v>
      </c>
      <c r="L1039" s="14">
        <f t="shared" si="444"/>
        <v>370247</v>
      </c>
      <c r="M1039" s="62">
        <f t="shared" si="445"/>
        <v>167078</v>
      </c>
      <c r="N1039" s="112"/>
      <c r="O1039" s="102"/>
      <c r="P1039" s="90"/>
      <c r="Q1039" s="247"/>
      <c r="R1039" s="102"/>
      <c r="S1039" s="102"/>
      <c r="T1039" s="102"/>
      <c r="U1039" s="102"/>
      <c r="V1039" s="102"/>
      <c r="W1039" s="102"/>
      <c r="X1039" s="179"/>
    </row>
    <row r="1040" spans="1:31" ht="15.75" customHeight="1" x14ac:dyDescent="0.25">
      <c r="A1040" s="3" t="e">
        <f>A1039</f>
        <v>#REF!</v>
      </c>
      <c r="B1040" s="32" t="s">
        <v>164</v>
      </c>
      <c r="C1040" s="13" t="s">
        <v>931</v>
      </c>
      <c r="D1040" s="14"/>
      <c r="E1040" s="14">
        <v>70365</v>
      </c>
      <c r="F1040" s="14"/>
      <c r="G1040" s="61">
        <f t="shared" si="443"/>
        <v>70365</v>
      </c>
      <c r="H1040" s="15"/>
      <c r="I1040" s="45"/>
      <c r="J1040" s="45"/>
      <c r="K1040" s="45"/>
      <c r="L1040" s="14">
        <f t="shared" si="444"/>
        <v>0</v>
      </c>
      <c r="M1040" s="62">
        <f t="shared" si="445"/>
        <v>-70365</v>
      </c>
      <c r="N1040" s="45"/>
      <c r="O1040" s="38"/>
      <c r="P1040" s="15"/>
      <c r="Q1040" s="241"/>
      <c r="R1040" s="38"/>
      <c r="S1040" s="38"/>
      <c r="T1040" s="38"/>
      <c r="U1040" s="38"/>
      <c r="V1040" s="38"/>
      <c r="W1040" s="38"/>
      <c r="X1040" s="167"/>
      <c r="Y1040" s="279"/>
      <c r="Z1040" s="3"/>
      <c r="AA1040" s="3"/>
      <c r="AB1040" s="3"/>
      <c r="AC1040" s="3"/>
      <c r="AD1040" s="3"/>
      <c r="AE1040" s="3"/>
    </row>
    <row r="1041" spans="1:31" ht="15.75" customHeight="1" x14ac:dyDescent="0.25">
      <c r="A1041" s="3" t="e">
        <f t="shared" ref="A1041:A1050" si="447">A1040</f>
        <v>#REF!</v>
      </c>
      <c r="B1041" s="32" t="s">
        <v>164</v>
      </c>
      <c r="C1041" s="13" t="s">
        <v>414</v>
      </c>
      <c r="D1041" s="14"/>
      <c r="E1041" s="14">
        <v>30314</v>
      </c>
      <c r="F1041" s="14"/>
      <c r="G1041" s="61">
        <f t="shared" si="443"/>
        <v>30314</v>
      </c>
      <c r="H1041" s="15"/>
      <c r="I1041" s="45"/>
      <c r="J1041" s="45">
        <v>24853</v>
      </c>
      <c r="K1041" s="45"/>
      <c r="L1041" s="14">
        <f t="shared" si="444"/>
        <v>24853</v>
      </c>
      <c r="M1041" s="62">
        <f t="shared" si="445"/>
        <v>-5461</v>
      </c>
      <c r="N1041" s="45">
        <v>15501</v>
      </c>
      <c r="O1041" s="38"/>
      <c r="P1041" s="15"/>
      <c r="Q1041" s="241"/>
      <c r="R1041" s="38"/>
      <c r="S1041" s="38"/>
      <c r="T1041" s="38"/>
      <c r="U1041" s="38"/>
      <c r="V1041" s="38"/>
      <c r="W1041" s="38"/>
      <c r="X1041" s="167"/>
      <c r="Y1041" s="279"/>
      <c r="Z1041" s="3"/>
      <c r="AA1041" s="3"/>
      <c r="AB1041" s="3"/>
      <c r="AC1041" s="3"/>
      <c r="AD1041" s="3"/>
      <c r="AE1041" s="3"/>
    </row>
    <row r="1042" spans="1:31" ht="15.75" customHeight="1" x14ac:dyDescent="0.25">
      <c r="A1042" s="3" t="e">
        <f t="shared" si="447"/>
        <v>#REF!</v>
      </c>
      <c r="B1042" s="32" t="s">
        <v>164</v>
      </c>
      <c r="C1042" s="13" t="s">
        <v>400</v>
      </c>
      <c r="D1042" s="14">
        <v>12610</v>
      </c>
      <c r="E1042" s="14"/>
      <c r="F1042" s="14"/>
      <c r="G1042" s="61">
        <f t="shared" si="443"/>
        <v>12610</v>
      </c>
      <c r="H1042" s="15"/>
      <c r="I1042" s="45">
        <v>13948</v>
      </c>
      <c r="J1042" s="45"/>
      <c r="K1042" s="45"/>
      <c r="L1042" s="14">
        <f t="shared" si="444"/>
        <v>13948</v>
      </c>
      <c r="M1042" s="62">
        <f t="shared" si="445"/>
        <v>1338</v>
      </c>
      <c r="N1042" s="45"/>
      <c r="O1042" s="38"/>
      <c r="P1042" s="15"/>
      <c r="Q1042" s="241"/>
      <c r="R1042" s="38"/>
      <c r="S1042" s="38"/>
      <c r="T1042" s="38"/>
      <c r="U1042" s="38"/>
      <c r="V1042" s="38"/>
      <c r="W1042" s="38"/>
      <c r="X1042" s="167"/>
      <c r="Y1042" s="279"/>
      <c r="Z1042" s="3"/>
      <c r="AA1042" s="3"/>
      <c r="AB1042" s="3"/>
      <c r="AC1042" s="3"/>
      <c r="AD1042" s="3"/>
      <c r="AE1042" s="3"/>
    </row>
    <row r="1043" spans="1:31" ht="15.75" customHeight="1" x14ac:dyDescent="0.25">
      <c r="A1043" s="3" t="e">
        <f t="shared" si="447"/>
        <v>#REF!</v>
      </c>
      <c r="B1043" s="32" t="s">
        <v>164</v>
      </c>
      <c r="C1043" s="13" t="s">
        <v>403</v>
      </c>
      <c r="D1043" s="14"/>
      <c r="E1043" s="14"/>
      <c r="F1043" s="14"/>
      <c r="G1043" s="61">
        <f t="shared" ref="G1043" si="448">SUM(D1043:F1043)</f>
        <v>0</v>
      </c>
      <c r="H1043" s="15"/>
      <c r="I1043" s="45"/>
      <c r="J1043" s="45"/>
      <c r="K1043" s="45"/>
      <c r="L1043" s="14">
        <f t="shared" ref="L1043" si="449">SUM(I1043:K1043)</f>
        <v>0</v>
      </c>
      <c r="M1043" s="62">
        <f t="shared" ref="M1043" si="450">L1043-G1043</f>
        <v>0</v>
      </c>
      <c r="N1043" s="45">
        <v>1611</v>
      </c>
      <c r="O1043" s="38"/>
      <c r="P1043" s="15"/>
      <c r="Q1043" s="241"/>
      <c r="R1043" s="38"/>
      <c r="S1043" s="38"/>
      <c r="T1043" s="38"/>
      <c r="U1043" s="38"/>
      <c r="V1043" s="38"/>
      <c r="W1043" s="38"/>
      <c r="X1043" s="167"/>
      <c r="Y1043" s="279"/>
      <c r="Z1043" s="3"/>
      <c r="AA1043" s="3"/>
      <c r="AB1043" s="3"/>
      <c r="AC1043" s="3"/>
      <c r="AD1043" s="3"/>
      <c r="AE1043" s="3"/>
    </row>
    <row r="1044" spans="1:31" ht="15.75" customHeight="1" x14ac:dyDescent="0.25">
      <c r="A1044" s="3" t="e">
        <f t="shared" si="447"/>
        <v>#REF!</v>
      </c>
      <c r="B1044" s="32" t="s">
        <v>164</v>
      </c>
      <c r="C1044" s="13" t="s">
        <v>401</v>
      </c>
      <c r="D1044" s="14"/>
      <c r="E1044" s="14"/>
      <c r="F1044" s="14"/>
      <c r="G1044" s="61">
        <f t="shared" ref="G1044:G1045" si="451">SUM(D1044:F1044)</f>
        <v>0</v>
      </c>
      <c r="H1044" s="15"/>
      <c r="I1044" s="45"/>
      <c r="J1044" s="45"/>
      <c r="K1044" s="45"/>
      <c r="L1044" s="14">
        <f t="shared" ref="L1044:L1050" si="452">SUM(I1044:K1044)</f>
        <v>0</v>
      </c>
      <c r="M1044" s="62">
        <f t="shared" ref="M1044:M1061" si="453">(L1044-G1044)</f>
        <v>0</v>
      </c>
      <c r="N1044" s="45">
        <v>394871</v>
      </c>
      <c r="O1044" s="38"/>
      <c r="P1044" s="15"/>
      <c r="Q1044" s="241"/>
      <c r="R1044" s="38"/>
      <c r="S1044" s="38"/>
      <c r="T1044" s="38"/>
      <c r="U1044" s="38"/>
      <c r="V1044" s="38"/>
      <c r="W1044" s="38"/>
      <c r="X1044" s="167"/>
      <c r="Y1044" s="279"/>
      <c r="Z1044" s="3"/>
      <c r="AA1044" s="3"/>
      <c r="AB1044" s="3"/>
      <c r="AC1044" s="3"/>
      <c r="AD1044" s="3"/>
      <c r="AE1044" s="3"/>
    </row>
    <row r="1045" spans="1:31" ht="15.75" customHeight="1" x14ac:dyDescent="0.25">
      <c r="A1045" s="3" t="e">
        <f t="shared" si="447"/>
        <v>#REF!</v>
      </c>
      <c r="B1045" s="32" t="s">
        <v>164</v>
      </c>
      <c r="C1045" s="13" t="s">
        <v>402</v>
      </c>
      <c r="D1045" s="14"/>
      <c r="E1045" s="14"/>
      <c r="F1045" s="14"/>
      <c r="G1045" s="61">
        <f t="shared" si="451"/>
        <v>0</v>
      </c>
      <c r="H1045" s="15"/>
      <c r="I1045" s="45"/>
      <c r="J1045" s="45"/>
      <c r="K1045" s="45"/>
      <c r="L1045" s="14">
        <f t="shared" si="452"/>
        <v>0</v>
      </c>
      <c r="M1045" s="62">
        <f t="shared" si="453"/>
        <v>0</v>
      </c>
      <c r="N1045" s="45"/>
      <c r="O1045" s="38"/>
      <c r="P1045" s="15"/>
      <c r="Q1045" s="241"/>
      <c r="R1045" s="38"/>
      <c r="S1045" s="38"/>
      <c r="T1045" s="38"/>
      <c r="U1045" s="38"/>
      <c r="V1045" s="38"/>
      <c r="W1045" s="38"/>
      <c r="X1045" s="167"/>
      <c r="Y1045" s="279"/>
      <c r="Z1045" s="3"/>
      <c r="AA1045" s="3"/>
      <c r="AB1045" s="3"/>
      <c r="AC1045" s="3"/>
      <c r="AD1045" s="3"/>
      <c r="AE1045" s="3"/>
    </row>
    <row r="1046" spans="1:31" ht="15.75" customHeight="1" x14ac:dyDescent="0.25">
      <c r="A1046" s="3" t="e">
        <f t="shared" si="447"/>
        <v>#REF!</v>
      </c>
      <c r="B1046" s="32" t="s">
        <v>164</v>
      </c>
      <c r="C1046" s="13" t="s">
        <v>933</v>
      </c>
      <c r="D1046" s="14"/>
      <c r="E1046" s="14"/>
      <c r="F1046" s="14"/>
      <c r="G1046" s="61">
        <f t="shared" ref="G1046" si="454">SUM(D1046:F1046)</f>
        <v>0</v>
      </c>
      <c r="H1046" s="15"/>
      <c r="I1046" s="45"/>
      <c r="J1046" s="45"/>
      <c r="K1046" s="45"/>
      <c r="L1046" s="14">
        <f t="shared" si="452"/>
        <v>0</v>
      </c>
      <c r="M1046" s="62">
        <f t="shared" si="453"/>
        <v>0</v>
      </c>
      <c r="N1046" s="45"/>
      <c r="O1046" s="38"/>
      <c r="P1046" s="15"/>
      <c r="Q1046" s="241"/>
      <c r="R1046" s="38"/>
      <c r="S1046" s="38"/>
      <c r="T1046" s="38"/>
      <c r="U1046" s="38"/>
      <c r="V1046" s="38"/>
      <c r="W1046" s="38"/>
      <c r="X1046" s="167"/>
      <c r="Y1046" s="279"/>
      <c r="Z1046" s="3"/>
      <c r="AA1046" s="3"/>
      <c r="AB1046" s="3"/>
      <c r="AC1046" s="3"/>
      <c r="AD1046" s="3"/>
      <c r="AE1046" s="3"/>
    </row>
    <row r="1047" spans="1:31" ht="15.75" customHeight="1" x14ac:dyDescent="0.25">
      <c r="A1047" s="3" t="e">
        <f t="shared" si="447"/>
        <v>#REF!</v>
      </c>
      <c r="B1047" s="32" t="s">
        <v>164</v>
      </c>
      <c r="C1047" s="13" t="s">
        <v>426</v>
      </c>
      <c r="D1047" s="14"/>
      <c r="E1047" s="14"/>
      <c r="F1047" s="14"/>
      <c r="G1047" s="61">
        <f t="shared" ref="G1047:G1050" si="455">SUM(D1047:F1047)</f>
        <v>0</v>
      </c>
      <c r="H1047" s="15"/>
      <c r="I1047" s="45"/>
      <c r="J1047" s="45"/>
      <c r="K1047" s="45"/>
      <c r="L1047" s="14">
        <f t="shared" si="452"/>
        <v>0</v>
      </c>
      <c r="M1047" s="62">
        <f t="shared" si="453"/>
        <v>0</v>
      </c>
      <c r="N1047" s="45"/>
      <c r="O1047" s="38"/>
      <c r="P1047" s="15"/>
      <c r="Q1047" s="241"/>
      <c r="R1047" s="38"/>
      <c r="S1047" s="38"/>
      <c r="T1047" s="38"/>
      <c r="U1047" s="38"/>
      <c r="V1047" s="38"/>
      <c r="W1047" s="38"/>
      <c r="X1047" s="167"/>
      <c r="Y1047" s="279"/>
      <c r="Z1047" s="3"/>
      <c r="AA1047" s="3"/>
      <c r="AB1047" s="3"/>
      <c r="AC1047" s="3"/>
      <c r="AD1047" s="3"/>
      <c r="AE1047" s="3"/>
    </row>
    <row r="1048" spans="1:31" ht="15.75" customHeight="1" x14ac:dyDescent="0.25">
      <c r="A1048" s="3" t="e">
        <f t="shared" si="447"/>
        <v>#REF!</v>
      </c>
      <c r="B1048" s="32" t="s">
        <v>164</v>
      </c>
      <c r="C1048" s="13" t="s">
        <v>955</v>
      </c>
      <c r="D1048" s="14"/>
      <c r="E1048" s="14">
        <v>3300</v>
      </c>
      <c r="F1048" s="14"/>
      <c r="G1048" s="61">
        <f t="shared" si="455"/>
        <v>3300</v>
      </c>
      <c r="H1048" s="15"/>
      <c r="I1048" s="45"/>
      <c r="J1048" s="45">
        <v>1730</v>
      </c>
      <c r="K1048" s="45"/>
      <c r="L1048" s="14">
        <f t="shared" si="452"/>
        <v>1730</v>
      </c>
      <c r="M1048" s="62">
        <f t="shared" si="453"/>
        <v>-1570</v>
      </c>
      <c r="N1048" s="45"/>
      <c r="O1048" s="38"/>
      <c r="P1048" s="15"/>
      <c r="Q1048" s="241"/>
      <c r="R1048" s="38"/>
      <c r="S1048" s="38"/>
      <c r="T1048" s="38"/>
      <c r="U1048" s="38"/>
      <c r="V1048" s="38"/>
      <c r="W1048" s="38"/>
      <c r="X1048" s="167"/>
      <c r="Z1048" s="46"/>
    </row>
    <row r="1049" spans="1:31" ht="15.75" customHeight="1" x14ac:dyDescent="0.25">
      <c r="A1049" s="3" t="e">
        <f t="shared" si="447"/>
        <v>#REF!</v>
      </c>
      <c r="B1049" s="32" t="s">
        <v>164</v>
      </c>
      <c r="C1049" s="13" t="s">
        <v>1012</v>
      </c>
      <c r="D1049" s="14"/>
      <c r="E1049" s="14"/>
      <c r="F1049" s="14"/>
      <c r="G1049" s="61">
        <f t="shared" si="455"/>
        <v>0</v>
      </c>
      <c r="H1049" s="15"/>
      <c r="I1049" s="30"/>
      <c r="J1049" s="14"/>
      <c r="K1049" s="14"/>
      <c r="L1049" s="14">
        <f t="shared" si="452"/>
        <v>0</v>
      </c>
      <c r="M1049" s="62">
        <f t="shared" si="453"/>
        <v>0</v>
      </c>
      <c r="N1049" s="15"/>
      <c r="O1049" s="38"/>
      <c r="P1049" s="15"/>
      <c r="Q1049" s="241"/>
      <c r="R1049" s="38"/>
      <c r="S1049" s="38"/>
      <c r="T1049" s="38"/>
      <c r="U1049" s="38"/>
      <c r="V1049" s="38"/>
      <c r="W1049" s="38"/>
      <c r="X1049" s="167"/>
    </row>
    <row r="1050" spans="1:31" ht="15.75" customHeight="1" x14ac:dyDescent="0.25">
      <c r="A1050" s="3" t="e">
        <f t="shared" si="447"/>
        <v>#REF!</v>
      </c>
      <c r="B1050" s="32" t="s">
        <v>164</v>
      </c>
      <c r="C1050" s="13" t="s">
        <v>1013</v>
      </c>
      <c r="D1050" s="14"/>
      <c r="E1050" s="14"/>
      <c r="F1050" s="14"/>
      <c r="G1050" s="61">
        <f t="shared" si="455"/>
        <v>0</v>
      </c>
      <c r="H1050" s="15"/>
      <c r="I1050" s="30"/>
      <c r="J1050" s="14"/>
      <c r="K1050" s="30"/>
      <c r="L1050" s="14">
        <f t="shared" si="452"/>
        <v>0</v>
      </c>
      <c r="M1050" s="62">
        <f t="shared" si="453"/>
        <v>0</v>
      </c>
      <c r="N1050" s="15"/>
      <c r="O1050" s="38"/>
      <c r="P1050" s="15"/>
      <c r="Q1050" s="241"/>
      <c r="R1050" s="38"/>
      <c r="S1050" s="38"/>
      <c r="T1050" s="38"/>
      <c r="U1050" s="38"/>
      <c r="V1050" s="38"/>
      <c r="W1050" s="38"/>
      <c r="X1050" s="167"/>
    </row>
    <row r="1051" spans="1:31" ht="15.75" customHeight="1" x14ac:dyDescent="0.25">
      <c r="A1051" s="3"/>
      <c r="B1051" s="3"/>
      <c r="C1051" s="29" t="s">
        <v>231</v>
      </c>
      <c r="D1051" s="14"/>
      <c r="E1051" s="14"/>
      <c r="F1051" s="14"/>
      <c r="G1051" s="61">
        <f t="shared" ref="G1051:G1060" si="456">SUM(D1051:F1051)</f>
        <v>0</v>
      </c>
      <c r="H1051" s="15"/>
      <c r="I1051" s="14"/>
      <c r="J1051" s="14"/>
      <c r="K1051" s="14"/>
      <c r="L1051" s="14">
        <f t="shared" ref="L1051:L1061" si="457">SUM(I1051:K1051)</f>
        <v>0</v>
      </c>
      <c r="M1051" s="62">
        <f t="shared" ref="M1051:M1060" si="458">(L1051-G1051)</f>
        <v>0</v>
      </c>
      <c r="N1051" s="14"/>
      <c r="O1051" s="38"/>
      <c r="P1051" s="15"/>
      <c r="Q1051" s="241"/>
      <c r="R1051" s="38"/>
      <c r="S1051" s="38"/>
      <c r="T1051" s="38"/>
      <c r="U1051" s="38"/>
      <c r="V1051" s="38"/>
      <c r="W1051" s="38"/>
      <c r="X1051" s="167"/>
    </row>
    <row r="1052" spans="1:31" ht="15.75" customHeight="1" x14ac:dyDescent="0.25">
      <c r="A1052" s="3"/>
      <c r="B1052" s="3"/>
      <c r="C1052" s="117" t="s">
        <v>1014</v>
      </c>
      <c r="D1052" s="14"/>
      <c r="E1052" s="14"/>
      <c r="F1052" s="14"/>
      <c r="G1052" s="61">
        <f t="shared" si="456"/>
        <v>0</v>
      </c>
      <c r="H1052" s="15"/>
      <c r="I1052" s="14"/>
      <c r="J1052" s="14"/>
      <c r="K1052" s="14"/>
      <c r="L1052" s="14">
        <f t="shared" si="457"/>
        <v>0</v>
      </c>
      <c r="M1052" s="62">
        <f t="shared" si="458"/>
        <v>0</v>
      </c>
      <c r="N1052" s="14"/>
      <c r="O1052" s="38"/>
      <c r="P1052" s="15">
        <v>10000</v>
      </c>
      <c r="Q1052" s="241"/>
      <c r="R1052" s="38"/>
      <c r="S1052" s="38"/>
      <c r="T1052" s="38"/>
      <c r="U1052" s="38"/>
      <c r="V1052" s="38"/>
      <c r="W1052" s="38"/>
      <c r="X1052" s="167"/>
    </row>
    <row r="1053" spans="1:31" ht="15.75" customHeight="1" x14ac:dyDescent="0.25">
      <c r="A1053" s="3"/>
      <c r="B1053" s="3"/>
      <c r="C1053" s="13" t="s">
        <v>459</v>
      </c>
      <c r="D1053" s="14"/>
      <c r="E1053" s="14"/>
      <c r="F1053" s="14"/>
      <c r="G1053" s="61">
        <f t="shared" si="456"/>
        <v>0</v>
      </c>
      <c r="H1053" s="15"/>
      <c r="I1053" s="14"/>
      <c r="J1053" s="14"/>
      <c r="K1053" s="14"/>
      <c r="L1053" s="14">
        <f t="shared" si="457"/>
        <v>0</v>
      </c>
      <c r="M1053" s="62">
        <f t="shared" si="458"/>
        <v>0</v>
      </c>
      <c r="N1053" s="14"/>
      <c r="O1053" s="38"/>
      <c r="P1053" s="15">
        <v>500</v>
      </c>
      <c r="Q1053" s="241"/>
      <c r="R1053" s="38"/>
      <c r="S1053" s="38"/>
      <c r="T1053" s="38"/>
      <c r="U1053" s="38"/>
      <c r="V1053" s="38"/>
      <c r="W1053" s="38"/>
      <c r="X1053" s="167"/>
    </row>
    <row r="1054" spans="1:31" ht="15.75" customHeight="1" x14ac:dyDescent="0.25">
      <c r="A1054" s="3"/>
      <c r="B1054" s="3"/>
      <c r="C1054" s="13" t="s">
        <v>1015</v>
      </c>
      <c r="D1054" s="14"/>
      <c r="E1054" s="14"/>
      <c r="F1054" s="14"/>
      <c r="G1054" s="61">
        <f t="shared" si="456"/>
        <v>0</v>
      </c>
      <c r="H1054" s="15"/>
      <c r="I1054" s="14"/>
      <c r="J1054" s="14"/>
      <c r="K1054" s="14"/>
      <c r="L1054" s="14">
        <f t="shared" si="457"/>
        <v>0</v>
      </c>
      <c r="M1054" s="62">
        <f t="shared" si="458"/>
        <v>0</v>
      </c>
      <c r="N1054" s="14"/>
      <c r="O1054" s="38"/>
      <c r="P1054" s="15">
        <v>700</v>
      </c>
      <c r="Q1054" s="241"/>
      <c r="R1054" s="38"/>
      <c r="S1054" s="38"/>
      <c r="T1054" s="38"/>
      <c r="U1054" s="38"/>
      <c r="V1054" s="38"/>
      <c r="W1054" s="38"/>
      <c r="X1054" s="167"/>
    </row>
    <row r="1055" spans="1:31" ht="15.75" customHeight="1" x14ac:dyDescent="0.25">
      <c r="A1055" s="3"/>
      <c r="B1055" s="3"/>
      <c r="C1055" s="13" t="s">
        <v>1016</v>
      </c>
      <c r="D1055" s="14"/>
      <c r="E1055" s="14"/>
      <c r="F1055" s="14"/>
      <c r="G1055" s="61">
        <f t="shared" si="456"/>
        <v>0</v>
      </c>
      <c r="H1055" s="15"/>
      <c r="I1055" s="14"/>
      <c r="J1055" s="14"/>
      <c r="K1055" s="14"/>
      <c r="L1055" s="14">
        <f t="shared" si="457"/>
        <v>0</v>
      </c>
      <c r="M1055" s="62">
        <f t="shared" si="458"/>
        <v>0</v>
      </c>
      <c r="N1055" s="14"/>
      <c r="O1055" s="38"/>
      <c r="P1055" s="15">
        <v>1500</v>
      </c>
      <c r="Q1055" s="241"/>
      <c r="R1055" s="38"/>
      <c r="S1055" s="38"/>
      <c r="T1055" s="38"/>
      <c r="U1055" s="38"/>
      <c r="V1055" s="38"/>
      <c r="W1055" s="38"/>
      <c r="X1055" s="167"/>
    </row>
    <row r="1056" spans="1:31" ht="15.75" customHeight="1" x14ac:dyDescent="0.25">
      <c r="A1056" s="3"/>
      <c r="B1056" s="3"/>
      <c r="C1056" s="13" t="s">
        <v>1000</v>
      </c>
      <c r="D1056" s="14"/>
      <c r="E1056" s="14"/>
      <c r="F1056" s="14"/>
      <c r="G1056" s="61">
        <f t="shared" si="456"/>
        <v>0</v>
      </c>
      <c r="H1056" s="15" t="s">
        <v>1017</v>
      </c>
      <c r="I1056" s="14"/>
      <c r="J1056" s="14"/>
      <c r="K1056" s="14"/>
      <c r="L1056" s="14">
        <f t="shared" si="457"/>
        <v>0</v>
      </c>
      <c r="M1056" s="62">
        <f t="shared" si="458"/>
        <v>0</v>
      </c>
      <c r="N1056" s="14"/>
      <c r="O1056" s="38"/>
      <c r="P1056" s="15"/>
      <c r="Q1056" s="241">
        <v>1100</v>
      </c>
      <c r="R1056" s="38"/>
      <c r="S1056" s="38"/>
      <c r="T1056" s="38"/>
      <c r="U1056" s="38"/>
      <c r="V1056" s="38"/>
      <c r="W1056" s="38"/>
      <c r="X1056" s="167"/>
    </row>
    <row r="1057" spans="1:31" ht="15.75" customHeight="1" x14ac:dyDescent="0.25">
      <c r="A1057" s="3"/>
      <c r="B1057" s="3"/>
      <c r="C1057" s="13" t="s">
        <v>1018</v>
      </c>
      <c r="D1057" s="14"/>
      <c r="E1057" s="14"/>
      <c r="F1057" s="14"/>
      <c r="G1057" s="61">
        <f t="shared" si="456"/>
        <v>0</v>
      </c>
      <c r="H1057" s="15"/>
      <c r="I1057" s="14"/>
      <c r="J1057" s="14"/>
      <c r="K1057" s="14"/>
      <c r="L1057" s="14">
        <f t="shared" si="457"/>
        <v>0</v>
      </c>
      <c r="M1057" s="62">
        <f t="shared" si="458"/>
        <v>0</v>
      </c>
      <c r="N1057" s="14"/>
      <c r="O1057" s="38"/>
      <c r="P1057" s="15">
        <v>840</v>
      </c>
      <c r="Q1057" s="241"/>
      <c r="R1057" s="38"/>
      <c r="S1057" s="38"/>
      <c r="T1057" s="38"/>
      <c r="U1057" s="38"/>
      <c r="V1057" s="38"/>
      <c r="W1057" s="38"/>
      <c r="X1057" s="167"/>
    </row>
    <row r="1058" spans="1:31" ht="15.75" customHeight="1" x14ac:dyDescent="0.25">
      <c r="A1058" s="3"/>
      <c r="B1058" s="3"/>
      <c r="C1058" s="13" t="s">
        <v>264</v>
      </c>
      <c r="D1058" s="14"/>
      <c r="E1058" s="14"/>
      <c r="F1058" s="14"/>
      <c r="G1058" s="61">
        <f t="shared" si="456"/>
        <v>0</v>
      </c>
      <c r="H1058" s="15"/>
      <c r="I1058" s="14"/>
      <c r="J1058" s="14"/>
      <c r="K1058" s="14"/>
      <c r="L1058" s="14">
        <f t="shared" si="457"/>
        <v>0</v>
      </c>
      <c r="M1058" s="62">
        <f t="shared" si="458"/>
        <v>0</v>
      </c>
      <c r="N1058" s="14"/>
      <c r="O1058" s="38"/>
      <c r="P1058" s="15">
        <v>600</v>
      </c>
      <c r="Q1058" s="241"/>
      <c r="R1058" s="38"/>
      <c r="S1058" s="38"/>
      <c r="T1058" s="38"/>
      <c r="U1058" s="38"/>
      <c r="V1058" s="38"/>
      <c r="W1058" s="38"/>
      <c r="X1058" s="167"/>
    </row>
    <row r="1059" spans="1:31" ht="15.75" customHeight="1" x14ac:dyDescent="0.25">
      <c r="A1059" s="3"/>
      <c r="B1059" s="3"/>
      <c r="C1059" s="13" t="s">
        <v>1019</v>
      </c>
      <c r="D1059" s="14"/>
      <c r="E1059" s="14"/>
      <c r="F1059" s="14"/>
      <c r="G1059" s="61">
        <f t="shared" si="456"/>
        <v>0</v>
      </c>
      <c r="H1059" s="15"/>
      <c r="I1059" s="14"/>
      <c r="J1059" s="14"/>
      <c r="K1059" s="14"/>
      <c r="L1059" s="14">
        <f t="shared" si="457"/>
        <v>0</v>
      </c>
      <c r="M1059" s="62">
        <f t="shared" si="458"/>
        <v>0</v>
      </c>
      <c r="N1059" s="14"/>
      <c r="O1059" s="38"/>
      <c r="P1059" s="15">
        <v>556</v>
      </c>
      <c r="Q1059" s="241"/>
      <c r="R1059" s="38"/>
      <c r="S1059" s="38"/>
      <c r="T1059" s="38"/>
      <c r="U1059" s="38"/>
      <c r="V1059" s="38"/>
      <c r="W1059" s="38"/>
      <c r="X1059" s="167"/>
    </row>
    <row r="1060" spans="1:31" ht="15.75" customHeight="1" x14ac:dyDescent="0.25">
      <c r="A1060" s="3"/>
      <c r="B1060" s="3"/>
      <c r="C1060" s="13" t="s">
        <v>1020</v>
      </c>
      <c r="D1060" s="14"/>
      <c r="E1060" s="14"/>
      <c r="F1060" s="14"/>
      <c r="G1060" s="61">
        <f t="shared" si="456"/>
        <v>0</v>
      </c>
      <c r="H1060" s="15"/>
      <c r="I1060" s="14"/>
      <c r="J1060" s="14"/>
      <c r="K1060" s="14"/>
      <c r="L1060" s="14">
        <f t="shared" si="457"/>
        <v>0</v>
      </c>
      <c r="M1060" s="62">
        <f t="shared" si="458"/>
        <v>0</v>
      </c>
      <c r="N1060" s="14"/>
      <c r="O1060" s="38"/>
      <c r="P1060" s="15">
        <v>680</v>
      </c>
      <c r="Q1060" s="241"/>
      <c r="R1060" s="38"/>
      <c r="S1060" s="38"/>
      <c r="T1060" s="38"/>
      <c r="U1060" s="38"/>
      <c r="V1060" s="38"/>
      <c r="W1060" s="38"/>
      <c r="X1060" s="167"/>
    </row>
    <row r="1061" spans="1:31" ht="15.75" customHeight="1" x14ac:dyDescent="0.25">
      <c r="C1061" s="40" t="s">
        <v>188</v>
      </c>
      <c r="D1061" s="89">
        <f>SUM(D1039:D1050)</f>
        <v>185443</v>
      </c>
      <c r="E1061" s="89">
        <f>SUM(E1039:E1050)</f>
        <v>127515</v>
      </c>
      <c r="F1061" s="89">
        <f>SUM(F1039:F1050)</f>
        <v>6800</v>
      </c>
      <c r="G1061" s="27">
        <f t="shared" ref="G1061" si="459">SUM(D1061:F1061)</f>
        <v>319758</v>
      </c>
      <c r="H1061" s="89">
        <f>SUM(H1039:H1060)</f>
        <v>6927</v>
      </c>
      <c r="I1061" s="89">
        <f>SUM(I1039:I1060)</f>
        <v>217873</v>
      </c>
      <c r="J1061" s="89">
        <f>SUM(J1039:J1060)</f>
        <v>191785</v>
      </c>
      <c r="K1061" s="89">
        <f>SUM(K1039:K1060)</f>
        <v>1120</v>
      </c>
      <c r="L1061" s="89">
        <f t="shared" si="457"/>
        <v>410778</v>
      </c>
      <c r="M1061" s="28">
        <f t="shared" si="453"/>
        <v>91020</v>
      </c>
      <c r="N1061" s="89">
        <f t="shared" ref="N1061:X1061" si="460">SUM(N1039:N1060)</f>
        <v>411983</v>
      </c>
      <c r="O1061" s="89">
        <f t="shared" si="460"/>
        <v>0</v>
      </c>
      <c r="P1061" s="89">
        <f t="shared" si="460"/>
        <v>15376</v>
      </c>
      <c r="Q1061" s="246">
        <f t="shared" si="460"/>
        <v>1100</v>
      </c>
      <c r="R1061" s="89">
        <f t="shared" si="460"/>
        <v>0</v>
      </c>
      <c r="S1061" s="89">
        <f t="shared" si="460"/>
        <v>0</v>
      </c>
      <c r="T1061" s="89">
        <f t="shared" si="460"/>
        <v>0</v>
      </c>
      <c r="U1061" s="89">
        <f t="shared" si="460"/>
        <v>0</v>
      </c>
      <c r="V1061" s="89">
        <f t="shared" si="460"/>
        <v>0</v>
      </c>
      <c r="W1061" s="89">
        <f t="shared" si="460"/>
        <v>0</v>
      </c>
      <c r="X1061" s="89">
        <f t="shared" si="460"/>
        <v>0</v>
      </c>
    </row>
    <row r="1062" spans="1:31" ht="15.75" customHeight="1" x14ac:dyDescent="0.25">
      <c r="A1062" s="49"/>
      <c r="B1062" s="49"/>
      <c r="C1062" s="44" t="s">
        <v>1021</v>
      </c>
      <c r="D1062" s="108">
        <f>(D1061+D1038+D1027+D1008+D996+D971+D961+D931+D915+D897)</f>
        <v>1712345</v>
      </c>
      <c r="E1062" s="108">
        <f>(E1061+E1038+E1027+E1008+E996+E971+E961+E931+E915+E897)</f>
        <v>988175</v>
      </c>
      <c r="F1062" s="108">
        <f>(F1061+F1038+F1027+F1008+F996+F971+F961+F931+F915+F897)</f>
        <v>31198</v>
      </c>
      <c r="G1062" s="108">
        <f>(G1061+G1038+G1027+G1008+G996+G971+G961+G931+G915+G897)</f>
        <v>2731718</v>
      </c>
      <c r="H1062" s="108">
        <f>H1061+H1038+H1027+H1008+H996+H971+H961+H931+H915+H897</f>
        <v>101562.13</v>
      </c>
      <c r="I1062" s="108">
        <f>I1061+I1038+I1027+I1008+I996+I971+I961+I931+I915+I897</f>
        <v>1779935</v>
      </c>
      <c r="J1062" s="108">
        <f>J1061+J1038+J1027+J1008+J996+J971+J961+J931+J915+J897</f>
        <v>1537228</v>
      </c>
      <c r="K1062" s="108">
        <f>K1061+K1038+K1027+K1008+K996+K971+K961+K931+K915+K897</f>
        <v>5310</v>
      </c>
      <c r="L1062" s="203">
        <f>(L1061+L1038+L1027+L1008+L996+L971+L961+L931+L915+L897)</f>
        <v>3322473</v>
      </c>
      <c r="M1062" s="108">
        <f>(M1061+M1038+M1027+M1008+M996+M971+M961+M931+M915+M897)</f>
        <v>590755</v>
      </c>
      <c r="N1062" s="108">
        <f>N1061+N1038+N1027+N1008+N996+N971+N961+N931+N915+N897</f>
        <v>2931572</v>
      </c>
      <c r="O1062" s="199">
        <f>O1061+O1038+O1027+O1008+O996+O971+O961+O931+O915+O897</f>
        <v>22515</v>
      </c>
      <c r="P1062" s="217">
        <f>P1061+P1038+P1027+P1008+P996+P971+P961+P931+P915+P897</f>
        <v>169406</v>
      </c>
      <c r="Q1062" s="263">
        <f>Q1061+Q1038+Q1027+Q1008+Q996+Q971+Q961+Q931+Q915+Q897</f>
        <v>24364</v>
      </c>
      <c r="R1062" s="199">
        <f>R1061+R1038+R1027+R1008+R996+R971+R961+R931+R915+R897</f>
        <v>0</v>
      </c>
      <c r="S1062" s="199">
        <f>(S1061+S1038+S1027+S1008+S996+S971+S961+S931+S915+S897)</f>
        <v>51930</v>
      </c>
      <c r="T1062" s="199">
        <f>(T1061+T1038+T1027+T1008+T996+T971+T961+T931+T915+T897)</f>
        <v>17350</v>
      </c>
      <c r="U1062" s="199">
        <f>U1061+U1038+U1027+U1008+U996+U971+U961+U931+U915+U897</f>
        <v>33887</v>
      </c>
      <c r="V1062" s="199">
        <f>V1061+V1038+V1027+V1008+V996+V971+V961+V931+V915+V897</f>
        <v>0</v>
      </c>
      <c r="W1062" s="199">
        <f>W1061+W1038+W1027+W1008+W996+W971+W961+W931+W915+W897</f>
        <v>33887</v>
      </c>
      <c r="X1062" s="199">
        <f>(X1061+X1038+X1027+X1008+X996+X971+X961+X931+X915+X897)</f>
        <v>0</v>
      </c>
      <c r="Y1062" s="278"/>
      <c r="Z1062" s="49"/>
      <c r="AA1062" s="49"/>
      <c r="AB1062" s="49"/>
      <c r="AC1062" s="49"/>
      <c r="AD1062" s="49"/>
      <c r="AE1062" s="49"/>
    </row>
    <row r="1063" spans="1:31" ht="15.75" customHeight="1" x14ac:dyDescent="0.25">
      <c r="A1063" t="s">
        <v>462</v>
      </c>
      <c r="B1063" s="32" t="s">
        <v>135</v>
      </c>
      <c r="C1063" s="32" t="s">
        <v>135</v>
      </c>
      <c r="D1063" s="74">
        <v>56344</v>
      </c>
      <c r="E1063" s="74">
        <v>41409</v>
      </c>
      <c r="F1063" s="74">
        <v>4270</v>
      </c>
      <c r="G1063" s="59">
        <f>SUM(D1063:F1063)</f>
        <v>102023</v>
      </c>
      <c r="H1063" s="90">
        <v>11412.7</v>
      </c>
      <c r="I1063" s="112">
        <v>63633</v>
      </c>
      <c r="J1063" s="112">
        <v>58721</v>
      </c>
      <c r="K1063" s="112">
        <v>915</v>
      </c>
      <c r="L1063" s="14">
        <f>SUM(I1063:K1063)</f>
        <v>123269</v>
      </c>
      <c r="M1063" s="62">
        <f>(L1063-G1063)</f>
        <v>21246</v>
      </c>
      <c r="N1063" s="112"/>
      <c r="O1063" s="102"/>
      <c r="P1063" s="90"/>
      <c r="Q1063" s="247"/>
      <c r="R1063" s="102"/>
      <c r="S1063" s="102"/>
      <c r="T1063" s="102"/>
      <c r="U1063" s="102"/>
      <c r="V1063" s="102"/>
      <c r="W1063" s="102"/>
      <c r="X1063" s="179"/>
    </row>
    <row r="1064" spans="1:31" ht="15.75" customHeight="1" x14ac:dyDescent="0.25">
      <c r="A1064" t="s">
        <v>462</v>
      </c>
      <c r="B1064" s="32" t="s">
        <v>135</v>
      </c>
      <c r="C1064" s="13" t="s">
        <v>414</v>
      </c>
      <c r="D1064" s="14"/>
      <c r="E1064" s="14">
        <v>7344</v>
      </c>
      <c r="F1064" s="14"/>
      <c r="G1064" s="61">
        <f t="shared" ref="G1064" si="461">SUM(D1064:F1064)</f>
        <v>7344</v>
      </c>
      <c r="H1064" s="15"/>
      <c r="I1064" s="45"/>
      <c r="J1064" s="45">
        <v>17576</v>
      </c>
      <c r="K1064" s="45"/>
      <c r="L1064" s="14">
        <f>SUM(I1064:K1064)</f>
        <v>17576</v>
      </c>
      <c r="M1064" s="62">
        <f>(L1064-G1064)</f>
        <v>10232</v>
      </c>
      <c r="N1064" s="45">
        <v>13133</v>
      </c>
      <c r="O1064" s="38"/>
      <c r="P1064" s="15"/>
      <c r="Q1064" s="241"/>
      <c r="R1064" s="38"/>
      <c r="S1064" s="38"/>
      <c r="T1064" s="38"/>
      <c r="U1064" s="38"/>
      <c r="V1064" s="38"/>
      <c r="W1064" s="38"/>
      <c r="X1064" s="167"/>
      <c r="Y1064" s="279"/>
      <c r="Z1064" s="3"/>
      <c r="AA1064" s="3"/>
      <c r="AB1064" s="3"/>
      <c r="AC1064" s="3"/>
      <c r="AD1064" s="3"/>
      <c r="AE1064" s="3"/>
    </row>
    <row r="1065" spans="1:31" ht="15.75" customHeight="1" x14ac:dyDescent="0.25">
      <c r="A1065" t="s">
        <v>462</v>
      </c>
      <c r="B1065" s="32" t="s">
        <v>135</v>
      </c>
      <c r="C1065" s="13" t="s">
        <v>400</v>
      </c>
      <c r="D1065" s="14">
        <v>70753</v>
      </c>
      <c r="E1065" s="14"/>
      <c r="F1065" s="14"/>
      <c r="G1065" s="61">
        <f t="shared" ref="G1065:G1066" si="462">SUM(D1065:F1065)</f>
        <v>70753</v>
      </c>
      <c r="H1065" s="15"/>
      <c r="I1065" s="45">
        <v>80630</v>
      </c>
      <c r="J1065" s="45"/>
      <c r="K1065" s="45"/>
      <c r="L1065" s="14">
        <f>SUM(I1065:K1065)</f>
        <v>80630</v>
      </c>
      <c r="M1065" s="62">
        <f>(L1065-G1065)</f>
        <v>9877</v>
      </c>
      <c r="N1065" s="45"/>
      <c r="O1065" s="38"/>
      <c r="P1065" s="15"/>
      <c r="Q1065" s="241"/>
      <c r="R1065" s="38"/>
      <c r="S1065" s="38"/>
      <c r="T1065" s="38"/>
      <c r="U1065" s="38"/>
      <c r="V1065" s="38"/>
      <c r="W1065" s="38"/>
      <c r="X1065" s="167"/>
      <c r="Y1065" s="279"/>
      <c r="Z1065" s="3"/>
      <c r="AA1065" s="3"/>
      <c r="AB1065" s="3"/>
      <c r="AC1065" s="3"/>
      <c r="AD1065" s="3"/>
      <c r="AE1065" s="3"/>
    </row>
    <row r="1066" spans="1:31" ht="15.75" customHeight="1" x14ac:dyDescent="0.25">
      <c r="A1066" t="s">
        <v>462</v>
      </c>
      <c r="B1066" s="32" t="s">
        <v>135</v>
      </c>
      <c r="C1066" s="13" t="s">
        <v>463</v>
      </c>
      <c r="D1066" s="14"/>
      <c r="E1066" s="14"/>
      <c r="F1066" s="14"/>
      <c r="G1066" s="61">
        <f t="shared" si="462"/>
        <v>0</v>
      </c>
      <c r="H1066" s="15"/>
      <c r="I1066" s="45"/>
      <c r="J1066" s="45"/>
      <c r="K1066" s="45"/>
      <c r="L1066" s="14">
        <f>SUM(I1066:K1066)</f>
        <v>0</v>
      </c>
      <c r="M1066" s="62">
        <f>(L1066-G1066)</f>
        <v>0</v>
      </c>
      <c r="N1066" s="45">
        <v>156416</v>
      </c>
      <c r="O1066" s="38"/>
      <c r="P1066" s="15"/>
      <c r="Q1066" s="241"/>
      <c r="R1066" s="38"/>
      <c r="S1066" s="38"/>
      <c r="T1066" s="38"/>
      <c r="U1066" s="38"/>
      <c r="V1066" s="38"/>
      <c r="W1066" s="38"/>
      <c r="X1066" s="167"/>
      <c r="Y1066" s="279"/>
      <c r="Z1066" s="3"/>
      <c r="AA1066" s="3"/>
      <c r="AB1066" s="3"/>
      <c r="AC1066" s="3"/>
      <c r="AD1066" s="3"/>
      <c r="AE1066" s="3"/>
    </row>
    <row r="1067" spans="1:31" ht="15.75" customHeight="1" x14ac:dyDescent="0.25">
      <c r="A1067" t="s">
        <v>462</v>
      </c>
      <c r="B1067" s="32" t="s">
        <v>135</v>
      </c>
      <c r="C1067" s="13" t="s">
        <v>1022</v>
      </c>
      <c r="D1067" s="14"/>
      <c r="E1067" s="14"/>
      <c r="F1067" s="14"/>
      <c r="G1067" s="61">
        <f t="shared" ref="G1067" si="463">SUM(D1067:F1067)</f>
        <v>0</v>
      </c>
      <c r="H1067" s="15"/>
      <c r="I1067" s="45"/>
      <c r="J1067" s="45"/>
      <c r="K1067" s="45"/>
      <c r="L1067" s="14">
        <f t="shared" ref="L1067" si="464">SUM(I1067:K1067)</f>
        <v>0</v>
      </c>
      <c r="M1067" s="62">
        <f t="shared" ref="M1067" si="465">L1067-G1067</f>
        <v>0</v>
      </c>
      <c r="N1067" s="45">
        <v>251507</v>
      </c>
      <c r="O1067" s="38"/>
      <c r="P1067" s="15"/>
      <c r="Q1067" s="241"/>
      <c r="R1067" s="38"/>
      <c r="S1067" s="38"/>
      <c r="T1067" s="38"/>
      <c r="U1067" s="38"/>
      <c r="V1067" s="38"/>
      <c r="W1067" s="38"/>
      <c r="X1067" s="167"/>
      <c r="Y1067" s="279"/>
      <c r="Z1067" s="3"/>
      <c r="AA1067" s="3"/>
      <c r="AB1067" s="3"/>
      <c r="AC1067" s="3"/>
      <c r="AD1067" s="3"/>
      <c r="AE1067" s="3"/>
    </row>
    <row r="1068" spans="1:31" ht="15.75" customHeight="1" x14ac:dyDescent="0.25">
      <c r="A1068" s="3"/>
      <c r="B1068" s="12"/>
      <c r="C1068" s="233" t="s">
        <v>231</v>
      </c>
      <c r="D1068" s="14"/>
      <c r="E1068" s="14"/>
      <c r="F1068" s="14"/>
      <c r="G1068" s="61">
        <f>SUM(D1068:F1068)</f>
        <v>0</v>
      </c>
      <c r="H1068" s="15"/>
      <c r="I1068" s="45"/>
      <c r="J1068" s="45"/>
      <c r="K1068" s="45"/>
      <c r="L1068" s="14">
        <f>SUM(I1068:K1068)</f>
        <v>0</v>
      </c>
      <c r="M1068" s="62">
        <f>(L1068-G1068)</f>
        <v>0</v>
      </c>
      <c r="N1068" s="45"/>
      <c r="O1068" s="38"/>
      <c r="P1068" s="15"/>
      <c r="Q1068" s="241"/>
      <c r="R1068" s="38"/>
      <c r="S1068" s="38"/>
      <c r="T1068" s="38"/>
      <c r="U1068" s="38"/>
      <c r="V1068" s="38"/>
      <c r="W1068" s="38"/>
      <c r="X1068" s="167"/>
      <c r="Y1068" s="279"/>
      <c r="Z1068" s="3"/>
      <c r="AA1068" s="3"/>
      <c r="AB1068" s="3"/>
      <c r="AC1068" s="3"/>
      <c r="AD1068" s="3"/>
      <c r="AE1068" s="3"/>
    </row>
    <row r="1069" spans="1:31" ht="15.75" customHeight="1" x14ac:dyDescent="0.25">
      <c r="A1069" s="3"/>
      <c r="B1069" s="12"/>
      <c r="C1069" s="13" t="s">
        <v>1023</v>
      </c>
      <c r="D1069" s="14"/>
      <c r="E1069" s="14"/>
      <c r="F1069" s="14"/>
      <c r="G1069" s="61">
        <f>SUM(D1069:F1069)</f>
        <v>0</v>
      </c>
      <c r="H1069" s="15"/>
      <c r="I1069" s="45"/>
      <c r="J1069" s="45"/>
      <c r="K1069" s="45"/>
      <c r="L1069" s="14">
        <f>SUM(I1069:K1069)</f>
        <v>0</v>
      </c>
      <c r="M1069" s="62">
        <f>(L1069-G1069)</f>
        <v>0</v>
      </c>
      <c r="N1069" s="45"/>
      <c r="O1069" s="38">
        <v>6590</v>
      </c>
      <c r="P1069" s="15"/>
      <c r="Q1069" s="241"/>
      <c r="R1069" s="38"/>
      <c r="S1069" s="38"/>
      <c r="T1069" s="38"/>
      <c r="U1069" s="38"/>
      <c r="V1069" s="38"/>
      <c r="W1069" s="38"/>
      <c r="X1069" s="167"/>
      <c r="Y1069" s="279"/>
      <c r="Z1069" s="3"/>
      <c r="AA1069" s="3"/>
      <c r="AB1069" s="3"/>
      <c r="AC1069" s="3"/>
      <c r="AD1069" s="3"/>
      <c r="AE1069" s="3"/>
    </row>
    <row r="1070" spans="1:31" ht="15.75" customHeight="1" x14ac:dyDescent="0.25">
      <c r="A1070" s="3"/>
      <c r="B1070" s="12"/>
      <c r="C1070" s="13" t="s">
        <v>1024</v>
      </c>
      <c r="D1070" s="14"/>
      <c r="E1070" s="14"/>
      <c r="F1070" s="14"/>
      <c r="G1070" s="61">
        <f>SUM(D1070:F1070)</f>
        <v>0</v>
      </c>
      <c r="H1070" s="15"/>
      <c r="I1070" s="45"/>
      <c r="J1070" s="45"/>
      <c r="K1070" s="45"/>
      <c r="L1070" s="14">
        <f>SUM(I1070:K1070)</f>
        <v>0</v>
      </c>
      <c r="M1070" s="62">
        <f>(L1070-G1070)</f>
        <v>0</v>
      </c>
      <c r="N1070" s="45"/>
      <c r="O1070" s="38">
        <v>1600</v>
      </c>
      <c r="P1070" s="15"/>
      <c r="Q1070" s="241"/>
      <c r="R1070" s="38"/>
      <c r="S1070" s="38"/>
      <c r="T1070" s="38"/>
      <c r="U1070" s="38"/>
      <c r="V1070" s="38"/>
      <c r="W1070" s="38"/>
      <c r="X1070" s="167"/>
      <c r="Y1070" s="279"/>
      <c r="Z1070" s="14"/>
      <c r="AA1070" s="3"/>
      <c r="AB1070" s="3"/>
      <c r="AC1070" s="3"/>
      <c r="AD1070" s="3"/>
      <c r="AE1070" s="3"/>
    </row>
    <row r="1071" spans="1:31" ht="15.75" customHeight="1" x14ac:dyDescent="0.25">
      <c r="A1071" t="s">
        <v>462</v>
      </c>
      <c r="B1071" s="32" t="s">
        <v>135</v>
      </c>
      <c r="C1071" s="13" t="s">
        <v>402</v>
      </c>
      <c r="D1071" s="14"/>
      <c r="E1071" s="14"/>
      <c r="F1071" s="14"/>
      <c r="G1071" s="61">
        <f t="shared" ref="G1071:G1072" si="466">SUM(D1071:F1071)</f>
        <v>0</v>
      </c>
      <c r="H1071" s="15"/>
      <c r="I1071" s="30"/>
      <c r="J1071" s="14"/>
      <c r="K1071" s="30"/>
      <c r="L1071" s="14">
        <f t="shared" ref="L1071:L1079" si="467">SUM(I1071:K1071)</f>
        <v>0</v>
      </c>
      <c r="M1071" s="62">
        <f t="shared" ref="M1071:M1079" si="468">(L1071-G1071)</f>
        <v>0</v>
      </c>
      <c r="N1071" s="14"/>
      <c r="O1071" s="38"/>
      <c r="P1071" s="15"/>
      <c r="Q1071" s="241"/>
      <c r="R1071" s="38"/>
      <c r="S1071" s="38"/>
      <c r="T1071" s="38"/>
      <c r="U1071" s="38"/>
      <c r="V1071" s="38"/>
      <c r="W1071" s="38"/>
      <c r="X1071" s="167"/>
      <c r="Y1071" s="279"/>
      <c r="Z1071" s="3"/>
      <c r="AA1071" s="3"/>
      <c r="AB1071" s="3"/>
      <c r="AC1071" s="3"/>
      <c r="AD1071" s="3"/>
      <c r="AE1071" s="3"/>
    </row>
    <row r="1072" spans="1:31" ht="15.75" customHeight="1" x14ac:dyDescent="0.25">
      <c r="A1072" t="s">
        <v>462</v>
      </c>
      <c r="B1072" s="32" t="s">
        <v>135</v>
      </c>
      <c r="C1072" s="13" t="s">
        <v>426</v>
      </c>
      <c r="D1072" s="14"/>
      <c r="E1072" s="14"/>
      <c r="F1072" s="14"/>
      <c r="G1072" s="61">
        <f t="shared" si="466"/>
        <v>0</v>
      </c>
      <c r="H1072" s="15"/>
      <c r="I1072" s="30"/>
      <c r="J1072" s="14"/>
      <c r="K1072" s="30"/>
      <c r="L1072" s="14">
        <f t="shared" si="467"/>
        <v>0</v>
      </c>
      <c r="M1072" s="62">
        <f t="shared" si="468"/>
        <v>0</v>
      </c>
      <c r="N1072" s="15"/>
      <c r="O1072" s="38"/>
      <c r="P1072" s="15"/>
      <c r="Q1072" s="241"/>
      <c r="R1072" s="38"/>
      <c r="S1072" s="38"/>
      <c r="T1072" s="38"/>
      <c r="U1072" s="38"/>
      <c r="V1072" s="38"/>
      <c r="W1072" s="38"/>
      <c r="X1072" s="167"/>
    </row>
    <row r="1073" spans="1:24" ht="15.75" customHeight="1" x14ac:dyDescent="0.25">
      <c r="A1073" t="s">
        <v>462</v>
      </c>
      <c r="B1073" s="32" t="s">
        <v>135</v>
      </c>
      <c r="C1073" s="13" t="s">
        <v>1025</v>
      </c>
      <c r="D1073" s="14"/>
      <c r="E1073" s="14"/>
      <c r="F1073" s="14"/>
      <c r="G1073" s="61">
        <f t="shared" ref="G1073" si="469">SUM(D1073:F1073)</f>
        <v>0</v>
      </c>
      <c r="H1073" s="15"/>
      <c r="I1073" s="30"/>
      <c r="J1073" s="14"/>
      <c r="K1073" s="30"/>
      <c r="L1073" s="14">
        <f t="shared" si="467"/>
        <v>0</v>
      </c>
      <c r="M1073" s="62">
        <f t="shared" si="468"/>
        <v>0</v>
      </c>
      <c r="N1073" s="14"/>
      <c r="O1073" s="38"/>
      <c r="P1073" s="15"/>
      <c r="Q1073" s="241"/>
      <c r="R1073" s="38"/>
      <c r="S1073" s="38"/>
      <c r="T1073" s="38"/>
      <c r="U1073" s="38"/>
      <c r="V1073" s="38"/>
      <c r="W1073" s="38"/>
      <c r="X1073" s="167"/>
    </row>
    <row r="1074" spans="1:24" ht="15.75" customHeight="1" x14ac:dyDescent="0.25">
      <c r="A1074" t="s">
        <v>462</v>
      </c>
      <c r="B1074" s="32" t="s">
        <v>135</v>
      </c>
      <c r="C1074" s="13" t="s">
        <v>1026</v>
      </c>
      <c r="D1074" s="14"/>
      <c r="E1074" s="14">
        <v>600</v>
      </c>
      <c r="F1074" s="14"/>
      <c r="G1074" s="61">
        <f t="shared" ref="G1074:G1079" si="470">SUM(D1074:F1074)</f>
        <v>600</v>
      </c>
      <c r="H1074" s="15"/>
      <c r="I1074" s="30"/>
      <c r="J1074" s="14"/>
      <c r="K1074" s="30"/>
      <c r="L1074" s="14">
        <f t="shared" si="467"/>
        <v>0</v>
      </c>
      <c r="M1074" s="62">
        <f t="shared" si="468"/>
        <v>-600</v>
      </c>
      <c r="N1074" s="14"/>
      <c r="O1074" s="38"/>
      <c r="P1074" s="15"/>
      <c r="Q1074" s="241"/>
      <c r="R1074" s="38"/>
      <c r="S1074" s="38"/>
      <c r="T1074" s="38"/>
      <c r="U1074" s="38"/>
      <c r="V1074" s="38"/>
      <c r="W1074" s="38"/>
      <c r="X1074" s="167"/>
    </row>
    <row r="1075" spans="1:24" ht="15.75" customHeight="1" x14ac:dyDescent="0.25">
      <c r="A1075" t="s">
        <v>462</v>
      </c>
      <c r="B1075" s="32" t="s">
        <v>135</v>
      </c>
      <c r="C1075" s="13" t="s">
        <v>1027</v>
      </c>
      <c r="D1075" s="14"/>
      <c r="E1075" s="14"/>
      <c r="F1075" s="14"/>
      <c r="G1075" s="61">
        <f t="shared" si="470"/>
        <v>0</v>
      </c>
      <c r="H1075" s="15"/>
      <c r="I1075" s="30"/>
      <c r="J1075" s="14"/>
      <c r="K1075" s="30"/>
      <c r="L1075" s="14">
        <f t="shared" si="467"/>
        <v>0</v>
      </c>
      <c r="M1075" s="62">
        <f t="shared" si="468"/>
        <v>0</v>
      </c>
      <c r="N1075" s="14"/>
      <c r="O1075" s="38"/>
      <c r="P1075" s="15"/>
      <c r="Q1075" s="241"/>
      <c r="R1075" s="38"/>
      <c r="S1075" s="38"/>
      <c r="T1075" s="38"/>
      <c r="U1075" s="38"/>
      <c r="V1075" s="38"/>
      <c r="W1075" s="38"/>
      <c r="X1075" s="167"/>
    </row>
    <row r="1076" spans="1:24" ht="15.75" customHeight="1" x14ac:dyDescent="0.25">
      <c r="A1076" t="s">
        <v>462</v>
      </c>
      <c r="B1076" s="32" t="s">
        <v>135</v>
      </c>
      <c r="C1076" s="17" t="s">
        <v>1028</v>
      </c>
      <c r="D1076" s="14"/>
      <c r="E1076" s="14"/>
      <c r="F1076" s="14"/>
      <c r="G1076" s="61">
        <f t="shared" si="470"/>
        <v>0</v>
      </c>
      <c r="H1076" s="15"/>
      <c r="I1076" s="14"/>
      <c r="J1076" s="14"/>
      <c r="K1076" s="14"/>
      <c r="L1076" s="14">
        <f t="shared" si="467"/>
        <v>0</v>
      </c>
      <c r="M1076" s="62">
        <f t="shared" si="468"/>
        <v>0</v>
      </c>
      <c r="N1076" s="14"/>
      <c r="O1076" s="38"/>
      <c r="P1076" s="15"/>
      <c r="Q1076" s="241"/>
      <c r="R1076" s="38"/>
      <c r="S1076" s="38"/>
      <c r="T1076" s="38"/>
      <c r="U1076" s="38"/>
      <c r="V1076" s="38"/>
      <c r="W1076" s="38"/>
      <c r="X1076" s="167"/>
    </row>
    <row r="1077" spans="1:24" ht="15.75" customHeight="1" x14ac:dyDescent="0.25">
      <c r="A1077" t="s">
        <v>462</v>
      </c>
      <c r="B1077" s="32" t="s">
        <v>135</v>
      </c>
      <c r="C1077" s="17" t="s">
        <v>1029</v>
      </c>
      <c r="D1077" s="14"/>
      <c r="E1077" s="14"/>
      <c r="F1077" s="14"/>
      <c r="G1077" s="61">
        <f t="shared" si="470"/>
        <v>0</v>
      </c>
      <c r="H1077" s="15"/>
      <c r="I1077" s="14"/>
      <c r="J1077" s="14"/>
      <c r="K1077" s="14"/>
      <c r="L1077" s="14">
        <f t="shared" si="467"/>
        <v>0</v>
      </c>
      <c r="M1077" s="62">
        <f t="shared" si="468"/>
        <v>0</v>
      </c>
      <c r="N1077" s="14"/>
      <c r="O1077" s="38"/>
      <c r="P1077" s="15"/>
      <c r="Q1077" s="241"/>
      <c r="R1077" s="38"/>
      <c r="S1077" s="38">
        <v>1690</v>
      </c>
      <c r="T1077" s="38"/>
      <c r="U1077" s="38"/>
      <c r="V1077" s="38"/>
      <c r="W1077" s="38"/>
      <c r="X1077" s="167"/>
    </row>
    <row r="1078" spans="1:24" ht="15.75" customHeight="1" x14ac:dyDescent="0.25">
      <c r="A1078" t="s">
        <v>462</v>
      </c>
      <c r="B1078" s="32" t="s">
        <v>135</v>
      </c>
      <c r="C1078" s="17" t="s">
        <v>1030</v>
      </c>
      <c r="D1078" s="14"/>
      <c r="E1078" s="14"/>
      <c r="F1078" s="14"/>
      <c r="G1078" s="61">
        <f t="shared" si="470"/>
        <v>0</v>
      </c>
      <c r="H1078" s="15"/>
      <c r="I1078" s="14"/>
      <c r="J1078" s="14"/>
      <c r="K1078" s="14"/>
      <c r="L1078" s="14">
        <f t="shared" si="467"/>
        <v>0</v>
      </c>
      <c r="M1078" s="62">
        <f t="shared" si="468"/>
        <v>0</v>
      </c>
      <c r="N1078" s="14"/>
      <c r="O1078" s="38"/>
      <c r="P1078" s="15"/>
      <c r="Q1078" s="241"/>
      <c r="R1078" s="38"/>
      <c r="S1078" s="38">
        <v>8012</v>
      </c>
      <c r="T1078" s="38"/>
      <c r="U1078" s="38"/>
      <c r="V1078" s="38"/>
      <c r="W1078" s="38"/>
      <c r="X1078" s="167"/>
    </row>
    <row r="1079" spans="1:24" ht="15.75" customHeight="1" x14ac:dyDescent="0.25">
      <c r="A1079" t="s">
        <v>462</v>
      </c>
      <c r="B1079" s="32" t="s">
        <v>135</v>
      </c>
      <c r="C1079" s="17" t="s">
        <v>547</v>
      </c>
      <c r="D1079" s="14"/>
      <c r="E1079" s="14"/>
      <c r="F1079" s="14"/>
      <c r="G1079" s="61">
        <f t="shared" si="470"/>
        <v>0</v>
      </c>
      <c r="H1079" s="15"/>
      <c r="I1079" s="14"/>
      <c r="J1079" s="14"/>
      <c r="K1079" s="14"/>
      <c r="L1079" s="14">
        <f t="shared" si="467"/>
        <v>0</v>
      </c>
      <c r="M1079" s="62">
        <f t="shared" si="468"/>
        <v>0</v>
      </c>
      <c r="N1079" s="14"/>
      <c r="O1079" s="38"/>
      <c r="P1079" s="15"/>
      <c r="Q1079" s="241"/>
      <c r="R1079" s="38"/>
      <c r="S1079" s="38"/>
      <c r="T1079" s="38"/>
      <c r="U1079" s="38"/>
      <c r="V1079" s="38"/>
      <c r="W1079" s="38"/>
      <c r="X1079" s="167"/>
    </row>
    <row r="1080" spans="1:24" ht="15.75" customHeight="1" x14ac:dyDescent="0.25">
      <c r="A1080" t="s">
        <v>462</v>
      </c>
      <c r="B1080" s="32" t="s">
        <v>135</v>
      </c>
      <c r="C1080" s="17" t="s">
        <v>1031</v>
      </c>
      <c r="D1080" s="14"/>
      <c r="E1080" s="14"/>
      <c r="F1080" s="14"/>
      <c r="G1080" s="61">
        <f t="shared" ref="G1080:G1083" si="471">SUM(D1080:F1080)</f>
        <v>0</v>
      </c>
      <c r="H1080" s="15"/>
      <c r="I1080" s="14"/>
      <c r="J1080" s="14"/>
      <c r="K1080" s="14"/>
      <c r="L1080" s="14">
        <f t="shared" ref="L1080:L1083" si="472">SUM(I1080:K1080)</f>
        <v>0</v>
      </c>
      <c r="M1080" s="62">
        <f t="shared" ref="M1080:M1083" si="473">L1080-G1080</f>
        <v>0</v>
      </c>
      <c r="N1080" s="14"/>
      <c r="O1080" s="38"/>
      <c r="P1080" s="15"/>
      <c r="Q1080" s="241"/>
      <c r="R1080" s="38"/>
      <c r="S1080" s="38"/>
      <c r="T1080" s="38">
        <f>8400/2</f>
        <v>4200</v>
      </c>
      <c r="U1080" s="38"/>
      <c r="V1080" s="38"/>
      <c r="W1080" s="38"/>
      <c r="X1080" s="167"/>
    </row>
    <row r="1081" spans="1:24" ht="15.75" customHeight="1" x14ac:dyDescent="0.25">
      <c r="A1081" t="s">
        <v>462</v>
      </c>
      <c r="B1081" s="32" t="s">
        <v>135</v>
      </c>
      <c r="C1081" s="17" t="s">
        <v>1032</v>
      </c>
      <c r="D1081" s="14"/>
      <c r="E1081" s="14"/>
      <c r="F1081" s="14"/>
      <c r="G1081" s="61">
        <f t="shared" si="471"/>
        <v>0</v>
      </c>
      <c r="H1081" s="15"/>
      <c r="I1081" s="14"/>
      <c r="J1081" s="14"/>
      <c r="K1081" s="14"/>
      <c r="L1081" s="14">
        <f t="shared" si="472"/>
        <v>0</v>
      </c>
      <c r="M1081" s="62">
        <f t="shared" si="473"/>
        <v>0</v>
      </c>
      <c r="N1081" s="14"/>
      <c r="O1081" s="38"/>
      <c r="P1081" s="15"/>
      <c r="Q1081" s="241"/>
      <c r="R1081" s="38"/>
      <c r="S1081" s="38"/>
      <c r="T1081" s="38">
        <v>3620</v>
      </c>
      <c r="U1081" s="38"/>
      <c r="V1081" s="38"/>
      <c r="W1081" s="38"/>
      <c r="X1081" s="167"/>
    </row>
    <row r="1082" spans="1:24" ht="15.75" customHeight="1" x14ac:dyDescent="0.25">
      <c r="A1082" t="s">
        <v>462</v>
      </c>
      <c r="B1082" s="32" t="s">
        <v>135</v>
      </c>
      <c r="C1082" s="17" t="s">
        <v>1033</v>
      </c>
      <c r="D1082" s="14"/>
      <c r="E1082" s="14"/>
      <c r="F1082" s="14"/>
      <c r="G1082" s="61">
        <f t="shared" si="471"/>
        <v>0</v>
      </c>
      <c r="H1082" s="15"/>
      <c r="I1082" s="14"/>
      <c r="J1082" s="14"/>
      <c r="K1082" s="14"/>
      <c r="L1082" s="14">
        <f t="shared" si="472"/>
        <v>0</v>
      </c>
      <c r="M1082" s="62">
        <f t="shared" si="473"/>
        <v>0</v>
      </c>
      <c r="N1082" s="14"/>
      <c r="O1082" s="38"/>
      <c r="P1082" s="15"/>
      <c r="Q1082" s="241"/>
      <c r="R1082" s="38"/>
      <c r="S1082" s="38"/>
      <c r="T1082" s="38">
        <v>14890</v>
      </c>
      <c r="U1082" s="38"/>
      <c r="V1082" s="38"/>
      <c r="W1082" s="38"/>
      <c r="X1082" s="167"/>
    </row>
    <row r="1083" spans="1:24" ht="15.75" customHeight="1" x14ac:dyDescent="0.25">
      <c r="A1083" t="s">
        <v>462</v>
      </c>
      <c r="B1083" s="32" t="s">
        <v>135</v>
      </c>
      <c r="C1083" s="17" t="s">
        <v>1034</v>
      </c>
      <c r="D1083" s="14"/>
      <c r="E1083" s="14"/>
      <c r="F1083" s="14"/>
      <c r="G1083" s="61">
        <f t="shared" si="471"/>
        <v>0</v>
      </c>
      <c r="H1083" s="15"/>
      <c r="I1083" s="14"/>
      <c r="J1083" s="14"/>
      <c r="K1083" s="14"/>
      <c r="L1083" s="14">
        <f t="shared" si="472"/>
        <v>0</v>
      </c>
      <c r="M1083" s="62">
        <f t="shared" si="473"/>
        <v>0</v>
      </c>
      <c r="N1083" s="14"/>
      <c r="O1083" s="38"/>
      <c r="P1083" s="15"/>
      <c r="Q1083" s="241"/>
      <c r="R1083" s="38"/>
      <c r="S1083" s="38"/>
      <c r="T1083" s="38">
        <v>3150</v>
      </c>
      <c r="U1083" s="38"/>
      <c r="V1083" s="38"/>
      <c r="W1083" s="38"/>
      <c r="X1083" s="167"/>
    </row>
    <row r="1084" spans="1:24" ht="15.75" customHeight="1" x14ac:dyDescent="0.25">
      <c r="A1084" s="3"/>
      <c r="B1084" s="3"/>
      <c r="C1084" s="13" t="s">
        <v>1035</v>
      </c>
      <c r="D1084" s="14"/>
      <c r="E1084" s="14"/>
      <c r="F1084" s="14"/>
      <c r="G1084" s="61">
        <f t="shared" ref="G1084:G1092" si="474">SUM(D1084:F1084)</f>
        <v>0</v>
      </c>
      <c r="H1084" s="15"/>
      <c r="I1084" s="14"/>
      <c r="J1084" s="14"/>
      <c r="K1084" s="14"/>
      <c r="L1084" s="14">
        <f t="shared" ref="L1084:L1092" si="475">SUM(I1084:K1084)</f>
        <v>0</v>
      </c>
      <c r="M1084" s="62">
        <f t="shared" ref="M1084:M1092" si="476">(L1084-G1084)</f>
        <v>0</v>
      </c>
      <c r="N1084" s="14"/>
      <c r="O1084" s="38"/>
      <c r="P1084" s="15">
        <v>17000</v>
      </c>
      <c r="Q1084" s="241"/>
      <c r="R1084" s="38"/>
      <c r="S1084" s="38"/>
      <c r="T1084" s="38"/>
      <c r="U1084" s="38"/>
      <c r="V1084" s="38"/>
      <c r="W1084" s="38"/>
      <c r="X1084" s="167"/>
    </row>
    <row r="1085" spans="1:24" ht="15.75" customHeight="1" x14ac:dyDescent="0.25">
      <c r="A1085" s="3"/>
      <c r="B1085" s="3"/>
      <c r="C1085" s="13" t="s">
        <v>1036</v>
      </c>
      <c r="D1085" s="14"/>
      <c r="E1085" s="14"/>
      <c r="F1085" s="14"/>
      <c r="G1085" s="61">
        <f t="shared" si="474"/>
        <v>0</v>
      </c>
      <c r="H1085" s="15"/>
      <c r="I1085" s="14"/>
      <c r="J1085" s="14"/>
      <c r="K1085" s="14"/>
      <c r="L1085" s="14">
        <f t="shared" si="475"/>
        <v>0</v>
      </c>
      <c r="M1085" s="62">
        <f t="shared" si="476"/>
        <v>0</v>
      </c>
      <c r="N1085" s="14"/>
      <c r="O1085" s="38"/>
      <c r="P1085" s="15">
        <v>600</v>
      </c>
      <c r="Q1085" s="241"/>
      <c r="R1085" s="38"/>
      <c r="S1085" s="38"/>
      <c r="T1085" s="38"/>
      <c r="U1085" s="38"/>
      <c r="V1085" s="38"/>
      <c r="W1085" s="38"/>
      <c r="X1085" s="167"/>
    </row>
    <row r="1086" spans="1:24" ht="15.75" customHeight="1" x14ac:dyDescent="0.25">
      <c r="A1086" s="3"/>
      <c r="B1086" s="3"/>
      <c r="C1086" s="13" t="s">
        <v>469</v>
      </c>
      <c r="D1086" s="14"/>
      <c r="E1086" s="14"/>
      <c r="F1086" s="14"/>
      <c r="G1086" s="61">
        <f t="shared" si="474"/>
        <v>0</v>
      </c>
      <c r="H1086" s="15"/>
      <c r="I1086" s="14"/>
      <c r="J1086" s="14"/>
      <c r="K1086" s="14"/>
      <c r="L1086" s="14">
        <f t="shared" si="475"/>
        <v>0</v>
      </c>
      <c r="M1086" s="62">
        <f t="shared" si="476"/>
        <v>0</v>
      </c>
      <c r="N1086" s="14"/>
      <c r="O1086" s="38"/>
      <c r="P1086" s="15">
        <v>2500</v>
      </c>
      <c r="Q1086" s="241"/>
      <c r="R1086" s="38"/>
      <c r="S1086" s="38"/>
      <c r="T1086" s="38"/>
      <c r="U1086" s="38"/>
      <c r="V1086" s="38"/>
      <c r="W1086" s="38"/>
      <c r="X1086" s="167"/>
    </row>
    <row r="1087" spans="1:24" ht="15.75" customHeight="1" x14ac:dyDescent="0.25">
      <c r="A1087" s="3"/>
      <c r="B1087" s="3"/>
      <c r="C1087" s="13" t="s">
        <v>470</v>
      </c>
      <c r="D1087" s="14"/>
      <c r="E1087" s="14"/>
      <c r="F1087" s="14"/>
      <c r="G1087" s="61">
        <f t="shared" si="474"/>
        <v>0</v>
      </c>
      <c r="H1087" s="15"/>
      <c r="I1087" s="14"/>
      <c r="J1087" s="14"/>
      <c r="K1087" s="14"/>
      <c r="L1087" s="14">
        <f t="shared" si="475"/>
        <v>0</v>
      </c>
      <c r="M1087" s="62">
        <f t="shared" si="476"/>
        <v>0</v>
      </c>
      <c r="N1087" s="14"/>
      <c r="O1087" s="38"/>
      <c r="P1087" s="15">
        <v>450</v>
      </c>
      <c r="Q1087" s="241"/>
      <c r="R1087" s="38"/>
      <c r="S1087" s="38"/>
      <c r="T1087" s="38"/>
      <c r="U1087" s="38"/>
      <c r="V1087" s="38"/>
      <c r="W1087" s="38"/>
      <c r="X1087" s="167"/>
    </row>
    <row r="1088" spans="1:24" ht="15.75" customHeight="1" x14ac:dyDescent="0.25">
      <c r="A1088" s="3"/>
      <c r="B1088" s="3"/>
      <c r="C1088" s="13" t="s">
        <v>1037</v>
      </c>
      <c r="D1088" s="14"/>
      <c r="E1088" s="14"/>
      <c r="F1088" s="14"/>
      <c r="G1088" s="61">
        <f t="shared" si="474"/>
        <v>0</v>
      </c>
      <c r="H1088" s="15"/>
      <c r="I1088" s="14"/>
      <c r="J1088" s="14"/>
      <c r="K1088" s="14"/>
      <c r="L1088" s="14">
        <f t="shared" si="475"/>
        <v>0</v>
      </c>
      <c r="M1088" s="62">
        <f t="shared" si="476"/>
        <v>0</v>
      </c>
      <c r="N1088" s="14"/>
      <c r="O1088" s="38"/>
      <c r="P1088" s="15">
        <v>1040</v>
      </c>
      <c r="Q1088" s="241"/>
      <c r="R1088" s="38"/>
      <c r="S1088" s="38"/>
      <c r="T1088" s="38"/>
      <c r="U1088" s="38"/>
      <c r="V1088" s="38"/>
      <c r="W1088" s="38"/>
      <c r="X1088" s="167"/>
    </row>
    <row r="1089" spans="1:31" ht="15.75" customHeight="1" x14ac:dyDescent="0.25">
      <c r="A1089" s="3"/>
      <c r="B1089" s="3"/>
      <c r="C1089" s="13" t="s">
        <v>1038</v>
      </c>
      <c r="D1089" s="14"/>
      <c r="E1089" s="14"/>
      <c r="F1089" s="14"/>
      <c r="G1089" s="61">
        <f t="shared" si="474"/>
        <v>0</v>
      </c>
      <c r="H1089" s="15"/>
      <c r="I1089" s="14"/>
      <c r="J1089" s="14"/>
      <c r="K1089" s="14"/>
      <c r="L1089" s="14">
        <f t="shared" si="475"/>
        <v>0</v>
      </c>
      <c r="M1089" s="62">
        <f t="shared" si="476"/>
        <v>0</v>
      </c>
      <c r="N1089" s="14"/>
      <c r="O1089" s="38"/>
      <c r="P1089" s="15">
        <v>900</v>
      </c>
      <c r="Q1089" s="241"/>
      <c r="R1089" s="38"/>
      <c r="S1089" s="38"/>
      <c r="T1089" s="38"/>
      <c r="U1089" s="38"/>
      <c r="V1089" s="38"/>
      <c r="W1089" s="38"/>
      <c r="X1089" s="167"/>
    </row>
    <row r="1090" spans="1:31" ht="15.75" customHeight="1" x14ac:dyDescent="0.25">
      <c r="A1090" s="3"/>
      <c r="B1090" s="3"/>
      <c r="C1090" s="13" t="s">
        <v>471</v>
      </c>
      <c r="D1090" s="14"/>
      <c r="E1090" s="14"/>
      <c r="F1090" s="14"/>
      <c r="G1090" s="61">
        <f t="shared" si="474"/>
        <v>0</v>
      </c>
      <c r="H1090" s="15"/>
      <c r="I1090" s="14"/>
      <c r="J1090" s="14"/>
      <c r="K1090" s="14"/>
      <c r="L1090" s="14">
        <f t="shared" si="475"/>
        <v>0</v>
      </c>
      <c r="M1090" s="62">
        <f t="shared" si="476"/>
        <v>0</v>
      </c>
      <c r="N1090" s="14"/>
      <c r="O1090" s="38"/>
      <c r="P1090" s="15">
        <v>850</v>
      </c>
      <c r="Q1090" s="241"/>
      <c r="R1090" s="38"/>
      <c r="S1090" s="38"/>
      <c r="T1090" s="38"/>
      <c r="U1090" s="38"/>
      <c r="V1090" s="38"/>
      <c r="W1090" s="38"/>
      <c r="X1090" s="167"/>
    </row>
    <row r="1091" spans="1:31" ht="15.75" customHeight="1" x14ac:dyDescent="0.25">
      <c r="A1091" s="3"/>
      <c r="B1091" s="3"/>
      <c r="C1091" s="13" t="s">
        <v>1039</v>
      </c>
      <c r="D1091" s="14"/>
      <c r="E1091" s="14"/>
      <c r="F1091" s="14"/>
      <c r="G1091" s="61">
        <f t="shared" si="474"/>
        <v>0</v>
      </c>
      <c r="H1091" s="15"/>
      <c r="I1091" s="14"/>
      <c r="J1091" s="14"/>
      <c r="K1091" s="14"/>
      <c r="L1091" s="14">
        <f t="shared" si="475"/>
        <v>0</v>
      </c>
      <c r="M1091" s="62">
        <f t="shared" si="476"/>
        <v>0</v>
      </c>
      <c r="N1091" s="14"/>
      <c r="O1091" s="38"/>
      <c r="P1091" s="15">
        <v>8400</v>
      </c>
      <c r="Q1091" s="241"/>
      <c r="R1091" s="38"/>
      <c r="S1091" s="38"/>
      <c r="T1091" s="38"/>
      <c r="U1091" s="38"/>
      <c r="V1091" s="38"/>
      <c r="W1091" s="38"/>
      <c r="X1091" s="167"/>
    </row>
    <row r="1092" spans="1:31" ht="15.75" customHeight="1" x14ac:dyDescent="0.25">
      <c r="A1092" s="3"/>
      <c r="B1092" s="3"/>
      <c r="C1092" s="13" t="s">
        <v>472</v>
      </c>
      <c r="D1092" s="14"/>
      <c r="E1092" s="14"/>
      <c r="F1092" s="14"/>
      <c r="G1092" s="61">
        <f t="shared" si="474"/>
        <v>0</v>
      </c>
      <c r="H1092" s="15"/>
      <c r="I1092" s="14"/>
      <c r="J1092" s="14"/>
      <c r="K1092" s="14"/>
      <c r="L1092" s="14">
        <f t="shared" si="475"/>
        <v>0</v>
      </c>
      <c r="M1092" s="62">
        <f t="shared" si="476"/>
        <v>0</v>
      </c>
      <c r="N1092" s="14"/>
      <c r="O1092" s="38"/>
      <c r="P1092" s="15">
        <v>5000</v>
      </c>
      <c r="Q1092" s="241"/>
      <c r="R1092" s="38"/>
      <c r="S1092" s="38"/>
      <c r="T1092" s="38"/>
      <c r="U1092" s="38"/>
      <c r="V1092" s="38"/>
      <c r="W1092" s="38"/>
      <c r="X1092" s="167"/>
    </row>
    <row r="1093" spans="1:31" ht="15.75" customHeight="1" x14ac:dyDescent="0.25">
      <c r="C1093" s="40" t="s">
        <v>188</v>
      </c>
      <c r="D1093" s="89">
        <f>SUM(D1063:D1083)</f>
        <v>127097</v>
      </c>
      <c r="E1093" s="89">
        <f>SUM(E1063:E1083)</f>
        <v>49353</v>
      </c>
      <c r="F1093" s="89">
        <f>SUM(F1063:F1083)</f>
        <v>4270</v>
      </c>
      <c r="G1093" s="27">
        <f t="shared" ref="G1093:G1096" si="477">SUM(D1093:F1093)</f>
        <v>180720</v>
      </c>
      <c r="H1093" s="89">
        <f>SUM(H1063:H1092)</f>
        <v>11412.7</v>
      </c>
      <c r="I1093" s="89">
        <f>SUM(I1063:I1092)</f>
        <v>144263</v>
      </c>
      <c r="J1093" s="89">
        <f>SUM(J1063:J1092)</f>
        <v>76297</v>
      </c>
      <c r="K1093" s="89">
        <f>SUM(K1063:K1092)</f>
        <v>915</v>
      </c>
      <c r="L1093" s="89">
        <f t="shared" ref="L1093:L1103" si="478">SUM(I1093:K1093)</f>
        <v>221475</v>
      </c>
      <c r="M1093" s="62">
        <f t="shared" ref="M1093:M1124" si="479">(L1093-G1093)</f>
        <v>40755</v>
      </c>
      <c r="N1093" s="89">
        <f t="shared" ref="N1093:X1093" si="480">SUM(N1063:N1092)</f>
        <v>421056</v>
      </c>
      <c r="O1093" s="89">
        <f t="shared" si="480"/>
        <v>8190</v>
      </c>
      <c r="P1093" s="89">
        <f t="shared" si="480"/>
        <v>36740</v>
      </c>
      <c r="Q1093" s="246">
        <f t="shared" si="480"/>
        <v>0</v>
      </c>
      <c r="R1093" s="89">
        <f t="shared" si="480"/>
        <v>0</v>
      </c>
      <c r="S1093" s="89">
        <f t="shared" si="480"/>
        <v>9702</v>
      </c>
      <c r="T1093" s="89">
        <f t="shared" si="480"/>
        <v>25860</v>
      </c>
      <c r="U1093" s="89">
        <f t="shared" si="480"/>
        <v>0</v>
      </c>
      <c r="V1093" s="89">
        <f t="shared" si="480"/>
        <v>0</v>
      </c>
      <c r="W1093" s="89">
        <f t="shared" si="480"/>
        <v>0</v>
      </c>
      <c r="X1093" s="89">
        <f t="shared" si="480"/>
        <v>0</v>
      </c>
    </row>
    <row r="1094" spans="1:31" ht="15.75" customHeight="1" x14ac:dyDescent="0.25">
      <c r="A1094" t="s">
        <v>462</v>
      </c>
      <c r="B1094" s="32" t="s">
        <v>138</v>
      </c>
      <c r="C1094" s="32" t="s">
        <v>138</v>
      </c>
      <c r="D1094" s="74">
        <v>43523</v>
      </c>
      <c r="E1094" s="74">
        <v>42085</v>
      </c>
      <c r="F1094" s="74">
        <v>300</v>
      </c>
      <c r="G1094" s="61">
        <f t="shared" si="477"/>
        <v>85908</v>
      </c>
      <c r="H1094" s="15">
        <v>6334</v>
      </c>
      <c r="I1094" s="74">
        <v>47593</v>
      </c>
      <c r="J1094" s="74">
        <v>54011</v>
      </c>
      <c r="K1094" s="74">
        <v>350</v>
      </c>
      <c r="L1094" s="14">
        <f t="shared" si="478"/>
        <v>101954</v>
      </c>
      <c r="M1094" s="60">
        <f t="shared" si="479"/>
        <v>16046</v>
      </c>
      <c r="N1094" s="74"/>
      <c r="O1094" s="102"/>
      <c r="P1094" s="90"/>
      <c r="Q1094" s="247"/>
      <c r="R1094" s="102"/>
      <c r="S1094" s="102"/>
      <c r="T1094" s="102"/>
      <c r="U1094" s="102"/>
      <c r="V1094" s="102"/>
      <c r="W1094" s="102"/>
      <c r="X1094" s="179"/>
    </row>
    <row r="1095" spans="1:31" ht="15.75" customHeight="1" x14ac:dyDescent="0.25">
      <c r="A1095" t="s">
        <v>462</v>
      </c>
      <c r="B1095" s="32" t="s">
        <v>138</v>
      </c>
      <c r="C1095" s="13" t="s">
        <v>400</v>
      </c>
      <c r="D1095" s="14">
        <v>69505</v>
      </c>
      <c r="E1095" s="14"/>
      <c r="F1095" s="14"/>
      <c r="G1095" s="61">
        <f t="shared" si="477"/>
        <v>69505</v>
      </c>
      <c r="H1095" s="15"/>
      <c r="I1095" s="14">
        <v>74618</v>
      </c>
      <c r="J1095" s="30"/>
      <c r="K1095" s="30"/>
      <c r="L1095" s="14">
        <f t="shared" si="478"/>
        <v>74618</v>
      </c>
      <c r="M1095" s="62">
        <f t="shared" si="479"/>
        <v>5113</v>
      </c>
      <c r="N1095" s="14"/>
      <c r="O1095" s="38"/>
      <c r="P1095" s="15"/>
      <c r="Q1095" s="241"/>
      <c r="R1095" s="38"/>
      <c r="S1095" s="38"/>
      <c r="T1095" s="38"/>
      <c r="U1095" s="38"/>
      <c r="V1095" s="38"/>
      <c r="W1095" s="38"/>
      <c r="X1095" s="167"/>
      <c r="Y1095" s="279"/>
      <c r="Z1095" s="3"/>
      <c r="AA1095" s="3"/>
      <c r="AB1095" s="3"/>
      <c r="AC1095" s="3"/>
      <c r="AD1095" s="3"/>
      <c r="AE1095" s="3"/>
    </row>
    <row r="1096" spans="1:31" ht="15.75" customHeight="1" x14ac:dyDescent="0.25">
      <c r="A1096" t="s">
        <v>462</v>
      </c>
      <c r="B1096" s="32" t="s">
        <v>138</v>
      </c>
      <c r="C1096" s="13" t="s">
        <v>1022</v>
      </c>
      <c r="D1096" s="14"/>
      <c r="E1096" s="14"/>
      <c r="F1096" s="14"/>
      <c r="G1096" s="61">
        <f t="shared" si="477"/>
        <v>0</v>
      </c>
      <c r="H1096" s="15"/>
      <c r="I1096" s="30"/>
      <c r="J1096" s="30"/>
      <c r="K1096" s="30"/>
      <c r="L1096" s="14">
        <f t="shared" si="478"/>
        <v>0</v>
      </c>
      <c r="M1096" s="62">
        <f t="shared" si="479"/>
        <v>0</v>
      </c>
      <c r="N1096" s="14">
        <v>81809</v>
      </c>
      <c r="O1096" s="38"/>
      <c r="P1096" s="15"/>
      <c r="Q1096" s="241"/>
      <c r="R1096" s="38"/>
      <c r="S1096" s="38"/>
      <c r="T1096" s="38"/>
      <c r="U1096" s="38"/>
      <c r="V1096" s="38"/>
      <c r="W1096" s="38"/>
      <c r="X1096" s="167"/>
      <c r="Y1096" s="279"/>
      <c r="Z1096" s="3"/>
      <c r="AA1096" s="3"/>
      <c r="AB1096" s="3"/>
      <c r="AC1096" s="3"/>
      <c r="AD1096" s="3"/>
      <c r="AE1096" s="3"/>
    </row>
    <row r="1097" spans="1:31" ht="15.75" customHeight="1" x14ac:dyDescent="0.25">
      <c r="A1097" t="s">
        <v>462</v>
      </c>
      <c r="B1097" s="32" t="s">
        <v>138</v>
      </c>
      <c r="C1097" s="13" t="s">
        <v>1040</v>
      </c>
      <c r="D1097" s="14"/>
      <c r="E1097" s="14"/>
      <c r="F1097" s="14"/>
      <c r="G1097" s="61">
        <f t="shared" ref="G1097" si="481">SUM(D1097:F1097)</f>
        <v>0</v>
      </c>
      <c r="H1097" s="15"/>
      <c r="I1097" s="30"/>
      <c r="J1097" s="30"/>
      <c r="K1097" s="14"/>
      <c r="L1097" s="14">
        <f t="shared" si="478"/>
        <v>0</v>
      </c>
      <c r="M1097" s="62">
        <f t="shared" si="479"/>
        <v>0</v>
      </c>
      <c r="N1097" s="14"/>
      <c r="O1097" s="38">
        <v>3540</v>
      </c>
      <c r="P1097" s="15"/>
      <c r="Q1097" s="241"/>
      <c r="R1097" s="38"/>
      <c r="S1097" s="38"/>
      <c r="T1097" s="38"/>
      <c r="U1097" s="38"/>
      <c r="V1097" s="38"/>
      <c r="W1097" s="38"/>
      <c r="X1097" s="167"/>
      <c r="Y1097" s="279"/>
      <c r="Z1097" s="3"/>
      <c r="AA1097" s="3"/>
      <c r="AB1097" s="3"/>
      <c r="AC1097" s="3"/>
      <c r="AD1097" s="3"/>
      <c r="AE1097" s="3"/>
    </row>
    <row r="1098" spans="1:31" ht="15.75" customHeight="1" x14ac:dyDescent="0.25">
      <c r="A1098" t="s">
        <v>462</v>
      </c>
      <c r="B1098" s="32" t="s">
        <v>138</v>
      </c>
      <c r="C1098" s="13" t="s">
        <v>1041</v>
      </c>
      <c r="D1098" s="14"/>
      <c r="E1098" s="14"/>
      <c r="F1098" s="14"/>
      <c r="G1098" s="61">
        <f t="shared" ref="G1098:G1103" si="482">SUM(D1098:F1098)</f>
        <v>0</v>
      </c>
      <c r="H1098" s="15"/>
      <c r="I1098" s="30"/>
      <c r="J1098" s="30"/>
      <c r="K1098" s="30"/>
      <c r="L1098" s="14">
        <f t="shared" si="478"/>
        <v>0</v>
      </c>
      <c r="M1098" s="62">
        <f t="shared" si="479"/>
        <v>0</v>
      </c>
      <c r="N1098" s="14"/>
      <c r="O1098" s="38"/>
      <c r="P1098" s="15"/>
      <c r="Q1098" s="241"/>
      <c r="R1098" s="38"/>
      <c r="S1098" s="38"/>
      <c r="T1098" s="38"/>
      <c r="U1098" s="38">
        <v>84585</v>
      </c>
      <c r="V1098" s="38"/>
      <c r="W1098" s="38">
        <v>84585</v>
      </c>
      <c r="X1098" s="167"/>
      <c r="Z1098" s="46"/>
    </row>
    <row r="1099" spans="1:31" ht="15.75" customHeight="1" x14ac:dyDescent="0.25">
      <c r="C1099" s="40" t="s">
        <v>188</v>
      </c>
      <c r="D1099" s="89">
        <f>SUM(D1094:D1098)</f>
        <v>113028</v>
      </c>
      <c r="E1099" s="89">
        <f>SUM(E1094:E1098)</f>
        <v>42085</v>
      </c>
      <c r="F1099" s="89">
        <f>SUM(F1094:F1098)</f>
        <v>300</v>
      </c>
      <c r="G1099" s="61">
        <f t="shared" si="482"/>
        <v>155413</v>
      </c>
      <c r="H1099" s="89">
        <f>SUM(H1094:H1098)</f>
        <v>6334</v>
      </c>
      <c r="I1099" s="89">
        <f>SUM(I1094:I1098)</f>
        <v>122211</v>
      </c>
      <c r="J1099" s="89">
        <f>SUM(J1094:J1098)</f>
        <v>54011</v>
      </c>
      <c r="K1099" s="89">
        <f>SUM(K1094:K1098)</f>
        <v>350</v>
      </c>
      <c r="L1099" s="89">
        <f t="shared" si="478"/>
        <v>176572</v>
      </c>
      <c r="M1099" s="60">
        <f t="shared" si="479"/>
        <v>21159</v>
      </c>
      <c r="N1099" s="89">
        <f t="shared" ref="N1099:X1099" si="483">SUM(N1094:N1098)</f>
        <v>81809</v>
      </c>
      <c r="O1099" s="107">
        <f t="shared" si="483"/>
        <v>3540</v>
      </c>
      <c r="P1099" s="210">
        <f t="shared" si="483"/>
        <v>0</v>
      </c>
      <c r="Q1099" s="246">
        <f>SUM(Q1094:Q1098)</f>
        <v>0</v>
      </c>
      <c r="R1099" s="107">
        <f t="shared" si="483"/>
        <v>0</v>
      </c>
      <c r="S1099" s="107">
        <f t="shared" si="483"/>
        <v>0</v>
      </c>
      <c r="T1099" s="107">
        <f t="shared" si="483"/>
        <v>0</v>
      </c>
      <c r="U1099" s="107">
        <f t="shared" si="483"/>
        <v>84585</v>
      </c>
      <c r="V1099" s="107">
        <f t="shared" si="483"/>
        <v>0</v>
      </c>
      <c r="W1099" s="107">
        <f t="shared" si="483"/>
        <v>84585</v>
      </c>
      <c r="X1099" s="107">
        <f t="shared" si="483"/>
        <v>0</v>
      </c>
    </row>
    <row r="1100" spans="1:31" ht="15.75" customHeight="1" x14ac:dyDescent="0.25">
      <c r="A1100" t="s">
        <v>462</v>
      </c>
      <c r="B1100" s="32" t="s">
        <v>137</v>
      </c>
      <c r="C1100" s="32" t="s">
        <v>137</v>
      </c>
      <c r="D1100" s="74">
        <v>43569</v>
      </c>
      <c r="E1100" s="74">
        <v>30584</v>
      </c>
      <c r="F1100" s="74">
        <v>1000</v>
      </c>
      <c r="G1100" s="59">
        <f t="shared" si="482"/>
        <v>75153</v>
      </c>
      <c r="H1100" s="90">
        <v>2875.85</v>
      </c>
      <c r="I1100" s="112">
        <v>48373</v>
      </c>
      <c r="J1100" s="112">
        <v>53595</v>
      </c>
      <c r="K1100" s="112">
        <v>30</v>
      </c>
      <c r="L1100" s="14">
        <f t="shared" si="478"/>
        <v>101998</v>
      </c>
      <c r="M1100" s="60">
        <f t="shared" si="479"/>
        <v>26845</v>
      </c>
      <c r="N1100" s="112"/>
      <c r="O1100" s="102"/>
      <c r="P1100" s="90"/>
      <c r="Q1100" s="247"/>
      <c r="R1100" s="102"/>
      <c r="S1100" s="102"/>
      <c r="T1100" s="102"/>
      <c r="U1100" s="102"/>
      <c r="V1100" s="102"/>
      <c r="W1100" s="102"/>
      <c r="X1100" s="179"/>
    </row>
    <row r="1101" spans="1:31" ht="15.75" customHeight="1" x14ac:dyDescent="0.25">
      <c r="A1101" t="s">
        <v>462</v>
      </c>
      <c r="B1101" s="32" t="s">
        <v>137</v>
      </c>
      <c r="C1101" s="13" t="s">
        <v>400</v>
      </c>
      <c r="D1101" s="14">
        <v>34068</v>
      </c>
      <c r="E1101" s="14"/>
      <c r="F1101" s="14"/>
      <c r="G1101" s="61">
        <f t="shared" si="482"/>
        <v>34068</v>
      </c>
      <c r="H1101" s="15"/>
      <c r="I1101" s="45">
        <v>36867</v>
      </c>
      <c r="J1101" s="45"/>
      <c r="K1101" s="45"/>
      <c r="L1101" s="14">
        <f t="shared" si="478"/>
        <v>36867</v>
      </c>
      <c r="M1101" s="62">
        <f t="shared" si="479"/>
        <v>2799</v>
      </c>
      <c r="N1101" s="45"/>
      <c r="O1101" s="38"/>
      <c r="P1101" s="15"/>
      <c r="Q1101" s="241"/>
      <c r="R1101" s="38"/>
      <c r="S1101" s="38"/>
      <c r="T1101" s="38"/>
      <c r="U1101" s="38"/>
      <c r="V1101" s="38"/>
      <c r="W1101" s="38"/>
      <c r="X1101" s="167"/>
      <c r="Y1101" s="279"/>
      <c r="Z1101" s="3"/>
      <c r="AA1101" s="3"/>
      <c r="AB1101" s="3"/>
      <c r="AC1101" s="3"/>
      <c r="AD1101" s="3"/>
      <c r="AE1101" s="3"/>
    </row>
    <row r="1102" spans="1:31" ht="15.75" customHeight="1" x14ac:dyDescent="0.25">
      <c r="A1102" t="s">
        <v>462</v>
      </c>
      <c r="B1102" s="32" t="s">
        <v>137</v>
      </c>
      <c r="C1102" s="13" t="s">
        <v>401</v>
      </c>
      <c r="D1102" s="14"/>
      <c r="E1102" s="14"/>
      <c r="F1102" s="14"/>
      <c r="G1102" s="61">
        <f t="shared" si="482"/>
        <v>0</v>
      </c>
      <c r="H1102" s="15"/>
      <c r="I1102" s="45"/>
      <c r="J1102" s="45"/>
      <c r="K1102" s="45"/>
      <c r="L1102" s="14">
        <f t="shared" si="478"/>
        <v>0</v>
      </c>
      <c r="M1102" s="62">
        <f t="shared" si="479"/>
        <v>0</v>
      </c>
      <c r="N1102" s="45">
        <v>4666</v>
      </c>
      <c r="O1102" s="38"/>
      <c r="P1102" s="15"/>
      <c r="Q1102" s="241"/>
      <c r="R1102" s="38"/>
      <c r="S1102" s="38"/>
      <c r="T1102" s="38"/>
      <c r="U1102" s="38"/>
      <c r="V1102" s="38"/>
      <c r="W1102" s="38"/>
      <c r="X1102" s="167"/>
      <c r="Y1102" s="279"/>
      <c r="Z1102" s="3"/>
      <c r="AA1102" s="3"/>
      <c r="AB1102" s="3"/>
      <c r="AC1102" s="3"/>
      <c r="AD1102" s="3"/>
      <c r="AE1102" s="3"/>
    </row>
    <row r="1103" spans="1:31" ht="15.75" customHeight="1" x14ac:dyDescent="0.25">
      <c r="A1103" t="s">
        <v>462</v>
      </c>
      <c r="B1103" s="32" t="s">
        <v>137</v>
      </c>
      <c r="C1103" s="13" t="s">
        <v>1022</v>
      </c>
      <c r="D1103" s="14"/>
      <c r="E1103" s="14"/>
      <c r="F1103" s="14"/>
      <c r="G1103" s="61">
        <f t="shared" si="482"/>
        <v>0</v>
      </c>
      <c r="H1103" s="15"/>
      <c r="I1103" s="45"/>
      <c r="J1103" s="45"/>
      <c r="K1103" s="45"/>
      <c r="L1103" s="14">
        <f t="shared" si="478"/>
        <v>0</v>
      </c>
      <c r="M1103" s="62">
        <f t="shared" si="479"/>
        <v>0</v>
      </c>
      <c r="N1103" s="45">
        <v>203793</v>
      </c>
      <c r="O1103" s="38"/>
      <c r="P1103" s="15"/>
      <c r="Q1103" s="241"/>
      <c r="R1103" s="38"/>
      <c r="S1103" s="38"/>
      <c r="T1103" s="38"/>
      <c r="U1103" s="38"/>
      <c r="V1103" s="38"/>
      <c r="W1103" s="38"/>
      <c r="X1103" s="167"/>
      <c r="Y1103" s="279"/>
      <c r="Z1103" s="3"/>
      <c r="AA1103" s="3"/>
      <c r="AB1103" s="3"/>
      <c r="AC1103" s="3"/>
      <c r="AD1103" s="3"/>
      <c r="AE1103" s="3"/>
    </row>
    <row r="1104" spans="1:31" ht="15.75" customHeight="1" x14ac:dyDescent="0.25">
      <c r="A1104" s="3"/>
      <c r="B1104" s="12"/>
      <c r="C1104" s="13"/>
      <c r="D1104" s="14"/>
      <c r="E1104" s="14"/>
      <c r="F1104" s="14"/>
      <c r="G1104" s="61">
        <f>SUM(D1104:F1104)</f>
        <v>0</v>
      </c>
      <c r="H1104" s="15"/>
      <c r="I1104" s="45"/>
      <c r="J1104" s="45"/>
      <c r="K1104" s="45"/>
      <c r="L1104" s="14">
        <f>SUM(I1104:K1104)</f>
        <v>0</v>
      </c>
      <c r="M1104" s="62">
        <f>(L1104-G1104)</f>
        <v>0</v>
      </c>
      <c r="N1104" s="45"/>
      <c r="O1104" s="38"/>
      <c r="P1104" s="15"/>
      <c r="Q1104" s="241"/>
      <c r="R1104" s="38"/>
      <c r="S1104" s="38"/>
      <c r="T1104" s="38"/>
      <c r="U1104" s="38"/>
      <c r="V1104" s="38"/>
      <c r="W1104" s="38"/>
      <c r="X1104" s="167"/>
      <c r="Y1104" s="279"/>
      <c r="Z1104" s="3"/>
      <c r="AA1104" s="3"/>
      <c r="AB1104" s="3"/>
      <c r="AC1104" s="3"/>
      <c r="AD1104" s="3"/>
      <c r="AE1104" s="3"/>
    </row>
    <row r="1105" spans="1:31" ht="15.75" customHeight="1" x14ac:dyDescent="0.25">
      <c r="A1105" s="3"/>
      <c r="B1105" s="12"/>
      <c r="C1105" s="13" t="s">
        <v>1042</v>
      </c>
      <c r="D1105" s="14"/>
      <c r="E1105" s="14"/>
      <c r="F1105" s="14"/>
      <c r="G1105" s="61">
        <f>SUM(D1105:F1105)</f>
        <v>0</v>
      </c>
      <c r="H1105" s="15"/>
      <c r="I1105" s="45"/>
      <c r="J1105" s="45"/>
      <c r="K1105" s="45"/>
      <c r="L1105" s="14">
        <f>SUM(I1105:K1105)</f>
        <v>0</v>
      </c>
      <c r="M1105" s="62">
        <f>(L1105-G1105)</f>
        <v>0</v>
      </c>
      <c r="N1105" s="45"/>
      <c r="O1105" s="38">
        <v>1500</v>
      </c>
      <c r="P1105" s="15"/>
      <c r="Q1105" s="241"/>
      <c r="R1105" s="38"/>
      <c r="S1105" s="38"/>
      <c r="T1105" s="38"/>
      <c r="U1105" s="38"/>
      <c r="V1105" s="38"/>
      <c r="W1105" s="38"/>
      <c r="X1105" s="167"/>
      <c r="Y1105" s="279"/>
      <c r="Z1105" s="14"/>
      <c r="AA1105" s="3"/>
      <c r="AB1105" s="3"/>
      <c r="AC1105" s="3"/>
      <c r="AD1105" s="3"/>
      <c r="AE1105" s="3"/>
    </row>
    <row r="1106" spans="1:31" ht="15.75" customHeight="1" x14ac:dyDescent="0.25">
      <c r="A1106" s="3"/>
      <c r="B1106" s="12"/>
      <c r="C1106" s="13" t="s">
        <v>1043</v>
      </c>
      <c r="D1106" s="14"/>
      <c r="E1106" s="14"/>
      <c r="F1106" s="14"/>
      <c r="G1106" s="61">
        <f>SUM(D1106:F1106)</f>
        <v>0</v>
      </c>
      <c r="H1106" s="15"/>
      <c r="I1106" s="45"/>
      <c r="J1106" s="45"/>
      <c r="K1106" s="45"/>
      <c r="L1106" s="14">
        <f>SUM(I1106:K1106)</f>
        <v>0</v>
      </c>
      <c r="M1106" s="62">
        <f>(L1106-G1106)</f>
        <v>0</v>
      </c>
      <c r="N1106" s="45"/>
      <c r="O1106" s="38">
        <v>5500</v>
      </c>
      <c r="P1106" s="15"/>
      <c r="Q1106" s="241"/>
      <c r="R1106" s="38"/>
      <c r="S1106" s="38"/>
      <c r="T1106" s="38"/>
      <c r="U1106" s="38"/>
      <c r="V1106" s="38"/>
      <c r="W1106" s="38"/>
      <c r="X1106" s="167"/>
      <c r="Y1106" s="279"/>
      <c r="Z1106" s="3"/>
      <c r="AA1106" s="3"/>
      <c r="AB1106" s="3"/>
      <c r="AC1106" s="3"/>
      <c r="AD1106" s="3"/>
      <c r="AE1106" s="3"/>
    </row>
    <row r="1107" spans="1:31" ht="15.75" customHeight="1" x14ac:dyDescent="0.25">
      <c r="A1107" t="s">
        <v>462</v>
      </c>
      <c r="B1107" s="32" t="s">
        <v>137</v>
      </c>
      <c r="C1107" s="13" t="s">
        <v>1025</v>
      </c>
      <c r="D1107" s="14"/>
      <c r="E1107" s="14"/>
      <c r="F1107" s="14"/>
      <c r="G1107" s="61">
        <f>SUM(D1107:F1107)</f>
        <v>0</v>
      </c>
      <c r="H1107" s="15"/>
      <c r="I1107" s="30"/>
      <c r="J1107" s="14"/>
      <c r="K1107" s="30"/>
      <c r="L1107" s="14">
        <f>SUM(I1107:K1107)</f>
        <v>0</v>
      </c>
      <c r="M1107" s="62">
        <f t="shared" si="479"/>
        <v>0</v>
      </c>
      <c r="N1107" s="14"/>
      <c r="O1107" s="38"/>
      <c r="P1107" s="15"/>
      <c r="Q1107" s="241"/>
      <c r="R1107" s="38"/>
      <c r="S1107" s="38"/>
      <c r="T1107" s="38"/>
      <c r="U1107" s="38"/>
      <c r="V1107" s="38"/>
      <c r="W1107" s="38"/>
      <c r="X1107" s="167"/>
    </row>
    <row r="1108" spans="1:31" ht="15.75" customHeight="1" x14ac:dyDescent="0.25">
      <c r="A1108" s="3"/>
      <c r="B1108" s="3"/>
      <c r="C1108" s="13" t="s">
        <v>1044</v>
      </c>
      <c r="D1108" s="14"/>
      <c r="E1108" s="14"/>
      <c r="F1108" s="14"/>
      <c r="G1108" s="61">
        <f>SUM(D1108:F1108)</f>
        <v>0</v>
      </c>
      <c r="H1108" s="15"/>
      <c r="I1108" s="14"/>
      <c r="J1108" s="14"/>
      <c r="K1108" s="14"/>
      <c r="L1108" s="14">
        <f>SUM(I1108:K1108)</f>
        <v>0</v>
      </c>
      <c r="M1108" s="62">
        <f>(L1108-G1108)</f>
        <v>0</v>
      </c>
      <c r="N1108" s="14"/>
      <c r="O1108" s="38"/>
      <c r="P1108" s="15">
        <v>5750</v>
      </c>
      <c r="Q1108" s="241"/>
      <c r="R1108" s="38"/>
      <c r="S1108" s="38"/>
      <c r="T1108" s="38"/>
      <c r="U1108" s="38"/>
      <c r="V1108" s="38"/>
      <c r="W1108" s="38"/>
      <c r="X1108" s="167"/>
    </row>
    <row r="1109" spans="1:31" ht="15.75" customHeight="1" x14ac:dyDescent="0.25">
      <c r="C1109" s="40" t="s">
        <v>188</v>
      </c>
      <c r="D1109" s="89">
        <f>SUM(D1100:D1107)</f>
        <v>77637</v>
      </c>
      <c r="E1109" s="89">
        <f>SUM(E1100:E1107)</f>
        <v>30584</v>
      </c>
      <c r="F1109" s="89">
        <f>SUM(F1100:F1107)</f>
        <v>1000</v>
      </c>
      <c r="G1109" s="27">
        <f t="shared" ref="G1109:G1124" si="484">SUM(D1109:F1109)</f>
        <v>109221</v>
      </c>
      <c r="H1109" s="89">
        <f>SUM(H1100:H1107)</f>
        <v>2875.85</v>
      </c>
      <c r="I1109" s="89">
        <f>SUM(I1100:I1107)</f>
        <v>85240</v>
      </c>
      <c r="J1109" s="89">
        <f>SUM(J1100:J1107)</f>
        <v>53595</v>
      </c>
      <c r="K1109" s="89">
        <f>SUM(K1100:K1107)</f>
        <v>30</v>
      </c>
      <c r="L1109" s="89">
        <f t="shared" ref="L1109:L1124" si="485">SUM(I1109:K1109)</f>
        <v>138865</v>
      </c>
      <c r="M1109" s="28">
        <f t="shared" si="479"/>
        <v>29644</v>
      </c>
      <c r="N1109" s="89">
        <f t="shared" ref="N1109:X1109" si="486">SUM(N1100:N1107)</f>
        <v>208459</v>
      </c>
      <c r="O1109" s="107">
        <f t="shared" si="486"/>
        <v>7000</v>
      </c>
      <c r="P1109" s="210">
        <f>SUM(P1100:P1108)</f>
        <v>5750</v>
      </c>
      <c r="Q1109" s="246">
        <f>SUM(Q1100:Q1107)</f>
        <v>0</v>
      </c>
      <c r="R1109" s="107">
        <f t="shared" si="486"/>
        <v>0</v>
      </c>
      <c r="S1109" s="107">
        <f t="shared" si="486"/>
        <v>0</v>
      </c>
      <c r="T1109" s="107">
        <f t="shared" si="486"/>
        <v>0</v>
      </c>
      <c r="U1109" s="107">
        <f t="shared" si="486"/>
        <v>0</v>
      </c>
      <c r="V1109" s="107">
        <f t="shared" si="486"/>
        <v>0</v>
      </c>
      <c r="W1109" s="107">
        <f t="shared" si="486"/>
        <v>0</v>
      </c>
      <c r="X1109" s="107">
        <f t="shared" si="486"/>
        <v>0</v>
      </c>
    </row>
    <row r="1110" spans="1:31" ht="15.75" customHeight="1" x14ac:dyDescent="0.25">
      <c r="A1110" t="s">
        <v>462</v>
      </c>
      <c r="B1110" s="32" t="s">
        <v>139</v>
      </c>
      <c r="C1110" s="32" t="s">
        <v>139</v>
      </c>
      <c r="D1110" s="74">
        <v>23360</v>
      </c>
      <c r="E1110" s="74">
        <v>5027</v>
      </c>
      <c r="F1110" s="74"/>
      <c r="G1110" s="61">
        <f t="shared" si="484"/>
        <v>28387</v>
      </c>
      <c r="H1110" s="15">
        <v>327</v>
      </c>
      <c r="I1110" s="74">
        <v>28477</v>
      </c>
      <c r="J1110" s="74">
        <v>29431</v>
      </c>
      <c r="K1110" s="74"/>
      <c r="L1110" s="14">
        <f t="shared" si="485"/>
        <v>57908</v>
      </c>
      <c r="M1110" s="62">
        <f t="shared" si="479"/>
        <v>29521</v>
      </c>
      <c r="N1110" s="90"/>
      <c r="O1110" s="102"/>
      <c r="P1110" s="90"/>
      <c r="Q1110" s="247"/>
      <c r="R1110" s="102"/>
      <c r="S1110" s="102"/>
      <c r="T1110" s="102"/>
      <c r="U1110" s="102"/>
      <c r="V1110" s="102"/>
      <c r="W1110" s="102"/>
      <c r="X1110" s="179"/>
    </row>
    <row r="1111" spans="1:31" ht="15.75" customHeight="1" x14ac:dyDescent="0.25">
      <c r="A1111" t="s">
        <v>462</v>
      </c>
      <c r="B1111" s="32" t="s">
        <v>139</v>
      </c>
      <c r="C1111" s="13" t="s">
        <v>1045</v>
      </c>
      <c r="D1111" s="14"/>
      <c r="E1111" s="14">
        <v>10113</v>
      </c>
      <c r="F1111" s="14"/>
      <c r="G1111" s="61">
        <f t="shared" si="484"/>
        <v>10113</v>
      </c>
      <c r="H1111" s="15"/>
      <c r="I1111" s="14"/>
      <c r="J1111" s="14"/>
      <c r="K1111" s="14"/>
      <c r="L1111" s="14">
        <f t="shared" si="485"/>
        <v>0</v>
      </c>
      <c r="M1111" s="62">
        <f t="shared" si="479"/>
        <v>-10113</v>
      </c>
      <c r="N1111" s="15"/>
      <c r="O1111" s="38"/>
      <c r="P1111" s="15"/>
      <c r="Q1111" s="241"/>
      <c r="R1111" s="38"/>
      <c r="S1111" s="38"/>
      <c r="T1111" s="38"/>
      <c r="U1111" s="38"/>
      <c r="V1111" s="38"/>
      <c r="W1111" s="38"/>
      <c r="X1111" s="167"/>
      <c r="Y1111" s="279"/>
      <c r="Z1111" s="3"/>
      <c r="AA1111" s="3"/>
      <c r="AB1111" s="3"/>
      <c r="AC1111" s="3"/>
      <c r="AD1111" s="3"/>
      <c r="AE1111" s="3"/>
    </row>
    <row r="1112" spans="1:31" ht="15.75" customHeight="1" x14ac:dyDescent="0.25">
      <c r="A1112" t="s">
        <v>462</v>
      </c>
      <c r="B1112" s="32" t="s">
        <v>139</v>
      </c>
      <c r="C1112" s="13" t="s">
        <v>400</v>
      </c>
      <c r="D1112" s="14">
        <v>29903</v>
      </c>
      <c r="E1112" s="14"/>
      <c r="F1112" s="14"/>
      <c r="G1112" s="61">
        <f t="shared" si="484"/>
        <v>29903</v>
      </c>
      <c r="H1112" s="15"/>
      <c r="I1112" s="14">
        <v>31653</v>
      </c>
      <c r="J1112" s="30"/>
      <c r="K1112" s="14"/>
      <c r="L1112" s="14">
        <f t="shared" si="485"/>
        <v>31653</v>
      </c>
      <c r="M1112" s="62">
        <f t="shared" si="479"/>
        <v>1750</v>
      </c>
      <c r="N1112" s="15"/>
      <c r="O1112" s="38"/>
      <c r="P1112" s="15"/>
      <c r="Q1112" s="241"/>
      <c r="R1112" s="38"/>
      <c r="S1112" s="38"/>
      <c r="T1112" s="38"/>
      <c r="U1112" s="38"/>
      <c r="V1112" s="38"/>
      <c r="W1112" s="38"/>
      <c r="X1112" s="167"/>
      <c r="Y1112" s="279"/>
      <c r="Z1112" s="3"/>
      <c r="AA1112" s="3"/>
      <c r="AB1112" s="3"/>
      <c r="AC1112" s="3"/>
      <c r="AD1112" s="3"/>
      <c r="AE1112" s="3"/>
    </row>
    <row r="1113" spans="1:31" ht="15.75" customHeight="1" x14ac:dyDescent="0.25">
      <c r="A1113" t="s">
        <v>462</v>
      </c>
      <c r="B1113" s="32" t="s">
        <v>139</v>
      </c>
      <c r="C1113" s="13" t="s">
        <v>1022</v>
      </c>
      <c r="D1113" s="14"/>
      <c r="E1113" s="14"/>
      <c r="F1113" s="14"/>
      <c r="G1113" s="61">
        <f t="shared" si="484"/>
        <v>0</v>
      </c>
      <c r="H1113" s="15"/>
      <c r="I1113" s="14"/>
      <c r="J1113" s="14"/>
      <c r="K1113" s="14"/>
      <c r="L1113" s="14">
        <f t="shared" si="485"/>
        <v>0</v>
      </c>
      <c r="M1113" s="62">
        <f t="shared" si="479"/>
        <v>0</v>
      </c>
      <c r="N1113" s="14">
        <v>75918</v>
      </c>
      <c r="O1113" s="38"/>
      <c r="P1113" s="15"/>
      <c r="Q1113" s="241"/>
      <c r="R1113" s="38"/>
      <c r="S1113" s="38"/>
      <c r="T1113" s="38"/>
      <c r="U1113" s="38"/>
      <c r="V1113" s="38"/>
      <c r="W1113" s="38"/>
      <c r="X1113" s="167"/>
      <c r="Y1113" s="279"/>
      <c r="Z1113" s="3"/>
      <c r="AA1113" s="3"/>
      <c r="AB1113" s="3"/>
      <c r="AC1113" s="3"/>
      <c r="AD1113" s="3"/>
      <c r="AE1113" s="3"/>
    </row>
    <row r="1114" spans="1:31" ht="15.75" customHeight="1" x14ac:dyDescent="0.25">
      <c r="A1114" s="3"/>
      <c r="B1114" s="12"/>
      <c r="C1114" s="31" t="s">
        <v>231</v>
      </c>
      <c r="D1114" s="14"/>
      <c r="E1114" s="14"/>
      <c r="F1114" s="14"/>
      <c r="G1114" s="61">
        <f>SUM(D1114:F1114)</f>
        <v>0</v>
      </c>
      <c r="H1114" s="15"/>
      <c r="I1114" s="14"/>
      <c r="J1114" s="14"/>
      <c r="K1114" s="14"/>
      <c r="L1114" s="14">
        <f>SUM(I1114:K1114)</f>
        <v>0</v>
      </c>
      <c r="M1114" s="62">
        <f>(L1114-G1114)</f>
        <v>0</v>
      </c>
      <c r="N1114" s="14"/>
      <c r="O1114" s="38"/>
      <c r="P1114" s="15"/>
      <c r="Q1114" s="241"/>
      <c r="R1114" s="38"/>
      <c r="S1114" s="38"/>
      <c r="T1114" s="38"/>
      <c r="U1114" s="38"/>
      <c r="V1114" s="38"/>
      <c r="W1114" s="38"/>
      <c r="X1114" s="167"/>
      <c r="Y1114" s="279"/>
      <c r="Z1114" s="3"/>
      <c r="AA1114" s="3"/>
      <c r="AB1114" s="3"/>
      <c r="AC1114" s="3"/>
      <c r="AD1114" s="3"/>
      <c r="AE1114" s="3"/>
    </row>
    <row r="1115" spans="1:31" ht="15.75" customHeight="1" x14ac:dyDescent="0.25">
      <c r="A1115" s="3"/>
      <c r="B1115" s="12"/>
      <c r="C1115" s="13" t="s">
        <v>1046</v>
      </c>
      <c r="D1115" s="14"/>
      <c r="E1115" s="14"/>
      <c r="F1115" s="14"/>
      <c r="G1115" s="61">
        <f>SUM(D1115:F1115)</f>
        <v>0</v>
      </c>
      <c r="H1115" s="15"/>
      <c r="I1115" s="14"/>
      <c r="J1115" s="14"/>
      <c r="K1115" s="14"/>
      <c r="L1115" s="14">
        <f>SUM(I1115:K1115)</f>
        <v>0</v>
      </c>
      <c r="M1115" s="62">
        <f>(L1115-G1115)</f>
        <v>0</v>
      </c>
      <c r="N1115" s="14"/>
      <c r="O1115" s="38">
        <v>2300</v>
      </c>
      <c r="P1115" s="15"/>
      <c r="Q1115" s="241"/>
      <c r="R1115" s="38"/>
      <c r="S1115" s="38"/>
      <c r="T1115" s="38"/>
      <c r="U1115" s="38"/>
      <c r="V1115" s="38"/>
      <c r="W1115" s="38"/>
      <c r="X1115" s="167"/>
      <c r="Y1115" s="279"/>
      <c r="Z1115" s="14"/>
      <c r="AA1115" s="3"/>
      <c r="AB1115" s="3"/>
      <c r="AC1115" s="3"/>
      <c r="AD1115" s="3"/>
      <c r="AE1115" s="3"/>
    </row>
    <row r="1116" spans="1:31" ht="15.75" customHeight="1" x14ac:dyDescent="0.25">
      <c r="A1116" t="s">
        <v>462</v>
      </c>
      <c r="B1116" s="32" t="s">
        <v>139</v>
      </c>
      <c r="C1116" s="13"/>
      <c r="D1116" s="14"/>
      <c r="E1116" s="14"/>
      <c r="F1116" s="14"/>
      <c r="G1116" s="61">
        <f t="shared" si="484"/>
        <v>0</v>
      </c>
      <c r="H1116" s="15"/>
      <c r="I1116" s="14"/>
      <c r="J1116" s="14"/>
      <c r="K1116" s="14"/>
      <c r="L1116" s="14">
        <f t="shared" si="485"/>
        <v>0</v>
      </c>
      <c r="M1116" s="62">
        <f t="shared" si="479"/>
        <v>0</v>
      </c>
      <c r="N1116" s="15"/>
      <c r="O1116" s="38"/>
      <c r="P1116" s="15"/>
      <c r="Q1116" s="241"/>
      <c r="R1116" s="38"/>
      <c r="S1116" s="38"/>
      <c r="T1116" s="38"/>
      <c r="U1116" s="38"/>
      <c r="V1116" s="38"/>
      <c r="W1116" s="38"/>
      <c r="X1116" s="167"/>
    </row>
    <row r="1117" spans="1:31" ht="15.75" customHeight="1" x14ac:dyDescent="0.25">
      <c r="A1117" t="s">
        <v>462</v>
      </c>
      <c r="B1117" s="32" t="s">
        <v>139</v>
      </c>
      <c r="C1117" s="13" t="s">
        <v>1047</v>
      </c>
      <c r="D1117" s="14"/>
      <c r="E1117" s="14"/>
      <c r="F1117" s="14"/>
      <c r="G1117" s="61">
        <f t="shared" si="484"/>
        <v>0</v>
      </c>
      <c r="H1117" s="15"/>
      <c r="I1117" s="14"/>
      <c r="J1117" s="14"/>
      <c r="K1117" s="14"/>
      <c r="L1117" s="14">
        <f t="shared" si="485"/>
        <v>0</v>
      </c>
      <c r="M1117" s="62">
        <f t="shared" si="479"/>
        <v>0</v>
      </c>
      <c r="N1117" s="15"/>
      <c r="O1117" s="38"/>
      <c r="P1117" s="15"/>
      <c r="Q1117" s="241"/>
      <c r="R1117" s="38"/>
      <c r="S1117" s="38"/>
      <c r="T1117" s="38"/>
      <c r="U1117" s="38"/>
      <c r="V1117" s="38"/>
      <c r="W1117" s="38"/>
      <c r="X1117" s="167"/>
    </row>
    <row r="1118" spans="1:31" ht="15.75" customHeight="1" x14ac:dyDescent="0.25">
      <c r="A1118" s="3"/>
      <c r="B1118" s="3"/>
      <c r="C1118" s="13" t="s">
        <v>1048</v>
      </c>
      <c r="D1118" s="14"/>
      <c r="E1118" s="14"/>
      <c r="F1118" s="14"/>
      <c r="G1118" s="61">
        <f>SUM(D1118:F1118)</f>
        <v>0</v>
      </c>
      <c r="H1118" s="15"/>
      <c r="I1118" s="14"/>
      <c r="J1118" s="14"/>
      <c r="K1118" s="14"/>
      <c r="L1118" s="14">
        <f>SUM(I1118:K1118)</f>
        <v>0</v>
      </c>
      <c r="M1118" s="62">
        <f>(L1118-G1118)</f>
        <v>0</v>
      </c>
      <c r="N1118" s="14"/>
      <c r="O1118" s="38"/>
      <c r="P1118" s="15">
        <v>3210</v>
      </c>
      <c r="Q1118" s="241"/>
      <c r="R1118" s="38"/>
      <c r="S1118" s="38"/>
      <c r="T1118" s="38"/>
      <c r="U1118" s="38"/>
      <c r="V1118" s="38"/>
      <c r="W1118" s="38"/>
      <c r="X1118" s="167"/>
    </row>
    <row r="1119" spans="1:31" ht="15.75" customHeight="1" x14ac:dyDescent="0.25">
      <c r="A1119" s="3"/>
      <c r="B1119" s="3"/>
      <c r="C1119" s="13" t="s">
        <v>1049</v>
      </c>
      <c r="D1119" s="14"/>
      <c r="E1119" s="14"/>
      <c r="F1119" s="14"/>
      <c r="G1119" s="61">
        <f>SUM(D1119:F1119)</f>
        <v>0</v>
      </c>
      <c r="H1119" s="15"/>
      <c r="I1119" s="14"/>
      <c r="J1119" s="14"/>
      <c r="K1119" s="14"/>
      <c r="L1119" s="14">
        <f>SUM(I1119:K1119)</f>
        <v>0</v>
      </c>
      <c r="M1119" s="62">
        <f>(L1119-G1119)</f>
        <v>0</v>
      </c>
      <c r="N1119" s="14"/>
      <c r="O1119" s="38"/>
      <c r="P1119" s="15">
        <v>300</v>
      </c>
      <c r="Q1119" s="241"/>
      <c r="R1119" s="38"/>
      <c r="S1119" s="38"/>
      <c r="T1119" s="38"/>
      <c r="U1119" s="38"/>
      <c r="V1119" s="38"/>
      <c r="W1119" s="38"/>
      <c r="X1119" s="167"/>
    </row>
    <row r="1120" spans="1:31" ht="15.75" customHeight="1" x14ac:dyDescent="0.25">
      <c r="A1120" s="3"/>
      <c r="B1120" s="3"/>
      <c r="C1120" s="13" t="s">
        <v>1050</v>
      </c>
      <c r="D1120" s="14"/>
      <c r="E1120" s="14"/>
      <c r="F1120" s="14"/>
      <c r="G1120" s="61">
        <f>SUM(D1120:F1120)</f>
        <v>0</v>
      </c>
      <c r="H1120" s="15"/>
      <c r="I1120" s="14"/>
      <c r="J1120" s="14"/>
      <c r="K1120" s="14"/>
      <c r="L1120" s="14">
        <f>SUM(I1120:K1120)</f>
        <v>0</v>
      </c>
      <c r="M1120" s="62">
        <f>(L1120-G1120)</f>
        <v>0</v>
      </c>
      <c r="N1120" s="14"/>
      <c r="O1120" s="38"/>
      <c r="P1120" s="15">
        <v>500</v>
      </c>
      <c r="Q1120" s="241"/>
      <c r="R1120" s="38"/>
      <c r="S1120" s="38"/>
      <c r="T1120" s="38"/>
      <c r="U1120" s="38"/>
      <c r="V1120" s="38"/>
      <c r="W1120" s="38"/>
      <c r="X1120" s="167"/>
    </row>
    <row r="1121" spans="1:31" ht="15.75" customHeight="1" x14ac:dyDescent="0.25">
      <c r="C1121" s="40"/>
      <c r="D1121" s="89">
        <f>SUM(D1110:D1117)</f>
        <v>53263</v>
      </c>
      <c r="E1121" s="89">
        <f>SUM(E1110:E1117)</f>
        <v>15140</v>
      </c>
      <c r="F1121" s="89">
        <f>SUM(F1110:F1117)</f>
        <v>0</v>
      </c>
      <c r="G1121" s="27">
        <f t="shared" si="484"/>
        <v>68403</v>
      </c>
      <c r="H1121" s="89">
        <f>SUM(H1110:H1120)</f>
        <v>327</v>
      </c>
      <c r="I1121" s="89">
        <f>SUM(I1110:I1120)</f>
        <v>60130</v>
      </c>
      <c r="J1121" s="89">
        <f>SUM(J1110:J1120)</f>
        <v>29431</v>
      </c>
      <c r="K1121" s="89">
        <f>SUM(K1110:K1120)</f>
        <v>0</v>
      </c>
      <c r="L1121" s="89">
        <f t="shared" si="485"/>
        <v>89561</v>
      </c>
      <c r="M1121" s="28">
        <f t="shared" si="479"/>
        <v>21158</v>
      </c>
      <c r="N1121" s="89">
        <f t="shared" ref="N1121:X1121" si="487">SUM(N1110:N1120)</f>
        <v>75918</v>
      </c>
      <c r="O1121" s="89">
        <f t="shared" si="487"/>
        <v>2300</v>
      </c>
      <c r="P1121" s="89">
        <f t="shared" si="487"/>
        <v>4010</v>
      </c>
      <c r="Q1121" s="246">
        <f t="shared" si="487"/>
        <v>0</v>
      </c>
      <c r="R1121" s="89">
        <f t="shared" si="487"/>
        <v>0</v>
      </c>
      <c r="S1121" s="89">
        <f t="shared" si="487"/>
        <v>0</v>
      </c>
      <c r="T1121" s="89">
        <f t="shared" si="487"/>
        <v>0</v>
      </c>
      <c r="U1121" s="89">
        <f t="shared" si="487"/>
        <v>0</v>
      </c>
      <c r="V1121" s="89">
        <f t="shared" si="487"/>
        <v>0</v>
      </c>
      <c r="W1121" s="89">
        <f t="shared" si="487"/>
        <v>0</v>
      </c>
      <c r="X1121" s="89">
        <f t="shared" si="487"/>
        <v>0</v>
      </c>
    </row>
    <row r="1122" spans="1:31" ht="15.75" customHeight="1" x14ac:dyDescent="0.25">
      <c r="A1122" t="s">
        <v>462</v>
      </c>
      <c r="B1122" s="32" t="s">
        <v>134</v>
      </c>
      <c r="C1122" s="32" t="s">
        <v>134</v>
      </c>
      <c r="D1122" s="74">
        <v>97479</v>
      </c>
      <c r="E1122" s="74">
        <v>95632</v>
      </c>
      <c r="F1122" s="74">
        <v>5400</v>
      </c>
      <c r="G1122" s="61">
        <f t="shared" si="484"/>
        <v>198511</v>
      </c>
      <c r="H1122" s="15">
        <v>7011</v>
      </c>
      <c r="I1122" s="74">
        <v>128753</v>
      </c>
      <c r="J1122" s="74">
        <v>147054</v>
      </c>
      <c r="K1122" s="74"/>
      <c r="L1122" s="14">
        <f t="shared" si="485"/>
        <v>275807</v>
      </c>
      <c r="M1122" s="62">
        <f t="shared" si="479"/>
        <v>77296</v>
      </c>
      <c r="N1122" s="90"/>
      <c r="O1122" s="102"/>
      <c r="P1122" s="90"/>
      <c r="Q1122" s="247"/>
      <c r="R1122" s="102"/>
      <c r="S1122" s="102"/>
      <c r="T1122" s="102"/>
      <c r="U1122" s="102"/>
      <c r="V1122" s="102"/>
      <c r="W1122" s="102"/>
      <c r="X1122" s="179"/>
    </row>
    <row r="1123" spans="1:31" ht="15.75" customHeight="1" x14ac:dyDescent="0.25">
      <c r="A1123" t="s">
        <v>462</v>
      </c>
      <c r="B1123" s="32" t="s">
        <v>134</v>
      </c>
      <c r="C1123" s="13" t="s">
        <v>400</v>
      </c>
      <c r="D1123" s="14">
        <v>97532</v>
      </c>
      <c r="E1123" s="14"/>
      <c r="F1123" s="14"/>
      <c r="G1123" s="61">
        <f t="shared" si="484"/>
        <v>97532</v>
      </c>
      <c r="H1123" s="15"/>
      <c r="I1123" s="14">
        <v>53194</v>
      </c>
      <c r="J1123" s="30"/>
      <c r="K1123" s="30"/>
      <c r="L1123" s="14">
        <f t="shared" si="485"/>
        <v>53194</v>
      </c>
      <c r="M1123" s="62">
        <f t="shared" si="479"/>
        <v>-44338</v>
      </c>
      <c r="N1123" s="15"/>
      <c r="O1123" s="38"/>
      <c r="P1123" s="15"/>
      <c r="Q1123" s="241"/>
      <c r="R1123" s="38"/>
      <c r="S1123" s="38"/>
      <c r="T1123" s="38"/>
      <c r="U1123" s="38"/>
      <c r="V1123" s="38"/>
      <c r="W1123" s="38"/>
      <c r="X1123" s="167"/>
      <c r="Y1123" s="279"/>
      <c r="Z1123" s="3"/>
      <c r="AA1123" s="3"/>
      <c r="AB1123" s="3"/>
      <c r="AC1123" s="3"/>
      <c r="AD1123" s="3"/>
      <c r="AE1123" s="3"/>
    </row>
    <row r="1124" spans="1:31" ht="15.75" customHeight="1" x14ac:dyDescent="0.25">
      <c r="A1124" t="s">
        <v>462</v>
      </c>
      <c r="B1124" s="32" t="s">
        <v>134</v>
      </c>
      <c r="C1124" s="13" t="s">
        <v>424</v>
      </c>
      <c r="D1124" s="14"/>
      <c r="E1124" s="14"/>
      <c r="F1124" s="14"/>
      <c r="G1124" s="61">
        <f t="shared" si="484"/>
        <v>0</v>
      </c>
      <c r="H1124" s="15"/>
      <c r="I1124" s="30"/>
      <c r="J1124" s="30"/>
      <c r="K1124" s="30"/>
      <c r="L1124" s="14">
        <f t="shared" si="485"/>
        <v>0</v>
      </c>
      <c r="M1124" s="62">
        <f t="shared" si="479"/>
        <v>0</v>
      </c>
      <c r="N1124" s="14">
        <v>2044</v>
      </c>
      <c r="O1124" s="38"/>
      <c r="P1124" s="15"/>
      <c r="Q1124" s="241"/>
      <c r="R1124" s="38"/>
      <c r="S1124" s="38"/>
      <c r="T1124" s="38"/>
      <c r="U1124" s="38"/>
      <c r="V1124" s="38"/>
      <c r="W1124" s="38"/>
      <c r="X1124" s="167"/>
      <c r="Y1124" s="279"/>
      <c r="Z1124" s="3"/>
      <c r="AA1124" s="3"/>
      <c r="AB1124" s="3"/>
      <c r="AC1124" s="3"/>
      <c r="AD1124" s="3"/>
      <c r="AE1124" s="3"/>
    </row>
    <row r="1125" spans="1:31" ht="15.75" customHeight="1" x14ac:dyDescent="0.25">
      <c r="A1125" t="s">
        <v>462</v>
      </c>
      <c r="B1125" s="32" t="s">
        <v>134</v>
      </c>
      <c r="C1125" s="13" t="s">
        <v>424</v>
      </c>
      <c r="D1125" s="14"/>
      <c r="E1125" s="14"/>
      <c r="F1125" s="14"/>
      <c r="G1125" s="61">
        <f t="shared" ref="G1125" si="488">SUM(D1125:F1125)</f>
        <v>0</v>
      </c>
      <c r="H1125" s="15"/>
      <c r="I1125" s="14"/>
      <c r="J1125" s="14"/>
      <c r="K1125" s="14"/>
      <c r="L1125" s="14">
        <f t="shared" ref="L1125" si="489">SUM(I1125:K1125)</f>
        <v>0</v>
      </c>
      <c r="M1125" s="62">
        <f t="shared" ref="M1125" si="490">L1125-G1125</f>
        <v>0</v>
      </c>
      <c r="N1125" s="14">
        <v>274653</v>
      </c>
      <c r="O1125" s="38"/>
      <c r="P1125" s="15"/>
      <c r="Q1125" s="241"/>
      <c r="R1125" s="38"/>
      <c r="S1125" s="38"/>
      <c r="T1125" s="38"/>
      <c r="U1125" s="38"/>
      <c r="V1125" s="38"/>
      <c r="W1125" s="38"/>
      <c r="X1125" s="167"/>
      <c r="Y1125" s="279"/>
      <c r="Z1125" s="3"/>
      <c r="AA1125" s="3"/>
      <c r="AB1125" s="3"/>
      <c r="AC1125" s="3"/>
      <c r="AD1125" s="3"/>
      <c r="AE1125" s="3"/>
    </row>
    <row r="1126" spans="1:31" ht="15.75" customHeight="1" x14ac:dyDescent="0.25">
      <c r="A1126" s="3"/>
      <c r="B1126" s="12"/>
      <c r="C1126" s="31" t="s">
        <v>231</v>
      </c>
      <c r="D1126" s="14"/>
      <c r="E1126" s="14"/>
      <c r="F1126" s="14"/>
      <c r="G1126" s="61">
        <f>SUM(D1126:F1126)</f>
        <v>0</v>
      </c>
      <c r="H1126" s="15"/>
      <c r="I1126" s="14"/>
      <c r="J1126" s="14"/>
      <c r="K1126" s="14"/>
      <c r="L1126" s="14">
        <f>SUM(I1126:K1126)</f>
        <v>0</v>
      </c>
      <c r="M1126" s="62">
        <f>(L1126-G1126)</f>
        <v>0</v>
      </c>
      <c r="N1126" s="14"/>
      <c r="O1126" s="38"/>
      <c r="P1126" s="15"/>
      <c r="Q1126" s="241"/>
      <c r="R1126" s="38"/>
      <c r="S1126" s="38"/>
      <c r="T1126" s="38"/>
      <c r="U1126" s="38"/>
      <c r="V1126" s="38"/>
      <c r="W1126" s="38"/>
      <c r="X1126" s="167"/>
      <c r="Y1126" s="279"/>
      <c r="Z1126" s="3"/>
      <c r="AA1126" s="3"/>
      <c r="AB1126" s="3"/>
      <c r="AC1126" s="3"/>
      <c r="AD1126" s="3"/>
      <c r="AE1126" s="3"/>
    </row>
    <row r="1127" spans="1:31" ht="15.75" customHeight="1" x14ac:dyDescent="0.25">
      <c r="A1127" t="s">
        <v>462</v>
      </c>
      <c r="B1127" s="32" t="s">
        <v>134</v>
      </c>
      <c r="C1127" s="13" t="s">
        <v>1051</v>
      </c>
      <c r="D1127" s="14"/>
      <c r="E1127" s="14"/>
      <c r="F1127" s="14"/>
      <c r="G1127" s="61">
        <f t="shared" ref="G1127:G1129" si="491">SUM(D1127:F1127)</f>
        <v>0</v>
      </c>
      <c r="H1127" s="15"/>
      <c r="I1127" s="14"/>
      <c r="J1127" s="14"/>
      <c r="K1127" s="14"/>
      <c r="L1127" s="14">
        <f t="shared" ref="L1127:L1157" si="492">SUM(I1127:K1127)</f>
        <v>0</v>
      </c>
      <c r="M1127" s="62">
        <f t="shared" ref="M1127:M1157" si="493">(L1127-G1127)</f>
        <v>0</v>
      </c>
      <c r="N1127" s="15"/>
      <c r="O1127" s="38">
        <v>1500</v>
      </c>
      <c r="P1127" s="15"/>
      <c r="Q1127" s="241"/>
      <c r="R1127" s="38"/>
      <c r="S1127" s="38"/>
      <c r="T1127" s="38"/>
      <c r="U1127" s="38"/>
      <c r="V1127" s="38"/>
      <c r="W1127" s="38"/>
      <c r="X1127" s="167"/>
      <c r="Y1127" s="279"/>
      <c r="Z1127" s="14"/>
      <c r="AA1127" s="3"/>
      <c r="AB1127" s="3"/>
      <c r="AC1127" s="3"/>
      <c r="AD1127" s="3"/>
      <c r="AE1127" s="3"/>
    </row>
    <row r="1128" spans="1:31" ht="15.75" customHeight="1" x14ac:dyDescent="0.25">
      <c r="A1128" t="s">
        <v>462</v>
      </c>
      <c r="B1128" s="32" t="s">
        <v>134</v>
      </c>
      <c r="C1128" s="13" t="s">
        <v>1052</v>
      </c>
      <c r="D1128" s="14"/>
      <c r="E1128" s="14"/>
      <c r="F1128" s="14"/>
      <c r="G1128" s="61">
        <f t="shared" si="491"/>
        <v>0</v>
      </c>
      <c r="H1128" s="15"/>
      <c r="I1128" s="14"/>
      <c r="J1128" s="14"/>
      <c r="K1128" s="14"/>
      <c r="L1128" s="14">
        <f t="shared" si="492"/>
        <v>0</v>
      </c>
      <c r="M1128" s="62">
        <f t="shared" si="493"/>
        <v>0</v>
      </c>
      <c r="N1128" s="15"/>
      <c r="O1128" s="38"/>
      <c r="P1128" s="15"/>
      <c r="Q1128" s="241"/>
      <c r="R1128" s="38"/>
      <c r="S1128" s="38"/>
      <c r="T1128" s="38"/>
      <c r="U1128" s="38"/>
      <c r="V1128" s="38"/>
      <c r="W1128" s="38"/>
      <c r="X1128" s="167"/>
    </row>
    <row r="1129" spans="1:31" ht="15.75" customHeight="1" x14ac:dyDescent="0.25">
      <c r="A1129" t="s">
        <v>462</v>
      </c>
      <c r="B1129" s="32" t="s">
        <v>134</v>
      </c>
      <c r="C1129" s="13" t="s">
        <v>1053</v>
      </c>
      <c r="D1129" s="14"/>
      <c r="E1129" s="14"/>
      <c r="F1129" s="14"/>
      <c r="G1129" s="61">
        <f t="shared" si="491"/>
        <v>0</v>
      </c>
      <c r="H1129" s="15"/>
      <c r="I1129" s="14"/>
      <c r="J1129" s="14"/>
      <c r="K1129" s="14"/>
      <c r="L1129" s="14">
        <f t="shared" si="492"/>
        <v>0</v>
      </c>
      <c r="M1129" s="62">
        <f t="shared" si="493"/>
        <v>0</v>
      </c>
      <c r="N1129" s="15"/>
      <c r="O1129" s="38"/>
      <c r="P1129" s="15"/>
      <c r="Q1129" s="241"/>
      <c r="R1129" s="38"/>
      <c r="S1129" s="38"/>
      <c r="T1129" s="38"/>
      <c r="U1129" s="38"/>
      <c r="V1129" s="38"/>
      <c r="W1129" s="38"/>
      <c r="X1129" s="167"/>
    </row>
    <row r="1130" spans="1:31" ht="15.75" customHeight="1" x14ac:dyDescent="0.25">
      <c r="A1130" t="s">
        <v>462</v>
      </c>
      <c r="B1130" s="32" t="s">
        <v>134</v>
      </c>
      <c r="C1130" s="17" t="s">
        <v>1054</v>
      </c>
      <c r="D1130" s="14"/>
      <c r="E1130" s="14"/>
      <c r="F1130" s="14"/>
      <c r="G1130" s="61">
        <f t="shared" ref="G1130:G1131" si="494">SUM(D1130:F1130)</f>
        <v>0</v>
      </c>
      <c r="H1130" s="15"/>
      <c r="I1130" s="14"/>
      <c r="J1130" s="14"/>
      <c r="K1130" s="14"/>
      <c r="L1130" s="14">
        <f t="shared" si="492"/>
        <v>0</v>
      </c>
      <c r="M1130" s="62">
        <f t="shared" si="493"/>
        <v>0</v>
      </c>
      <c r="N1130" s="15"/>
      <c r="O1130" s="38"/>
      <c r="P1130" s="15"/>
      <c r="Q1130" s="241"/>
      <c r="R1130" s="38"/>
      <c r="S1130" s="38"/>
      <c r="T1130" s="38"/>
      <c r="U1130" s="38"/>
      <c r="V1130" s="38"/>
      <c r="W1130" s="38"/>
      <c r="X1130" s="167"/>
    </row>
    <row r="1131" spans="1:31" ht="15.75" customHeight="1" x14ac:dyDescent="0.25">
      <c r="A1131" t="s">
        <v>462</v>
      </c>
      <c r="B1131" s="32" t="s">
        <v>134</v>
      </c>
      <c r="C1131" s="17" t="s">
        <v>1055</v>
      </c>
      <c r="D1131" s="14"/>
      <c r="E1131" s="14"/>
      <c r="F1131" s="14"/>
      <c r="G1131" s="61">
        <f t="shared" si="494"/>
        <v>0</v>
      </c>
      <c r="H1131" s="15"/>
      <c r="I1131" s="14"/>
      <c r="J1131" s="14"/>
      <c r="K1131" s="14"/>
      <c r="L1131" s="14">
        <f t="shared" si="492"/>
        <v>0</v>
      </c>
      <c r="M1131" s="62">
        <f t="shared" si="493"/>
        <v>0</v>
      </c>
      <c r="N1131" s="15"/>
      <c r="O1131" s="38"/>
      <c r="P1131" s="15"/>
      <c r="Q1131" s="241"/>
      <c r="R1131" s="38"/>
      <c r="S1131" s="38"/>
      <c r="T1131" s="38">
        <v>30000</v>
      </c>
      <c r="U1131" s="38"/>
      <c r="V1131" s="38"/>
      <c r="W1131" s="38"/>
      <c r="X1131" s="167"/>
    </row>
    <row r="1132" spans="1:31" ht="15.75" customHeight="1" x14ac:dyDescent="0.25">
      <c r="C1132" s="17"/>
      <c r="D1132" s="14"/>
      <c r="E1132" s="14"/>
      <c r="F1132" s="14"/>
      <c r="G1132" s="61">
        <f t="shared" ref="G1132:G1156" si="495">SUM(D1132:F1132)</f>
        <v>0</v>
      </c>
      <c r="H1132" s="15"/>
      <c r="I1132" s="14"/>
      <c r="J1132" s="14"/>
      <c r="K1132" s="14"/>
      <c r="L1132" s="14">
        <f t="shared" si="492"/>
        <v>0</v>
      </c>
      <c r="M1132" s="62">
        <f t="shared" si="493"/>
        <v>0</v>
      </c>
      <c r="N1132" s="15"/>
      <c r="O1132" s="38"/>
      <c r="P1132" s="15"/>
      <c r="Q1132" s="241"/>
      <c r="R1132" s="38"/>
      <c r="S1132" s="38"/>
      <c r="T1132" s="38"/>
      <c r="U1132" s="38"/>
      <c r="V1132" s="38"/>
      <c r="W1132" s="38"/>
      <c r="X1132" s="167"/>
    </row>
    <row r="1133" spans="1:31" ht="15.75" customHeight="1" x14ac:dyDescent="0.25">
      <c r="A1133" s="3"/>
      <c r="B1133" s="3"/>
      <c r="C1133" s="13" t="s">
        <v>475</v>
      </c>
      <c r="D1133" s="14"/>
      <c r="E1133" s="14"/>
      <c r="F1133" s="14"/>
      <c r="G1133" s="61">
        <f t="shared" ref="G1133:G1138" si="496">SUM(D1133:F1133)</f>
        <v>0</v>
      </c>
      <c r="H1133" s="15"/>
      <c r="I1133" s="14"/>
      <c r="J1133" s="14"/>
      <c r="K1133" s="14"/>
      <c r="L1133" s="14">
        <f t="shared" ref="L1133:L1138" si="497">SUM(I1133:K1133)</f>
        <v>0</v>
      </c>
      <c r="M1133" s="62">
        <f t="shared" ref="M1133:M1138" si="498">(L1133-G1133)</f>
        <v>0</v>
      </c>
      <c r="N1133" s="14"/>
      <c r="O1133" s="38"/>
      <c r="P1133" s="15">
        <v>5827</v>
      </c>
      <c r="Q1133" s="241"/>
      <c r="R1133" s="38"/>
      <c r="S1133" s="38"/>
      <c r="T1133" s="38"/>
      <c r="U1133" s="38"/>
      <c r="V1133" s="38"/>
      <c r="W1133" s="38"/>
      <c r="X1133" s="167"/>
    </row>
    <row r="1134" spans="1:31" ht="15.75" customHeight="1" x14ac:dyDescent="0.25">
      <c r="A1134" s="3"/>
      <c r="B1134" s="3"/>
      <c r="C1134" s="13" t="s">
        <v>1056</v>
      </c>
      <c r="D1134" s="14"/>
      <c r="E1134" s="14"/>
      <c r="F1134" s="14"/>
      <c r="G1134" s="61">
        <f t="shared" si="496"/>
        <v>0</v>
      </c>
      <c r="H1134" s="15"/>
      <c r="I1134" s="14"/>
      <c r="J1134" s="14"/>
      <c r="K1134" s="14"/>
      <c r="L1134" s="14">
        <f t="shared" si="497"/>
        <v>0</v>
      </c>
      <c r="M1134" s="62">
        <f t="shared" si="498"/>
        <v>0</v>
      </c>
      <c r="N1134" s="14"/>
      <c r="O1134" s="38"/>
      <c r="P1134" s="15">
        <v>1200</v>
      </c>
      <c r="Q1134" s="241"/>
      <c r="R1134" s="38"/>
      <c r="S1134" s="38"/>
      <c r="T1134" s="38"/>
      <c r="U1134" s="38"/>
      <c r="V1134" s="38"/>
      <c r="W1134" s="38"/>
      <c r="X1134" s="167"/>
    </row>
    <row r="1135" spans="1:31" ht="15.75" customHeight="1" x14ac:dyDescent="0.25">
      <c r="A1135" s="3"/>
      <c r="B1135" s="3"/>
      <c r="C1135" s="13" t="s">
        <v>476</v>
      </c>
      <c r="D1135" s="14"/>
      <c r="E1135" s="14"/>
      <c r="F1135" s="14"/>
      <c r="G1135" s="61">
        <f t="shared" si="496"/>
        <v>0</v>
      </c>
      <c r="H1135" s="15"/>
      <c r="I1135" s="14"/>
      <c r="J1135" s="14"/>
      <c r="K1135" s="14"/>
      <c r="L1135" s="14">
        <f t="shared" si="497"/>
        <v>0</v>
      </c>
      <c r="M1135" s="62">
        <f t="shared" si="498"/>
        <v>0</v>
      </c>
      <c r="N1135" s="14"/>
      <c r="O1135" s="38"/>
      <c r="P1135" s="15">
        <v>1000</v>
      </c>
      <c r="Q1135" s="241"/>
      <c r="R1135" s="38"/>
      <c r="S1135" s="38"/>
      <c r="T1135" s="38"/>
      <c r="U1135" s="38"/>
      <c r="V1135" s="38"/>
      <c r="W1135" s="38"/>
      <c r="X1135" s="167"/>
    </row>
    <row r="1136" spans="1:31" ht="15.75" customHeight="1" x14ac:dyDescent="0.25">
      <c r="A1136" s="3"/>
      <c r="B1136" s="3"/>
      <c r="C1136" s="13" t="s">
        <v>1057</v>
      </c>
      <c r="D1136" s="14"/>
      <c r="E1136" s="14"/>
      <c r="F1136" s="14"/>
      <c r="G1136" s="61">
        <f t="shared" si="496"/>
        <v>0</v>
      </c>
      <c r="H1136" s="15"/>
      <c r="I1136" s="14"/>
      <c r="J1136" s="14"/>
      <c r="K1136" s="14"/>
      <c r="L1136" s="14">
        <f t="shared" si="497"/>
        <v>0</v>
      </c>
      <c r="M1136" s="62">
        <f t="shared" si="498"/>
        <v>0</v>
      </c>
      <c r="N1136" s="14"/>
      <c r="O1136" s="38"/>
      <c r="P1136" s="15">
        <v>300</v>
      </c>
      <c r="Q1136" s="241"/>
      <c r="R1136" s="38"/>
      <c r="S1136" s="38"/>
      <c r="T1136" s="38"/>
      <c r="U1136" s="38"/>
      <c r="V1136" s="38"/>
      <c r="W1136" s="38"/>
      <c r="X1136" s="167"/>
    </row>
    <row r="1137" spans="1:31" ht="15.75" customHeight="1" x14ac:dyDescent="0.25">
      <c r="A1137" s="3"/>
      <c r="B1137" s="3"/>
      <c r="C1137" s="13" t="s">
        <v>477</v>
      </c>
      <c r="D1137" s="14"/>
      <c r="E1137" s="14"/>
      <c r="F1137" s="14"/>
      <c r="G1137" s="61">
        <f t="shared" si="496"/>
        <v>0</v>
      </c>
      <c r="H1137" s="15"/>
      <c r="I1137" s="14"/>
      <c r="J1137" s="14"/>
      <c r="K1137" s="14"/>
      <c r="L1137" s="14">
        <f t="shared" si="497"/>
        <v>0</v>
      </c>
      <c r="M1137" s="62">
        <f t="shared" si="498"/>
        <v>0</v>
      </c>
      <c r="N1137" s="14"/>
      <c r="O1137" s="38"/>
      <c r="P1137" s="15">
        <v>3770</v>
      </c>
      <c r="Q1137" s="241"/>
      <c r="R1137" s="38"/>
      <c r="S1137" s="38"/>
      <c r="T1137" s="38"/>
      <c r="U1137" s="38"/>
      <c r="V1137" s="38"/>
      <c r="W1137" s="38"/>
      <c r="X1137" s="167"/>
    </row>
    <row r="1138" spans="1:31" ht="15.75" customHeight="1" x14ac:dyDescent="0.25">
      <c r="A1138" s="3"/>
      <c r="B1138" s="3"/>
      <c r="C1138" s="13" t="s">
        <v>1058</v>
      </c>
      <c r="D1138" s="14"/>
      <c r="E1138" s="14"/>
      <c r="F1138" s="14"/>
      <c r="G1138" s="61">
        <f t="shared" si="496"/>
        <v>0</v>
      </c>
      <c r="H1138" s="15"/>
      <c r="I1138" s="14"/>
      <c r="J1138" s="14"/>
      <c r="K1138" s="14"/>
      <c r="L1138" s="14">
        <f t="shared" si="497"/>
        <v>0</v>
      </c>
      <c r="M1138" s="62">
        <f t="shared" si="498"/>
        <v>0</v>
      </c>
      <c r="N1138" s="14"/>
      <c r="O1138" s="38"/>
      <c r="P1138" s="15">
        <v>20000</v>
      </c>
      <c r="Q1138" s="241"/>
      <c r="R1138" s="38"/>
      <c r="S1138" s="38"/>
      <c r="T1138" s="38"/>
      <c r="U1138" s="38"/>
      <c r="V1138" s="38"/>
      <c r="W1138" s="38"/>
      <c r="X1138" s="167"/>
    </row>
    <row r="1139" spans="1:31" ht="15.75" customHeight="1" x14ac:dyDescent="0.25">
      <c r="C1139" s="40"/>
      <c r="D1139" s="89">
        <f t="shared" ref="D1139:F1139" si="499">SUM(D1122:D1132)</f>
        <v>195011</v>
      </c>
      <c r="E1139" s="89">
        <f t="shared" si="499"/>
        <v>95632</v>
      </c>
      <c r="F1139" s="89">
        <f t="shared" si="499"/>
        <v>5400</v>
      </c>
      <c r="G1139" s="27">
        <f t="shared" si="495"/>
        <v>296043</v>
      </c>
      <c r="H1139" s="89">
        <f>SUM(H1122:H1138)</f>
        <v>7011</v>
      </c>
      <c r="I1139" s="89">
        <f>SUM(I1122:I1138)</f>
        <v>181947</v>
      </c>
      <c r="J1139" s="89">
        <f>SUM(J1122:J1138)</f>
        <v>147054</v>
      </c>
      <c r="K1139" s="89">
        <f>SUM(K1122:K1138)</f>
        <v>0</v>
      </c>
      <c r="L1139" s="89">
        <f t="shared" si="492"/>
        <v>329001</v>
      </c>
      <c r="M1139" s="28">
        <f t="shared" si="493"/>
        <v>32958</v>
      </c>
      <c r="N1139" s="89">
        <f t="shared" ref="N1139:X1139" si="500">SUM(N1122:N1138)</f>
        <v>276697</v>
      </c>
      <c r="O1139" s="89">
        <f t="shared" si="500"/>
        <v>1500</v>
      </c>
      <c r="P1139" s="89">
        <f t="shared" si="500"/>
        <v>32097</v>
      </c>
      <c r="Q1139" s="246">
        <f t="shared" si="500"/>
        <v>0</v>
      </c>
      <c r="R1139" s="89">
        <f t="shared" si="500"/>
        <v>0</v>
      </c>
      <c r="S1139" s="89">
        <f t="shared" si="500"/>
        <v>0</v>
      </c>
      <c r="T1139" s="89">
        <f t="shared" si="500"/>
        <v>30000</v>
      </c>
      <c r="U1139" s="89">
        <f t="shared" si="500"/>
        <v>0</v>
      </c>
      <c r="V1139" s="89">
        <f t="shared" si="500"/>
        <v>0</v>
      </c>
      <c r="W1139" s="89">
        <f t="shared" si="500"/>
        <v>0</v>
      </c>
      <c r="X1139" s="89">
        <f t="shared" si="500"/>
        <v>0</v>
      </c>
    </row>
    <row r="1140" spans="1:31" ht="15.75" customHeight="1" x14ac:dyDescent="0.25">
      <c r="A1140" t="s">
        <v>462</v>
      </c>
      <c r="B1140" s="32" t="s">
        <v>136</v>
      </c>
      <c r="C1140" s="32" t="s">
        <v>136</v>
      </c>
      <c r="D1140" s="74">
        <v>49112</v>
      </c>
      <c r="E1140" s="74">
        <v>76438</v>
      </c>
      <c r="F1140" s="74">
        <v>7500</v>
      </c>
      <c r="G1140" s="61">
        <f t="shared" si="495"/>
        <v>133050</v>
      </c>
      <c r="H1140" s="15">
        <v>12563</v>
      </c>
      <c r="I1140" s="74">
        <v>49112</v>
      </c>
      <c r="J1140" s="74">
        <v>83413</v>
      </c>
      <c r="K1140" s="74">
        <v>800</v>
      </c>
      <c r="L1140" s="14">
        <f t="shared" si="492"/>
        <v>133325</v>
      </c>
      <c r="M1140" s="62">
        <f t="shared" si="493"/>
        <v>275</v>
      </c>
      <c r="N1140" s="90"/>
      <c r="O1140" s="102"/>
      <c r="P1140" s="90"/>
      <c r="Q1140" s="247"/>
      <c r="R1140" s="102"/>
      <c r="S1140" s="102"/>
      <c r="T1140" s="102"/>
      <c r="U1140" s="102"/>
      <c r="V1140" s="102"/>
      <c r="W1140" s="102"/>
      <c r="X1140" s="179"/>
    </row>
    <row r="1141" spans="1:31" ht="15.75" customHeight="1" x14ac:dyDescent="0.25">
      <c r="A1141" t="s">
        <v>462</v>
      </c>
      <c r="B1141" s="32" t="s">
        <v>136</v>
      </c>
      <c r="C1141" s="13" t="s">
        <v>400</v>
      </c>
      <c r="D1141" s="14">
        <v>60554</v>
      </c>
      <c r="E1141" s="14"/>
      <c r="F1141" s="14"/>
      <c r="G1141" s="61">
        <f t="shared" si="495"/>
        <v>60554</v>
      </c>
      <c r="H1141" s="15"/>
      <c r="I1141" s="14">
        <v>44464</v>
      </c>
      <c r="J1141" s="30"/>
      <c r="K1141" s="30"/>
      <c r="L1141" s="14">
        <f t="shared" si="492"/>
        <v>44464</v>
      </c>
      <c r="M1141" s="62">
        <f t="shared" si="493"/>
        <v>-16090</v>
      </c>
      <c r="N1141" s="15"/>
      <c r="O1141" s="38"/>
      <c r="P1141" s="15"/>
      <c r="Q1141" s="241"/>
      <c r="R1141" s="38"/>
      <c r="S1141" s="38"/>
      <c r="T1141" s="38"/>
      <c r="U1141" s="38"/>
      <c r="V1141" s="38"/>
      <c r="W1141" s="38"/>
      <c r="X1141" s="167"/>
      <c r="Y1141" s="279"/>
      <c r="Z1141" s="3"/>
      <c r="AA1141" s="3"/>
      <c r="AB1141" s="3"/>
      <c r="AC1141" s="3"/>
      <c r="AD1141" s="3"/>
      <c r="AE1141" s="3"/>
    </row>
    <row r="1142" spans="1:31" ht="15.75" customHeight="1" x14ac:dyDescent="0.25">
      <c r="A1142" t="s">
        <v>462</v>
      </c>
      <c r="B1142" s="32" t="s">
        <v>136</v>
      </c>
      <c r="C1142" s="13" t="s">
        <v>401</v>
      </c>
      <c r="D1142" s="14"/>
      <c r="E1142" s="14"/>
      <c r="F1142" s="14"/>
      <c r="G1142" s="61">
        <f t="shared" si="495"/>
        <v>0</v>
      </c>
      <c r="H1142" s="15"/>
      <c r="I1142" s="14"/>
      <c r="J1142" s="14"/>
      <c r="K1142" s="14"/>
      <c r="L1142" s="14">
        <f t="shared" si="492"/>
        <v>0</v>
      </c>
      <c r="M1142" s="62">
        <f t="shared" si="493"/>
        <v>0</v>
      </c>
      <c r="N1142" s="14">
        <v>82860</v>
      </c>
      <c r="O1142" s="38"/>
      <c r="P1142" s="15"/>
      <c r="Q1142" s="241"/>
      <c r="R1142" s="38"/>
      <c r="S1142" s="38"/>
      <c r="T1142" s="38"/>
      <c r="U1142" s="38"/>
      <c r="V1142" s="38"/>
      <c r="W1142" s="38"/>
      <c r="X1142" s="167"/>
      <c r="Y1142" s="279"/>
      <c r="Z1142" s="3"/>
      <c r="AA1142" s="3"/>
      <c r="AB1142" s="3"/>
      <c r="AC1142" s="3"/>
      <c r="AD1142" s="3"/>
      <c r="AE1142" s="3"/>
    </row>
    <row r="1143" spans="1:31" ht="15.75" customHeight="1" x14ac:dyDescent="0.25">
      <c r="C1143" s="13" t="s">
        <v>479</v>
      </c>
      <c r="D1143" s="14"/>
      <c r="E1143" s="14"/>
      <c r="F1143" s="14"/>
      <c r="G1143" s="61">
        <f t="shared" si="495"/>
        <v>0</v>
      </c>
      <c r="H1143" s="15"/>
      <c r="I1143" s="14"/>
      <c r="J1143" s="14"/>
      <c r="K1143" s="14"/>
      <c r="L1143" s="14">
        <f t="shared" si="492"/>
        <v>0</v>
      </c>
      <c r="M1143" s="62">
        <f t="shared" si="493"/>
        <v>0</v>
      </c>
      <c r="N1143" s="45">
        <v>818</v>
      </c>
      <c r="O1143" s="38"/>
      <c r="P1143" s="15"/>
      <c r="Q1143" s="241"/>
      <c r="R1143" s="38"/>
      <c r="S1143" s="38"/>
      <c r="T1143" s="38"/>
      <c r="U1143" s="38"/>
      <c r="V1143" s="38"/>
      <c r="W1143" s="38"/>
      <c r="X1143" s="167"/>
    </row>
    <row r="1144" spans="1:31" ht="15.75" customHeight="1" x14ac:dyDescent="0.25">
      <c r="A1144" t="s">
        <v>462</v>
      </c>
      <c r="B1144" s="32" t="s">
        <v>136</v>
      </c>
      <c r="C1144" s="13" t="s">
        <v>480</v>
      </c>
      <c r="D1144" s="14"/>
      <c r="E1144" s="14"/>
      <c r="F1144" s="14"/>
      <c r="G1144" s="61">
        <f t="shared" si="495"/>
        <v>0</v>
      </c>
      <c r="H1144" s="15"/>
      <c r="I1144" s="14"/>
      <c r="J1144" s="14"/>
      <c r="K1144" s="14"/>
      <c r="L1144" s="14">
        <f t="shared" si="492"/>
        <v>0</v>
      </c>
      <c r="M1144" s="62">
        <f t="shared" si="493"/>
        <v>0</v>
      </c>
      <c r="N1144" s="15"/>
      <c r="O1144" s="38"/>
      <c r="P1144" s="15"/>
      <c r="Q1144" s="241"/>
      <c r="R1144" s="38"/>
      <c r="S1144" s="38"/>
      <c r="T1144" s="38"/>
      <c r="U1144" s="38"/>
      <c r="V1144" s="38"/>
      <c r="W1144" s="38"/>
      <c r="X1144" s="167"/>
    </row>
    <row r="1145" spans="1:31" ht="15.75" customHeight="1" x14ac:dyDescent="0.25">
      <c r="A1145" t="s">
        <v>462</v>
      </c>
      <c r="B1145" s="32" t="s">
        <v>136</v>
      </c>
      <c r="C1145" s="13" t="s">
        <v>481</v>
      </c>
      <c r="D1145" s="18"/>
      <c r="E1145" s="18"/>
      <c r="F1145" s="18"/>
      <c r="G1145" s="61">
        <f t="shared" si="495"/>
        <v>0</v>
      </c>
      <c r="H1145" s="15"/>
      <c r="I1145" s="18"/>
      <c r="J1145" s="18"/>
      <c r="K1145" s="18"/>
      <c r="L1145" s="14">
        <f t="shared" si="492"/>
        <v>0</v>
      </c>
      <c r="M1145" s="62">
        <f t="shared" si="493"/>
        <v>0</v>
      </c>
      <c r="N1145" s="19"/>
      <c r="O1145" s="168"/>
      <c r="P1145" s="19"/>
      <c r="Q1145" s="242"/>
      <c r="R1145" s="168"/>
      <c r="S1145" s="168"/>
      <c r="T1145" s="168"/>
      <c r="U1145" s="38">
        <v>36992</v>
      </c>
      <c r="V1145" s="168"/>
      <c r="W1145" s="168">
        <v>36992</v>
      </c>
      <c r="X1145" s="169"/>
      <c r="Y1145" s="280"/>
      <c r="Z1145" s="18"/>
      <c r="AA1145" s="16"/>
      <c r="AB1145" s="16"/>
      <c r="AC1145" s="16"/>
      <c r="AD1145" s="16"/>
      <c r="AE1145" s="16"/>
    </row>
    <row r="1146" spans="1:31" ht="15.75" customHeight="1" x14ac:dyDescent="0.25">
      <c r="A1146" s="3"/>
      <c r="B1146" s="3"/>
      <c r="C1146" s="233" t="s">
        <v>231</v>
      </c>
      <c r="D1146" s="14"/>
      <c r="E1146" s="14"/>
      <c r="F1146" s="14"/>
      <c r="G1146" s="61">
        <f t="shared" ref="G1146:G1155" si="501">SUM(D1146:F1146)</f>
        <v>0</v>
      </c>
      <c r="H1146" s="15"/>
      <c r="I1146" s="14"/>
      <c r="J1146" s="14"/>
      <c r="K1146" s="14"/>
      <c r="L1146" s="14">
        <f t="shared" ref="L1146:L1155" si="502">SUM(I1146:K1146)</f>
        <v>0</v>
      </c>
      <c r="M1146" s="62">
        <f t="shared" ref="M1146:M1155" si="503">(L1146-G1146)</f>
        <v>0</v>
      </c>
      <c r="N1146" s="14"/>
      <c r="O1146" s="38"/>
      <c r="P1146" s="15"/>
      <c r="Q1146" s="241"/>
      <c r="R1146" s="38"/>
      <c r="S1146" s="38"/>
      <c r="T1146" s="38"/>
      <c r="U1146" s="38"/>
      <c r="V1146" s="38"/>
      <c r="W1146" s="38"/>
      <c r="X1146" s="167"/>
      <c r="Y1146" s="280"/>
      <c r="Z1146" s="18"/>
      <c r="AA1146" s="16"/>
      <c r="AB1146" s="16"/>
      <c r="AC1146" s="16"/>
      <c r="AD1146" s="16"/>
      <c r="AE1146" s="16"/>
    </row>
    <row r="1147" spans="1:31" ht="15.75" customHeight="1" x14ac:dyDescent="0.25">
      <c r="A1147" s="3"/>
      <c r="B1147" s="3"/>
      <c r="C1147" s="13" t="s">
        <v>1059</v>
      </c>
      <c r="D1147" s="14"/>
      <c r="E1147" s="14"/>
      <c r="F1147" s="14"/>
      <c r="G1147" s="61">
        <f t="shared" si="501"/>
        <v>0</v>
      </c>
      <c r="H1147" s="15"/>
      <c r="I1147" s="14"/>
      <c r="J1147" s="14"/>
      <c r="K1147" s="14"/>
      <c r="L1147" s="14">
        <f t="shared" si="502"/>
        <v>0</v>
      </c>
      <c r="M1147" s="62">
        <f t="shared" si="503"/>
        <v>0</v>
      </c>
      <c r="N1147" s="14"/>
      <c r="O1147" s="38"/>
      <c r="P1147" s="15">
        <v>1050</v>
      </c>
      <c r="Q1147" s="241"/>
      <c r="R1147" s="38"/>
      <c r="S1147" s="38"/>
      <c r="T1147" s="38"/>
      <c r="U1147" s="38"/>
      <c r="V1147" s="38"/>
      <c r="W1147" s="38"/>
      <c r="X1147" s="167"/>
      <c r="Y1147" s="280"/>
      <c r="Z1147" s="18"/>
      <c r="AA1147" s="16"/>
      <c r="AB1147" s="16"/>
      <c r="AC1147" s="16"/>
      <c r="AD1147" s="16"/>
      <c r="AE1147" s="16"/>
    </row>
    <row r="1148" spans="1:31" ht="15.75" customHeight="1" x14ac:dyDescent="0.25">
      <c r="A1148" s="3"/>
      <c r="B1148" s="3"/>
      <c r="C1148" s="13" t="s">
        <v>1060</v>
      </c>
      <c r="D1148" s="14"/>
      <c r="E1148" s="14"/>
      <c r="F1148" s="14"/>
      <c r="G1148" s="61">
        <f t="shared" si="501"/>
        <v>0</v>
      </c>
      <c r="H1148" s="15"/>
      <c r="I1148" s="14"/>
      <c r="J1148" s="14"/>
      <c r="K1148" s="14"/>
      <c r="L1148" s="14">
        <f t="shared" si="502"/>
        <v>0</v>
      </c>
      <c r="M1148" s="62">
        <f t="shared" si="503"/>
        <v>0</v>
      </c>
      <c r="N1148" s="14"/>
      <c r="O1148" s="38"/>
      <c r="P1148" s="310">
        <v>2000</v>
      </c>
      <c r="Q1148" s="241"/>
      <c r="R1148" s="38"/>
      <c r="S1148" s="38"/>
      <c r="T1148" s="38"/>
      <c r="U1148" s="38"/>
      <c r="V1148" s="38"/>
      <c r="W1148" s="38"/>
      <c r="X1148" s="167"/>
      <c r="Y1148" s="280" t="s">
        <v>910</v>
      </c>
      <c r="Z1148" s="18"/>
      <c r="AA1148" s="16"/>
      <c r="AB1148" s="16"/>
      <c r="AC1148" s="16"/>
      <c r="AD1148" s="16"/>
      <c r="AE1148" s="16"/>
    </row>
    <row r="1149" spans="1:31" ht="15.75" customHeight="1" x14ac:dyDescent="0.25">
      <c r="A1149" s="3"/>
      <c r="B1149" s="3"/>
      <c r="C1149" s="13" t="s">
        <v>1061</v>
      </c>
      <c r="D1149" s="14"/>
      <c r="E1149" s="14"/>
      <c r="F1149" s="14"/>
      <c r="G1149" s="61">
        <f t="shared" si="501"/>
        <v>0</v>
      </c>
      <c r="H1149" s="15"/>
      <c r="I1149" s="14"/>
      <c r="J1149" s="14"/>
      <c r="K1149" s="14"/>
      <c r="L1149" s="14">
        <f t="shared" si="502"/>
        <v>0</v>
      </c>
      <c r="M1149" s="62">
        <f t="shared" si="503"/>
        <v>0</v>
      </c>
      <c r="N1149" s="14"/>
      <c r="O1149" s="38"/>
      <c r="P1149" s="15">
        <v>4500</v>
      </c>
      <c r="Q1149" s="241"/>
      <c r="R1149" s="38"/>
      <c r="S1149" s="38"/>
      <c r="T1149" s="38"/>
      <c r="U1149" s="38"/>
      <c r="V1149" s="38"/>
      <c r="W1149" s="38"/>
      <c r="X1149" s="167"/>
      <c r="Y1149" s="280"/>
      <c r="Z1149" s="18"/>
      <c r="AA1149" s="16"/>
      <c r="AB1149" s="16"/>
      <c r="AC1149" s="16"/>
      <c r="AD1149" s="16"/>
      <c r="AE1149" s="16"/>
    </row>
    <row r="1150" spans="1:31" ht="15.75" customHeight="1" x14ac:dyDescent="0.25">
      <c r="A1150" s="3"/>
      <c r="B1150" s="3"/>
      <c r="C1150" s="13" t="s">
        <v>1062</v>
      </c>
      <c r="D1150" s="14"/>
      <c r="E1150" s="14"/>
      <c r="F1150" s="14"/>
      <c r="G1150" s="61">
        <f t="shared" si="501"/>
        <v>0</v>
      </c>
      <c r="H1150" s="15"/>
      <c r="I1150" s="14"/>
      <c r="J1150" s="14"/>
      <c r="K1150" s="14"/>
      <c r="L1150" s="14">
        <f t="shared" si="502"/>
        <v>0</v>
      </c>
      <c r="M1150" s="62">
        <f t="shared" si="503"/>
        <v>0</v>
      </c>
      <c r="N1150" s="14"/>
      <c r="O1150" s="38"/>
      <c r="P1150" s="15">
        <v>680</v>
      </c>
      <c r="Q1150" s="241"/>
      <c r="R1150" s="38"/>
      <c r="S1150" s="38"/>
      <c r="T1150" s="38"/>
      <c r="U1150" s="38"/>
      <c r="V1150" s="38"/>
      <c r="W1150" s="38"/>
      <c r="X1150" s="167"/>
      <c r="Y1150" s="280"/>
      <c r="Z1150" s="18"/>
      <c r="AA1150" s="16"/>
      <c r="AB1150" s="16"/>
      <c r="AC1150" s="16"/>
      <c r="AD1150" s="16"/>
      <c r="AE1150" s="16"/>
    </row>
    <row r="1151" spans="1:31" ht="15.75" customHeight="1" x14ac:dyDescent="0.25">
      <c r="A1151" s="3"/>
      <c r="B1151" s="3"/>
      <c r="C1151" s="13" t="s">
        <v>1063</v>
      </c>
      <c r="D1151" s="14"/>
      <c r="E1151" s="14"/>
      <c r="F1151" s="14"/>
      <c r="G1151" s="61">
        <f t="shared" si="501"/>
        <v>0</v>
      </c>
      <c r="H1151" s="15"/>
      <c r="I1151" s="14"/>
      <c r="J1151" s="14"/>
      <c r="K1151" s="14"/>
      <c r="L1151" s="14">
        <f t="shared" si="502"/>
        <v>0</v>
      </c>
      <c r="M1151" s="62">
        <f t="shared" si="503"/>
        <v>0</v>
      </c>
      <c r="N1151" s="14"/>
      <c r="O1151" s="38"/>
      <c r="P1151" s="15">
        <v>2000</v>
      </c>
      <c r="Q1151" s="241"/>
      <c r="R1151" s="38"/>
      <c r="S1151" s="38"/>
      <c r="T1151" s="38"/>
      <c r="U1151" s="38"/>
      <c r="V1151" s="38"/>
      <c r="W1151" s="38"/>
      <c r="X1151" s="167"/>
      <c r="Y1151" s="280"/>
      <c r="Z1151" s="18"/>
      <c r="AA1151" s="16"/>
      <c r="AB1151" s="16"/>
      <c r="AC1151" s="16"/>
      <c r="AD1151" s="16"/>
      <c r="AE1151" s="16"/>
    </row>
    <row r="1152" spans="1:31" ht="15.75" customHeight="1" x14ac:dyDescent="0.25">
      <c r="A1152" s="3"/>
      <c r="B1152" s="3"/>
      <c r="C1152" s="13" t="s">
        <v>1064</v>
      </c>
      <c r="D1152" s="14"/>
      <c r="E1152" s="14"/>
      <c r="F1152" s="14"/>
      <c r="G1152" s="61">
        <f t="shared" si="501"/>
        <v>0</v>
      </c>
      <c r="H1152" s="15"/>
      <c r="I1152" s="14"/>
      <c r="J1152" s="14"/>
      <c r="K1152" s="14"/>
      <c r="L1152" s="14">
        <f t="shared" si="502"/>
        <v>0</v>
      </c>
      <c r="M1152" s="62">
        <f t="shared" si="503"/>
        <v>0</v>
      </c>
      <c r="N1152" s="14"/>
      <c r="O1152" s="38"/>
      <c r="P1152" s="15">
        <v>3200</v>
      </c>
      <c r="Q1152" s="241"/>
      <c r="R1152" s="38"/>
      <c r="S1152" s="38"/>
      <c r="T1152" s="38"/>
      <c r="U1152" s="38"/>
      <c r="V1152" s="38"/>
      <c r="W1152" s="38"/>
      <c r="X1152" s="167"/>
      <c r="Y1152" s="280"/>
      <c r="Z1152" s="18"/>
      <c r="AA1152" s="16"/>
      <c r="AB1152" s="16"/>
      <c r="AC1152" s="16"/>
      <c r="AD1152" s="16"/>
      <c r="AE1152" s="16"/>
    </row>
    <row r="1153" spans="1:31" ht="15.75" customHeight="1" x14ac:dyDescent="0.25">
      <c r="A1153" s="3"/>
      <c r="B1153" s="3"/>
      <c r="C1153" s="13" t="s">
        <v>416</v>
      </c>
      <c r="D1153" s="14"/>
      <c r="E1153" s="14"/>
      <c r="F1153" s="14"/>
      <c r="G1153" s="61">
        <f t="shared" si="501"/>
        <v>0</v>
      </c>
      <c r="H1153" s="15"/>
      <c r="I1153" s="14"/>
      <c r="J1153" s="14"/>
      <c r="K1153" s="14"/>
      <c r="L1153" s="14">
        <f t="shared" si="502"/>
        <v>0</v>
      </c>
      <c r="M1153" s="62">
        <f t="shared" si="503"/>
        <v>0</v>
      </c>
      <c r="N1153" s="14"/>
      <c r="O1153" s="38"/>
      <c r="P1153" s="15">
        <v>1500</v>
      </c>
      <c r="Q1153" s="241"/>
      <c r="R1153" s="38"/>
      <c r="S1153" s="38"/>
      <c r="T1153" s="38"/>
      <c r="U1153" s="38"/>
      <c r="V1153" s="38"/>
      <c r="W1153" s="38"/>
      <c r="X1153" s="167"/>
      <c r="Y1153" s="280"/>
      <c r="Z1153" s="18"/>
      <c r="AA1153" s="16"/>
      <c r="AB1153" s="16"/>
      <c r="AC1153" s="16"/>
      <c r="AD1153" s="16"/>
      <c r="AE1153" s="16"/>
    </row>
    <row r="1154" spans="1:31" ht="15.75" customHeight="1" x14ac:dyDescent="0.25">
      <c r="A1154" s="3"/>
      <c r="B1154" s="3"/>
      <c r="C1154" s="13" t="s">
        <v>1065</v>
      </c>
      <c r="D1154" s="14"/>
      <c r="E1154" s="14"/>
      <c r="F1154" s="14"/>
      <c r="G1154" s="61">
        <f t="shared" si="501"/>
        <v>0</v>
      </c>
      <c r="H1154" s="15"/>
      <c r="I1154" s="14"/>
      <c r="J1154" s="14"/>
      <c r="K1154" s="14"/>
      <c r="L1154" s="14">
        <f t="shared" si="502"/>
        <v>0</v>
      </c>
      <c r="M1154" s="62">
        <f t="shared" si="503"/>
        <v>0</v>
      </c>
      <c r="N1154" s="14"/>
      <c r="O1154" s="38"/>
      <c r="P1154" s="15">
        <v>1380</v>
      </c>
      <c r="Q1154" s="241"/>
      <c r="R1154" s="38"/>
      <c r="S1154" s="38"/>
      <c r="T1154" s="38"/>
      <c r="U1154" s="38"/>
      <c r="V1154" s="38"/>
      <c r="W1154" s="38"/>
      <c r="X1154" s="167"/>
      <c r="Y1154" s="280"/>
      <c r="Z1154" s="18"/>
      <c r="AA1154" s="16"/>
      <c r="AB1154" s="16"/>
      <c r="AC1154" s="16"/>
      <c r="AD1154" s="16"/>
      <c r="AE1154" s="16"/>
    </row>
    <row r="1155" spans="1:31" ht="15.75" customHeight="1" x14ac:dyDescent="0.25">
      <c r="A1155" s="3"/>
      <c r="B1155" s="3"/>
      <c r="C1155" s="13" t="s">
        <v>1066</v>
      </c>
      <c r="D1155" s="14"/>
      <c r="E1155" s="14"/>
      <c r="F1155" s="14"/>
      <c r="G1155" s="61">
        <f t="shared" si="501"/>
        <v>0</v>
      </c>
      <c r="H1155" s="15"/>
      <c r="I1155" s="14"/>
      <c r="J1155" s="14"/>
      <c r="K1155" s="14"/>
      <c r="L1155" s="14">
        <f t="shared" si="502"/>
        <v>0</v>
      </c>
      <c r="M1155" s="62">
        <f t="shared" si="503"/>
        <v>0</v>
      </c>
      <c r="N1155" s="14"/>
      <c r="O1155" s="38"/>
      <c r="P1155" s="15">
        <v>2300</v>
      </c>
      <c r="Q1155" s="241"/>
      <c r="R1155" s="38"/>
      <c r="S1155" s="38"/>
      <c r="T1155" s="38"/>
      <c r="U1155" s="38"/>
      <c r="V1155" s="38"/>
      <c r="W1155" s="38"/>
      <c r="X1155" s="167"/>
      <c r="Y1155" s="280"/>
      <c r="Z1155" s="18"/>
      <c r="AA1155" s="16"/>
      <c r="AB1155" s="16"/>
      <c r="AC1155" s="16"/>
      <c r="AD1155" s="16"/>
      <c r="AE1155" s="16"/>
    </row>
    <row r="1156" spans="1:31" ht="15.75" customHeight="1" x14ac:dyDescent="0.25">
      <c r="C1156" s="40"/>
      <c r="D1156" s="89">
        <f t="shared" ref="D1156:F1156" si="504">SUM(D1140:D1145)</f>
        <v>109666</v>
      </c>
      <c r="E1156" s="89">
        <f t="shared" si="504"/>
        <v>76438</v>
      </c>
      <c r="F1156" s="89">
        <f t="shared" si="504"/>
        <v>7500</v>
      </c>
      <c r="G1156" s="27">
        <f t="shared" si="495"/>
        <v>193604</v>
      </c>
      <c r="H1156" s="89">
        <f>SUM(H1140:H1155)</f>
        <v>12563</v>
      </c>
      <c r="I1156" s="89">
        <f>SUM(I1140:I1155)</f>
        <v>93576</v>
      </c>
      <c r="J1156" s="89">
        <f>SUM(J1140:J1155)</f>
        <v>83413</v>
      </c>
      <c r="K1156" s="89">
        <f>SUM(K1140:K1155)</f>
        <v>800</v>
      </c>
      <c r="L1156" s="89">
        <f t="shared" si="492"/>
        <v>177789</v>
      </c>
      <c r="M1156" s="28">
        <f t="shared" si="493"/>
        <v>-15815</v>
      </c>
      <c r="N1156" s="89">
        <f t="shared" ref="N1156:X1156" si="505">SUM(N1140:N1155)</f>
        <v>83678</v>
      </c>
      <c r="O1156" s="89">
        <f t="shared" si="505"/>
        <v>0</v>
      </c>
      <c r="P1156" s="89">
        <f t="shared" si="505"/>
        <v>18610</v>
      </c>
      <c r="Q1156" s="246">
        <f t="shared" si="505"/>
        <v>0</v>
      </c>
      <c r="R1156" s="89">
        <f t="shared" si="505"/>
        <v>0</v>
      </c>
      <c r="S1156" s="89">
        <f t="shared" si="505"/>
        <v>0</v>
      </c>
      <c r="T1156" s="89">
        <f t="shared" si="505"/>
        <v>0</v>
      </c>
      <c r="U1156" s="89">
        <f t="shared" si="505"/>
        <v>36992</v>
      </c>
      <c r="V1156" s="89">
        <f t="shared" si="505"/>
        <v>0</v>
      </c>
      <c r="W1156" s="89">
        <f t="shared" si="505"/>
        <v>36992</v>
      </c>
      <c r="X1156" s="89">
        <f t="shared" si="505"/>
        <v>0</v>
      </c>
    </row>
    <row r="1157" spans="1:31" ht="15.75" customHeight="1" x14ac:dyDescent="0.25">
      <c r="C1157" s="58"/>
      <c r="D1157" s="14">
        <f>(D1156+D1139+D1121+D1109+D1099+D1093+E1076)</f>
        <v>675702</v>
      </c>
      <c r="E1157" s="14">
        <f>(E1156+E1139+E1121+E1109+E1099+E1093+F1076)</f>
        <v>309232</v>
      </c>
      <c r="F1157" s="14">
        <f>(F1156+F1139+F1121+F1109+F1099+F1093+G1076)</f>
        <v>18470</v>
      </c>
      <c r="G1157" s="14">
        <f>(G1156+G1139+G1121+G1109+G1099+G1093)</f>
        <v>1003404</v>
      </c>
      <c r="H1157" s="15"/>
      <c r="I1157" s="14">
        <f>(I1156+I1139+I1121+I1109+I1099+I1093)</f>
        <v>687367</v>
      </c>
      <c r="J1157" s="14">
        <f>(J1156+J1139+J1121+J1109+J1099+J1093)</f>
        <v>443801</v>
      </c>
      <c r="K1157" s="14">
        <f>(K1156+K1139+K1121+K1109+K1099+K1093)</f>
        <v>2095</v>
      </c>
      <c r="L1157" s="89">
        <f t="shared" si="492"/>
        <v>1133263</v>
      </c>
      <c r="M1157" s="62">
        <f t="shared" si="493"/>
        <v>129859</v>
      </c>
      <c r="N1157" s="14"/>
      <c r="O1157" s="38"/>
      <c r="P1157" s="15"/>
      <c r="Q1157" s="241"/>
      <c r="R1157" s="38"/>
      <c r="S1157" s="38"/>
      <c r="T1157" s="38"/>
      <c r="U1157" s="38"/>
      <c r="V1157" s="38"/>
      <c r="W1157" s="38"/>
      <c r="X1157" s="38"/>
    </row>
    <row r="1158" spans="1:31" ht="15.75" customHeight="1" x14ac:dyDescent="0.25">
      <c r="C1158" s="58"/>
      <c r="D1158" s="14"/>
      <c r="E1158" s="14"/>
      <c r="F1158" s="14"/>
      <c r="G1158" s="61"/>
      <c r="H1158" s="15"/>
      <c r="I1158" s="14"/>
      <c r="J1158" s="14"/>
      <c r="K1158" s="14"/>
      <c r="L1158" s="14"/>
      <c r="M1158" s="62"/>
      <c r="N1158" s="14"/>
      <c r="O1158" s="38"/>
      <c r="P1158" s="15"/>
      <c r="Q1158" s="241"/>
      <c r="R1158" s="38"/>
      <c r="S1158" s="38"/>
      <c r="T1158" s="38"/>
      <c r="U1158" s="38"/>
      <c r="V1158" s="38"/>
      <c r="W1158" s="38"/>
      <c r="X1158" s="38"/>
    </row>
    <row r="1159" spans="1:31" ht="15.75" customHeight="1" x14ac:dyDescent="0.25">
      <c r="A1159" t="s">
        <v>140</v>
      </c>
      <c r="B1159" s="32" t="s">
        <v>141</v>
      </c>
      <c r="C1159" s="135" t="s">
        <v>141</v>
      </c>
      <c r="D1159" s="126">
        <v>176812</v>
      </c>
      <c r="E1159" s="126">
        <v>188384</v>
      </c>
      <c r="F1159" s="126"/>
      <c r="G1159" s="125">
        <f t="shared" ref="G1159:G1165" si="506">SUM(D1159:F1159)</f>
        <v>365196</v>
      </c>
      <c r="H1159" s="137">
        <v>35211</v>
      </c>
      <c r="I1159" s="156">
        <v>176812</v>
      </c>
      <c r="J1159" s="156">
        <v>240587</v>
      </c>
      <c r="K1159" s="156"/>
      <c r="L1159" s="126">
        <f t="shared" ref="L1159:L1176" si="507">SUM(I1159:K1159)</f>
        <v>417399</v>
      </c>
      <c r="M1159" s="127">
        <f t="shared" ref="M1159:M1176" si="508">(L1159-G1159)</f>
        <v>52203</v>
      </c>
      <c r="N1159" s="137"/>
      <c r="O1159" s="180"/>
      <c r="P1159" s="137"/>
      <c r="Q1159" s="248"/>
      <c r="R1159" s="180"/>
      <c r="S1159" s="180"/>
      <c r="T1159" s="180"/>
      <c r="U1159" s="180"/>
      <c r="V1159" s="180"/>
      <c r="W1159" s="180"/>
      <c r="X1159" s="181"/>
    </row>
    <row r="1160" spans="1:31" ht="15.75" customHeight="1" x14ac:dyDescent="0.25">
      <c r="A1160" s="3"/>
      <c r="B1160" s="13"/>
      <c r="C1160" s="13" t="s">
        <v>1067</v>
      </c>
      <c r="D1160" s="14"/>
      <c r="E1160" s="14"/>
      <c r="F1160" s="14"/>
      <c r="G1160" s="61">
        <f>SUM(D1160:F1160)</f>
        <v>0</v>
      </c>
      <c r="H1160" s="15"/>
      <c r="I1160" s="14"/>
      <c r="J1160" s="14"/>
      <c r="K1160" s="14"/>
      <c r="L1160" s="14">
        <f>SUM(I1160:K1160)</f>
        <v>0</v>
      </c>
      <c r="M1160" s="62">
        <f>(L1160-G1160)</f>
        <v>0</v>
      </c>
      <c r="N1160" s="14"/>
      <c r="O1160" s="38"/>
      <c r="P1160" s="15"/>
      <c r="Q1160" s="241">
        <v>33318</v>
      </c>
      <c r="R1160" s="38"/>
      <c r="S1160" s="38"/>
      <c r="T1160" s="38"/>
      <c r="U1160" s="38"/>
      <c r="V1160" s="38"/>
      <c r="W1160" s="38"/>
      <c r="X1160" s="167"/>
      <c r="Y1160" s="277" t="s">
        <v>1068</v>
      </c>
    </row>
    <row r="1161" spans="1:31" ht="15.75" customHeight="1" x14ac:dyDescent="0.25">
      <c r="A1161" s="3"/>
      <c r="B1161" s="13"/>
      <c r="C1161" s="13" t="s">
        <v>487</v>
      </c>
      <c r="D1161" s="14"/>
      <c r="E1161" s="14"/>
      <c r="F1161" s="14"/>
      <c r="G1161" s="61">
        <f>SUM(D1161:F1161)</f>
        <v>0</v>
      </c>
      <c r="H1161" s="15"/>
      <c r="I1161" s="14"/>
      <c r="J1161" s="14"/>
      <c r="K1161" s="14"/>
      <c r="L1161" s="14">
        <f>SUM(I1161:K1161)</f>
        <v>0</v>
      </c>
      <c r="M1161" s="62">
        <f>(L1161-G1161)</f>
        <v>0</v>
      </c>
      <c r="N1161" s="14"/>
      <c r="O1161" s="38"/>
      <c r="P1161" s="15">
        <v>80000</v>
      </c>
      <c r="Q1161" s="241"/>
      <c r="R1161" s="38"/>
      <c r="S1161" s="38"/>
      <c r="T1161" s="38"/>
      <c r="U1161" s="38"/>
      <c r="V1161" s="38"/>
      <c r="W1161" s="38"/>
      <c r="X1161" s="167"/>
    </row>
    <row r="1162" spans="1:31" ht="15.75" customHeight="1" x14ac:dyDescent="0.25">
      <c r="A1162" s="3"/>
      <c r="B1162" s="13"/>
      <c r="C1162" s="13" t="s">
        <v>488</v>
      </c>
      <c r="D1162" s="14"/>
      <c r="E1162" s="14"/>
      <c r="F1162" s="14"/>
      <c r="G1162" s="61">
        <f>SUM(D1162:F1162)</f>
        <v>0</v>
      </c>
      <c r="H1162" s="15"/>
      <c r="I1162" s="14"/>
      <c r="J1162" s="14"/>
      <c r="K1162" s="14"/>
      <c r="L1162" s="14">
        <f>SUM(I1162:K1162)</f>
        <v>0</v>
      </c>
      <c r="M1162" s="62">
        <f>(L1162-G1162)</f>
        <v>0</v>
      </c>
      <c r="N1162" s="14"/>
      <c r="O1162" s="38"/>
      <c r="P1162" s="15">
        <v>150000</v>
      </c>
      <c r="Q1162" s="241"/>
      <c r="R1162" s="38"/>
      <c r="S1162" s="38"/>
      <c r="T1162" s="38"/>
      <c r="U1162" s="38"/>
      <c r="V1162" s="38"/>
      <c r="W1162" s="38"/>
      <c r="X1162" s="167"/>
      <c r="Y1162" s="277" t="s">
        <v>1069</v>
      </c>
    </row>
    <row r="1163" spans="1:31" ht="15.75" customHeight="1" x14ac:dyDescent="0.25">
      <c r="A1163" t="s">
        <v>140</v>
      </c>
      <c r="B1163" s="31" t="s">
        <v>143</v>
      </c>
      <c r="C1163" s="139" t="s">
        <v>143</v>
      </c>
      <c r="D1163" s="14">
        <v>32283</v>
      </c>
      <c r="E1163" s="14">
        <v>33989</v>
      </c>
      <c r="F1163" s="14"/>
      <c r="G1163" s="61">
        <f t="shared" si="506"/>
        <v>66272</v>
      </c>
      <c r="H1163" s="15">
        <f>37611-32365</f>
        <v>5246</v>
      </c>
      <c r="I1163" s="45">
        <v>32365</v>
      </c>
      <c r="J1163" s="45">
        <v>50181</v>
      </c>
      <c r="K1163" s="45"/>
      <c r="L1163" s="14">
        <f t="shared" si="507"/>
        <v>82546</v>
      </c>
      <c r="M1163" s="62">
        <f t="shared" si="508"/>
        <v>16274</v>
      </c>
      <c r="N1163" s="14"/>
      <c r="O1163" s="38"/>
      <c r="P1163" s="15"/>
      <c r="Q1163" s="241"/>
      <c r="R1163" s="38"/>
      <c r="S1163" s="38"/>
      <c r="T1163" s="38"/>
      <c r="U1163" s="38"/>
      <c r="V1163" s="38"/>
      <c r="W1163" s="38"/>
      <c r="X1163" s="176"/>
    </row>
    <row r="1164" spans="1:31" ht="15.75" customHeight="1" x14ac:dyDescent="0.25">
      <c r="A1164" t="s">
        <v>140</v>
      </c>
      <c r="B1164" s="31" t="s">
        <v>142</v>
      </c>
      <c r="C1164" s="139" t="s">
        <v>142</v>
      </c>
      <c r="D1164" s="14">
        <v>45877</v>
      </c>
      <c r="E1164" s="14">
        <v>43864</v>
      </c>
      <c r="F1164" s="14"/>
      <c r="G1164" s="61">
        <f t="shared" si="506"/>
        <v>89741</v>
      </c>
      <c r="H1164" s="15">
        <f>51097-45791</f>
        <v>5306</v>
      </c>
      <c r="I1164" s="45">
        <v>45791</v>
      </c>
      <c r="J1164" s="45">
        <v>56464</v>
      </c>
      <c r="K1164" s="45"/>
      <c r="L1164" s="14">
        <f t="shared" si="507"/>
        <v>102255</v>
      </c>
      <c r="M1164" s="62">
        <f t="shared" si="508"/>
        <v>12514</v>
      </c>
      <c r="N1164" s="14"/>
      <c r="O1164" s="38"/>
      <c r="P1164" s="15"/>
      <c r="Q1164" s="241"/>
      <c r="R1164" s="38"/>
      <c r="S1164" s="38"/>
      <c r="T1164" s="38"/>
      <c r="U1164" s="38"/>
      <c r="V1164" s="38"/>
      <c r="W1164" s="38"/>
      <c r="X1164" s="176"/>
    </row>
    <row r="1165" spans="1:31" ht="15.75" customHeight="1" x14ac:dyDescent="0.25">
      <c r="A1165" t="s">
        <v>140</v>
      </c>
      <c r="B1165" s="31" t="s">
        <v>145</v>
      </c>
      <c r="C1165" s="139" t="s">
        <v>489</v>
      </c>
      <c r="D1165" s="14"/>
      <c r="E1165" s="14">
        <v>2190</v>
      </c>
      <c r="F1165" s="14"/>
      <c r="G1165" s="61">
        <f t="shared" si="506"/>
        <v>2190</v>
      </c>
      <c r="H1165" s="15"/>
      <c r="I1165" s="45"/>
      <c r="J1165" s="45">
        <v>2972</v>
      </c>
      <c r="K1165" s="45"/>
      <c r="L1165" s="14">
        <f t="shared" si="507"/>
        <v>2972</v>
      </c>
      <c r="M1165" s="62">
        <f t="shared" si="508"/>
        <v>782</v>
      </c>
      <c r="N1165" s="14"/>
      <c r="O1165" s="38"/>
      <c r="P1165" s="15"/>
      <c r="Q1165" s="241"/>
      <c r="R1165" s="38"/>
      <c r="S1165" s="38"/>
      <c r="T1165" s="38"/>
      <c r="U1165" s="38"/>
      <c r="V1165" s="38"/>
      <c r="W1165" s="38"/>
      <c r="X1165" s="176"/>
    </row>
    <row r="1166" spans="1:31" ht="15.75" customHeight="1" x14ac:dyDescent="0.25">
      <c r="A1166" t="s">
        <v>140</v>
      </c>
      <c r="B1166" s="31" t="s">
        <v>144</v>
      </c>
      <c r="C1166" s="157" t="s">
        <v>490</v>
      </c>
      <c r="D1166" s="131"/>
      <c r="E1166" s="131">
        <v>3428</v>
      </c>
      <c r="F1166" s="131"/>
      <c r="G1166" s="132">
        <f t="shared" ref="G1166" si="509">SUM(D1166:F1166)</f>
        <v>3428</v>
      </c>
      <c r="H1166" s="134"/>
      <c r="I1166" s="154"/>
      <c r="J1166" s="154">
        <v>2428</v>
      </c>
      <c r="K1166" s="154"/>
      <c r="L1166" s="131">
        <f t="shared" si="507"/>
        <v>2428</v>
      </c>
      <c r="M1166" s="133">
        <f t="shared" si="508"/>
        <v>-1000</v>
      </c>
      <c r="N1166" s="131"/>
      <c r="O1166" s="177"/>
      <c r="P1166" s="134"/>
      <c r="Q1166" s="245"/>
      <c r="R1166" s="177"/>
      <c r="S1166" s="177"/>
      <c r="T1166" s="177"/>
      <c r="U1166" s="177"/>
      <c r="V1166" s="177"/>
      <c r="W1166" s="177"/>
      <c r="X1166" s="178"/>
    </row>
    <row r="1167" spans="1:31" ht="15.75" customHeight="1" x14ac:dyDescent="0.25">
      <c r="C1167" s="36"/>
      <c r="D1167" s="14">
        <f t="shared" ref="D1167:F1167" si="510">SUM(D1159:D1165)</f>
        <v>254972</v>
      </c>
      <c r="E1167" s="14">
        <f t="shared" si="510"/>
        <v>268427</v>
      </c>
      <c r="F1167" s="14">
        <f t="shared" si="510"/>
        <v>0</v>
      </c>
      <c r="G1167" s="61">
        <f t="shared" ref="G1167:G1176" si="511">SUM(D1167:F1167)</f>
        <v>523399</v>
      </c>
      <c r="H1167" s="14">
        <f>SUM(H1159:H1166)</f>
        <v>45763</v>
      </c>
      <c r="I1167" s="14">
        <f>SUM(I1159:I1166)</f>
        <v>254968</v>
      </c>
      <c r="J1167" s="14">
        <f>SUM(J1159:J1166)</f>
        <v>352632</v>
      </c>
      <c r="K1167" s="14">
        <f t="shared" ref="K1167" si="512">SUM(K1159:K1166)</f>
        <v>0</v>
      </c>
      <c r="L1167" s="14">
        <f t="shared" si="507"/>
        <v>607600</v>
      </c>
      <c r="M1167" s="62">
        <f t="shared" si="508"/>
        <v>84201</v>
      </c>
      <c r="N1167" s="14">
        <f t="shared" ref="N1167:X1167" si="513">SUM(N1159:N1166)</f>
        <v>0</v>
      </c>
      <c r="O1167" s="38">
        <f t="shared" si="513"/>
        <v>0</v>
      </c>
      <c r="P1167" s="15">
        <f t="shared" si="513"/>
        <v>230000</v>
      </c>
      <c r="Q1167" s="241">
        <f>SUM(Q1159:Q1166)</f>
        <v>33318</v>
      </c>
      <c r="R1167" s="38">
        <f t="shared" si="513"/>
        <v>0</v>
      </c>
      <c r="S1167" s="38">
        <f t="shared" si="513"/>
        <v>0</v>
      </c>
      <c r="T1167" s="38">
        <f t="shared" si="513"/>
        <v>0</v>
      </c>
      <c r="U1167" s="38">
        <f t="shared" si="513"/>
        <v>0</v>
      </c>
      <c r="V1167" s="38">
        <f t="shared" si="513"/>
        <v>0</v>
      </c>
      <c r="W1167" s="38">
        <f t="shared" si="513"/>
        <v>0</v>
      </c>
      <c r="X1167" s="38">
        <f t="shared" si="513"/>
        <v>0</v>
      </c>
    </row>
    <row r="1168" spans="1:31" ht="15.75" customHeight="1" x14ac:dyDescent="0.25">
      <c r="A1168" s="32" t="s">
        <v>146</v>
      </c>
      <c r="B1168" s="32" t="s">
        <v>146</v>
      </c>
      <c r="C1168" s="135" t="s">
        <v>146</v>
      </c>
      <c r="D1168" s="126">
        <v>184680</v>
      </c>
      <c r="E1168" s="126">
        <v>26663</v>
      </c>
      <c r="F1168" s="126"/>
      <c r="G1168" s="125">
        <f t="shared" si="511"/>
        <v>211343</v>
      </c>
      <c r="H1168" s="137">
        <v>2046</v>
      </c>
      <c r="I1168" s="156">
        <v>194615</v>
      </c>
      <c r="J1168" s="156">
        <v>19378</v>
      </c>
      <c r="K1168" s="156"/>
      <c r="L1168" s="126">
        <f t="shared" si="507"/>
        <v>213993</v>
      </c>
      <c r="M1168" s="127">
        <f t="shared" si="508"/>
        <v>2650</v>
      </c>
      <c r="N1168" s="156"/>
      <c r="O1168" s="180"/>
      <c r="P1168" s="137"/>
      <c r="Q1168" s="248"/>
      <c r="R1168" s="180"/>
      <c r="S1168" s="180"/>
      <c r="T1168" s="180"/>
      <c r="U1168" s="180"/>
      <c r="V1168" s="180"/>
      <c r="W1168" s="180"/>
      <c r="X1168" s="181"/>
      <c r="Y1168" s="279"/>
      <c r="Z1168" s="3"/>
      <c r="AA1168" s="3"/>
      <c r="AB1168" s="3"/>
      <c r="AC1168" s="3"/>
      <c r="AD1168" s="3"/>
      <c r="AE1168" s="3"/>
    </row>
    <row r="1169" spans="1:31" ht="15.75" customHeight="1" x14ac:dyDescent="0.25">
      <c r="A1169" s="32" t="s">
        <v>146</v>
      </c>
      <c r="B1169" s="32" t="s">
        <v>146</v>
      </c>
      <c r="C1169" s="129" t="s">
        <v>491</v>
      </c>
      <c r="D1169" s="14"/>
      <c r="E1169" s="14"/>
      <c r="F1169" s="14"/>
      <c r="G1169" s="61">
        <f t="shared" si="511"/>
        <v>0</v>
      </c>
      <c r="H1169" s="15"/>
      <c r="I1169" s="45"/>
      <c r="J1169" s="45"/>
      <c r="K1169" s="45"/>
      <c r="L1169" s="14">
        <f t="shared" si="507"/>
        <v>0</v>
      </c>
      <c r="M1169" s="62">
        <f t="shared" si="508"/>
        <v>0</v>
      </c>
      <c r="N1169" s="45"/>
      <c r="O1169" s="38"/>
      <c r="P1169" s="15"/>
      <c r="Q1169" s="241"/>
      <c r="R1169" s="38"/>
      <c r="S1169" s="38"/>
      <c r="T1169" s="38"/>
      <c r="U1169" s="38"/>
      <c r="V1169" s="38"/>
      <c r="W1169" s="38"/>
      <c r="X1169" s="176"/>
      <c r="Y1169" s="279"/>
      <c r="Z1169" s="3"/>
      <c r="AA1169" s="3"/>
      <c r="AB1169" s="3"/>
      <c r="AC1169" s="3"/>
      <c r="AD1169" s="3"/>
      <c r="AE1169" s="3"/>
    </row>
    <row r="1170" spans="1:31" ht="15.75" customHeight="1" x14ac:dyDescent="0.25">
      <c r="A1170" s="12"/>
      <c r="B1170" s="12"/>
      <c r="C1170" s="138" t="s">
        <v>454</v>
      </c>
      <c r="D1170" s="14"/>
      <c r="E1170" s="14"/>
      <c r="F1170" s="14"/>
      <c r="G1170" s="61">
        <f>SUM(D1170:F1170)</f>
        <v>0</v>
      </c>
      <c r="H1170" s="15"/>
      <c r="I1170" s="45"/>
      <c r="J1170" s="45">
        <v>4000</v>
      </c>
      <c r="K1170" s="45"/>
      <c r="L1170" s="14">
        <f>SUM(I1170:K1170)</f>
        <v>4000</v>
      </c>
      <c r="M1170" s="62">
        <f>(L1170-G1170)</f>
        <v>4000</v>
      </c>
      <c r="N1170" s="45"/>
      <c r="O1170" s="38"/>
      <c r="P1170" s="15"/>
      <c r="Q1170" s="241"/>
      <c r="R1170" s="38"/>
      <c r="S1170" s="38"/>
      <c r="T1170" s="38"/>
      <c r="U1170" s="38"/>
      <c r="V1170" s="38"/>
      <c r="W1170" s="38"/>
      <c r="X1170" s="176"/>
    </row>
    <row r="1171" spans="1:31" ht="15.75" customHeight="1" x14ac:dyDescent="0.25">
      <c r="A1171" s="12"/>
      <c r="B1171" s="12"/>
      <c r="C1171" s="138" t="s">
        <v>492</v>
      </c>
      <c r="D1171" s="14"/>
      <c r="E1171" s="14"/>
      <c r="F1171" s="14"/>
      <c r="G1171" s="61">
        <f>SUM(D1171:F1171)</f>
        <v>0</v>
      </c>
      <c r="H1171" s="15"/>
      <c r="I1171" s="45"/>
      <c r="J1171" s="45"/>
      <c r="K1171" s="45"/>
      <c r="L1171" s="14">
        <f>SUM(I1171:K1171)</f>
        <v>0</v>
      </c>
      <c r="M1171" s="62">
        <f>(L1171-G1171)</f>
        <v>0</v>
      </c>
      <c r="N1171" s="45"/>
      <c r="O1171" s="38">
        <v>2000</v>
      </c>
      <c r="P1171" s="15"/>
      <c r="Q1171" s="241"/>
      <c r="R1171" s="38"/>
      <c r="S1171" s="38"/>
      <c r="T1171" s="38"/>
      <c r="U1171" s="38"/>
      <c r="V1171" s="38"/>
      <c r="W1171" s="38"/>
      <c r="X1171" s="176"/>
    </row>
    <row r="1172" spans="1:31" ht="15.75" customHeight="1" x14ac:dyDescent="0.25">
      <c r="A1172" s="12"/>
      <c r="B1172" s="12"/>
      <c r="C1172" s="129"/>
      <c r="D1172" s="14"/>
      <c r="E1172" s="14"/>
      <c r="F1172" s="14"/>
      <c r="G1172" s="61">
        <f>SUM(D1172:F1172)</f>
        <v>0</v>
      </c>
      <c r="H1172" s="15"/>
      <c r="I1172" s="45"/>
      <c r="J1172" s="45"/>
      <c r="K1172" s="45"/>
      <c r="L1172" s="14">
        <f>SUM(I1172:K1172)</f>
        <v>0</v>
      </c>
      <c r="M1172" s="62">
        <f>(L1172-G1172)</f>
        <v>0</v>
      </c>
      <c r="N1172" s="45"/>
      <c r="O1172" s="38"/>
      <c r="P1172" s="15"/>
      <c r="Q1172" s="241"/>
      <c r="R1172" s="38"/>
      <c r="S1172" s="38"/>
      <c r="T1172" s="38"/>
      <c r="U1172" s="38"/>
      <c r="V1172" s="38"/>
      <c r="W1172" s="38"/>
      <c r="X1172" s="176"/>
    </row>
    <row r="1173" spans="1:31" ht="15.75" customHeight="1" x14ac:dyDescent="0.25">
      <c r="A1173" s="32" t="s">
        <v>146</v>
      </c>
      <c r="B1173" s="32" t="s">
        <v>146</v>
      </c>
      <c r="C1173" s="129" t="s">
        <v>1070</v>
      </c>
      <c r="D1173" s="15"/>
      <c r="E1173" s="15"/>
      <c r="F1173" s="15"/>
      <c r="G1173" s="61">
        <f t="shared" si="511"/>
        <v>0</v>
      </c>
      <c r="H1173" s="15"/>
      <c r="I1173" s="45"/>
      <c r="J1173" s="45"/>
      <c r="K1173" s="45"/>
      <c r="L1173" s="14">
        <f t="shared" si="507"/>
        <v>0</v>
      </c>
      <c r="M1173" s="62">
        <f t="shared" si="508"/>
        <v>0</v>
      </c>
      <c r="N1173" s="45"/>
      <c r="O1173" s="38"/>
      <c r="P1173" s="15"/>
      <c r="Q1173" s="241"/>
      <c r="R1173" s="38"/>
      <c r="S1173" s="38"/>
      <c r="T1173" s="38"/>
      <c r="U1173" s="38">
        <f>SUM(V1173:X1173)</f>
        <v>67</v>
      </c>
      <c r="V1173" s="38"/>
      <c r="W1173" s="38">
        <v>67</v>
      </c>
      <c r="X1173" s="176"/>
    </row>
    <row r="1174" spans="1:31" ht="15.75" customHeight="1" x14ac:dyDescent="0.25">
      <c r="A1174" s="32" t="s">
        <v>146</v>
      </c>
      <c r="B1174" s="32" t="s">
        <v>146</v>
      </c>
      <c r="C1174" s="129" t="s">
        <v>1071</v>
      </c>
      <c r="D1174" s="15"/>
      <c r="E1174" s="15"/>
      <c r="F1174" s="15"/>
      <c r="G1174" s="61">
        <f t="shared" si="511"/>
        <v>0</v>
      </c>
      <c r="H1174" s="15"/>
      <c r="I1174" s="45"/>
      <c r="J1174" s="45"/>
      <c r="K1174" s="45"/>
      <c r="L1174" s="14">
        <f t="shared" si="507"/>
        <v>0</v>
      </c>
      <c r="M1174" s="62">
        <f t="shared" si="508"/>
        <v>0</v>
      </c>
      <c r="N1174" s="45"/>
      <c r="O1174" s="38"/>
      <c r="P1174" s="15"/>
      <c r="Q1174" s="241"/>
      <c r="R1174" s="38"/>
      <c r="S1174" s="38"/>
      <c r="T1174" s="38"/>
      <c r="U1174" s="38"/>
      <c r="V1174" s="38"/>
      <c r="W1174" s="38"/>
      <c r="X1174" s="176"/>
    </row>
    <row r="1175" spans="1:31" ht="15.75" customHeight="1" x14ac:dyDescent="0.25">
      <c r="A1175" s="32" t="s">
        <v>146</v>
      </c>
      <c r="B1175" s="32" t="s">
        <v>146</v>
      </c>
      <c r="C1175" s="129" t="s">
        <v>494</v>
      </c>
      <c r="D1175" s="15"/>
      <c r="E1175" s="15"/>
      <c r="F1175" s="15"/>
      <c r="G1175" s="61">
        <f t="shared" si="511"/>
        <v>0</v>
      </c>
      <c r="H1175" s="15"/>
      <c r="I1175" s="45"/>
      <c r="J1175" s="45"/>
      <c r="K1175" s="45"/>
      <c r="L1175" s="14">
        <f t="shared" si="507"/>
        <v>0</v>
      </c>
      <c r="M1175" s="62">
        <f t="shared" si="508"/>
        <v>0</v>
      </c>
      <c r="N1175" s="45"/>
      <c r="O1175" s="38"/>
      <c r="P1175" s="15"/>
      <c r="Q1175" s="241"/>
      <c r="R1175" s="38"/>
      <c r="S1175" s="38"/>
      <c r="T1175" s="38"/>
      <c r="U1175" s="38">
        <f>SUM(V1175:X1175)</f>
        <v>41670</v>
      </c>
      <c r="V1175" s="38"/>
      <c r="W1175" s="38">
        <v>41670</v>
      </c>
      <c r="X1175" s="176"/>
      <c r="Z1175" s="46"/>
    </row>
    <row r="1176" spans="1:31" ht="15.75" customHeight="1" x14ac:dyDescent="0.25">
      <c r="A1176" s="32" t="s">
        <v>146</v>
      </c>
      <c r="B1176" s="32" t="s">
        <v>146</v>
      </c>
      <c r="C1176" s="158" t="s">
        <v>1072</v>
      </c>
      <c r="D1176" s="15"/>
      <c r="E1176" s="15"/>
      <c r="F1176" s="15"/>
      <c r="G1176" s="61">
        <f t="shared" si="511"/>
        <v>0</v>
      </c>
      <c r="H1176" s="15"/>
      <c r="I1176" s="45"/>
      <c r="J1176" s="45"/>
      <c r="K1176" s="45"/>
      <c r="L1176" s="14">
        <f t="shared" si="507"/>
        <v>0</v>
      </c>
      <c r="M1176" s="62">
        <f t="shared" si="508"/>
        <v>0</v>
      </c>
      <c r="N1176" s="45"/>
      <c r="O1176" s="38"/>
      <c r="P1176" s="15"/>
      <c r="Q1176" s="241"/>
      <c r="R1176" s="38"/>
      <c r="S1176" s="38"/>
      <c r="T1176" s="38"/>
      <c r="U1176" s="38"/>
      <c r="V1176" s="38"/>
      <c r="W1176" s="38"/>
      <c r="X1176" s="200"/>
    </row>
    <row r="1177" spans="1:31" ht="15.75" customHeight="1" x14ac:dyDescent="0.25">
      <c r="C1177" s="141"/>
      <c r="D1177" s="131"/>
      <c r="E1177" s="131"/>
      <c r="F1177" s="131"/>
      <c r="G1177" s="132">
        <f t="shared" ref="G1177" si="514">SUM(D1177:F1177)</f>
        <v>0</v>
      </c>
      <c r="H1177" s="134"/>
      <c r="I1177" s="154"/>
      <c r="J1177" s="154"/>
      <c r="K1177" s="154"/>
      <c r="L1177" s="131">
        <f t="shared" ref="L1177" si="515">SUM(I1177:K1177)</f>
        <v>0</v>
      </c>
      <c r="M1177" s="133">
        <f t="shared" ref="M1177" si="516">L1177-G1177</f>
        <v>0</v>
      </c>
      <c r="N1177" s="154"/>
      <c r="O1177" s="177"/>
      <c r="P1177" s="134"/>
      <c r="Q1177" s="245"/>
      <c r="R1177" s="177"/>
      <c r="S1177" s="177"/>
      <c r="T1177" s="177"/>
      <c r="U1177" s="177"/>
      <c r="V1177" s="177"/>
      <c r="W1177" s="177"/>
      <c r="X1177" s="178"/>
    </row>
    <row r="1178" spans="1:31" ht="15.75" customHeight="1" x14ac:dyDescent="0.25">
      <c r="C1178" s="35"/>
      <c r="D1178" s="98">
        <f t="shared" ref="D1178:F1178" si="517">SUM(D1168:D1176)</f>
        <v>184680</v>
      </c>
      <c r="E1178" s="98">
        <f t="shared" si="517"/>
        <v>26663</v>
      </c>
      <c r="F1178" s="98">
        <f t="shared" si="517"/>
        <v>0</v>
      </c>
      <c r="G1178" s="41">
        <f t="shared" ref="G1178:G1179" si="518">SUM(D1178:F1178)</f>
        <v>211343</v>
      </c>
      <c r="H1178" s="98">
        <f t="shared" ref="H1178:K1178" si="519">SUM(H1168:H1176)</f>
        <v>2046</v>
      </c>
      <c r="I1178" s="98">
        <f t="shared" si="519"/>
        <v>194615</v>
      </c>
      <c r="J1178" s="98">
        <f t="shared" si="519"/>
        <v>23378</v>
      </c>
      <c r="K1178" s="98">
        <f t="shared" si="519"/>
        <v>0</v>
      </c>
      <c r="L1178" s="98">
        <f>SUM(I1178:K1178)</f>
        <v>217993</v>
      </c>
      <c r="M1178" s="39">
        <f>(L1178-G1178)</f>
        <v>6650</v>
      </c>
      <c r="N1178" s="98">
        <f t="shared" ref="N1178:X1178" si="520">SUM(N1168:N1177)</f>
        <v>0</v>
      </c>
      <c r="O1178" s="188">
        <f t="shared" si="520"/>
        <v>2000</v>
      </c>
      <c r="P1178" s="97">
        <f t="shared" si="520"/>
        <v>0</v>
      </c>
      <c r="Q1178" s="253">
        <f>SUM(Q1168:Q1177)</f>
        <v>0</v>
      </c>
      <c r="R1178" s="188">
        <f t="shared" si="520"/>
        <v>0</v>
      </c>
      <c r="S1178" s="188">
        <f t="shared" si="520"/>
        <v>0</v>
      </c>
      <c r="T1178" s="188">
        <f t="shared" si="520"/>
        <v>0</v>
      </c>
      <c r="U1178" s="188">
        <f t="shared" si="520"/>
        <v>41737</v>
      </c>
      <c r="V1178" s="188">
        <f t="shared" si="520"/>
        <v>0</v>
      </c>
      <c r="W1178" s="188">
        <f t="shared" si="520"/>
        <v>41737</v>
      </c>
      <c r="X1178" s="188">
        <f t="shared" si="520"/>
        <v>0</v>
      </c>
    </row>
    <row r="1179" spans="1:31" ht="15.75" customHeight="1" x14ac:dyDescent="0.25">
      <c r="A1179" s="49" t="s">
        <v>147</v>
      </c>
      <c r="B1179" s="49" t="s">
        <v>147</v>
      </c>
      <c r="C1179" s="49" t="s">
        <v>1073</v>
      </c>
      <c r="D1179" s="14"/>
      <c r="E1179" s="14">
        <v>232000</v>
      </c>
      <c r="F1179" s="14"/>
      <c r="G1179" s="61">
        <f t="shared" si="518"/>
        <v>232000</v>
      </c>
      <c r="H1179" s="15"/>
      <c r="I1179" s="45"/>
      <c r="J1179" s="45">
        <v>251378</v>
      </c>
      <c r="K1179" s="45"/>
      <c r="L1179" s="14">
        <f>SUM(I1179:K1179)</f>
        <v>251378</v>
      </c>
      <c r="M1179" s="62">
        <f>(L1179-G1179)</f>
        <v>19378</v>
      </c>
      <c r="N1179" s="14"/>
      <c r="O1179" s="38"/>
      <c r="P1179" s="15"/>
      <c r="Q1179" s="241"/>
      <c r="R1179" s="38"/>
      <c r="S1179" s="38"/>
      <c r="T1179" s="38"/>
      <c r="U1179" s="38"/>
      <c r="V1179" s="38"/>
      <c r="W1179" s="38"/>
      <c r="X1179" s="38"/>
      <c r="Y1179" s="279"/>
      <c r="Z1179" s="3"/>
      <c r="AA1179" s="3"/>
      <c r="AB1179" s="3"/>
      <c r="AC1179" s="3"/>
      <c r="AD1179" s="3"/>
      <c r="AE1179" s="3"/>
    </row>
    <row r="1180" spans="1:31" ht="15.75" customHeight="1" x14ac:dyDescent="0.25">
      <c r="C1180" s="6" t="s">
        <v>148</v>
      </c>
      <c r="D1180" s="14"/>
      <c r="E1180" s="14"/>
      <c r="F1180" s="14"/>
      <c r="G1180" s="61"/>
      <c r="H1180" s="15"/>
      <c r="I1180" s="45"/>
      <c r="J1180" s="45"/>
      <c r="K1180" s="45"/>
      <c r="L1180" s="98"/>
      <c r="M1180" s="62">
        <f>(L1180-G1180)</f>
        <v>0</v>
      </c>
      <c r="N1180" s="14"/>
      <c r="O1180" s="38"/>
      <c r="P1180" s="15"/>
      <c r="Q1180" s="241"/>
      <c r="R1180" s="38"/>
      <c r="S1180" s="38"/>
      <c r="T1180" s="38"/>
      <c r="U1180" s="38"/>
      <c r="V1180" s="38"/>
      <c r="W1180" s="38"/>
      <c r="X1180" s="38"/>
    </row>
    <row r="1181" spans="1:31" ht="15.75" customHeight="1" x14ac:dyDescent="0.25">
      <c r="A1181" s="6" t="s">
        <v>148</v>
      </c>
      <c r="B1181" s="12" t="s">
        <v>150</v>
      </c>
      <c r="C1181" s="12" t="s">
        <v>150</v>
      </c>
      <c r="D1181" s="74"/>
      <c r="E1181" s="74"/>
      <c r="F1181" s="74"/>
      <c r="G1181" s="59">
        <f t="shared" ref="G1181:G1182" si="521">SUM(D1181:F1181)</f>
        <v>0</v>
      </c>
      <c r="H1181" s="90"/>
      <c r="I1181" s="74"/>
      <c r="J1181" s="74"/>
      <c r="K1181" s="74"/>
      <c r="L1181" s="14">
        <f>SUM(I1181:K1181)</f>
        <v>0</v>
      </c>
      <c r="M1181" s="60">
        <f>(L1181-G1181)</f>
        <v>0</v>
      </c>
      <c r="N1181" s="112">
        <v>1028988</v>
      </c>
      <c r="O1181" s="102"/>
      <c r="P1181" s="90"/>
      <c r="Q1181" s="247"/>
      <c r="R1181" s="102"/>
      <c r="S1181" s="102"/>
      <c r="T1181" s="102"/>
      <c r="U1181" s="102"/>
      <c r="V1181" s="102"/>
      <c r="W1181" s="102"/>
      <c r="X1181" s="179"/>
      <c r="Y1181" s="279"/>
      <c r="Z1181" s="3"/>
      <c r="AA1181" s="3"/>
      <c r="AB1181" s="3"/>
      <c r="AC1181" s="3"/>
      <c r="AD1181" s="3"/>
      <c r="AE1181" s="3"/>
    </row>
    <row r="1182" spans="1:31" ht="15.75" customHeight="1" x14ac:dyDescent="0.25">
      <c r="A1182" s="6" t="s">
        <v>148</v>
      </c>
      <c r="B1182" s="29" t="s">
        <v>155</v>
      </c>
      <c r="C1182" s="29" t="s">
        <v>155</v>
      </c>
      <c r="D1182" s="14">
        <v>112252</v>
      </c>
      <c r="E1182" s="14">
        <v>158185</v>
      </c>
      <c r="F1182" s="14"/>
      <c r="G1182" s="61">
        <f t="shared" si="521"/>
        <v>270437</v>
      </c>
      <c r="H1182" s="15"/>
      <c r="I1182" s="14"/>
      <c r="J1182" s="45">
        <v>267648</v>
      </c>
      <c r="K1182" s="14"/>
      <c r="L1182" s="14">
        <f>SUM(I1182:K1182)</f>
        <v>267648</v>
      </c>
      <c r="M1182" s="62">
        <f>(L1182-G1182)</f>
        <v>-2789</v>
      </c>
      <c r="N1182" s="14"/>
      <c r="O1182" s="38"/>
      <c r="P1182" s="15"/>
      <c r="Q1182" s="241"/>
      <c r="R1182" s="38"/>
      <c r="S1182" s="38"/>
      <c r="T1182" s="38"/>
      <c r="U1182" s="38"/>
      <c r="V1182" s="38"/>
      <c r="W1182" s="38"/>
      <c r="X1182" s="167"/>
      <c r="Y1182" s="279"/>
      <c r="Z1182" s="3"/>
      <c r="AA1182" s="3"/>
      <c r="AB1182" s="3"/>
      <c r="AC1182" s="3"/>
      <c r="AD1182" s="3"/>
      <c r="AE1182" s="3"/>
    </row>
    <row r="1183" spans="1:31" ht="45" x14ac:dyDescent="0.25">
      <c r="A1183" s="6" t="s">
        <v>148</v>
      </c>
      <c r="B1183" s="29" t="s">
        <v>155</v>
      </c>
      <c r="C1183" s="53" t="s">
        <v>1074</v>
      </c>
      <c r="D1183" s="14"/>
      <c r="E1183" s="14"/>
      <c r="F1183" s="14"/>
      <c r="G1183" s="61">
        <f t="shared" ref="G1183" si="522">SUM(D1183:F1183)</f>
        <v>0</v>
      </c>
      <c r="H1183" s="15"/>
      <c r="I1183" s="14"/>
      <c r="J1183" s="14"/>
      <c r="K1183" s="14"/>
      <c r="L1183" s="14">
        <f t="shared" ref="L1183" si="523">SUM(I1183:K1183)</f>
        <v>0</v>
      </c>
      <c r="M1183" s="62">
        <f t="shared" ref="M1183" si="524">L1183-G1183</f>
        <v>0</v>
      </c>
      <c r="N1183" s="14"/>
      <c r="O1183" s="38"/>
      <c r="P1183" s="15"/>
      <c r="Q1183" s="241"/>
      <c r="R1183" s="38"/>
      <c r="S1183" s="38"/>
      <c r="T1183" s="38"/>
      <c r="U1183" s="38"/>
      <c r="V1183" s="38"/>
      <c r="W1183" s="38"/>
      <c r="X1183" s="167"/>
      <c r="Y1183" s="279" t="s">
        <v>1075</v>
      </c>
      <c r="Z1183" s="3"/>
      <c r="AA1183" s="3"/>
      <c r="AB1183" s="3"/>
      <c r="AC1183" s="3"/>
      <c r="AD1183" s="3"/>
      <c r="AE1183" s="3"/>
    </row>
    <row r="1184" spans="1:31" ht="15.75" customHeight="1" x14ac:dyDescent="0.25">
      <c r="A1184" s="6" t="s">
        <v>148</v>
      </c>
      <c r="B1184" s="29" t="s">
        <v>155</v>
      </c>
      <c r="C1184" s="29" t="s">
        <v>497</v>
      </c>
      <c r="D1184" s="14">
        <v>22375</v>
      </c>
      <c r="E1184" s="14">
        <v>5795</v>
      </c>
      <c r="F1184" s="14"/>
      <c r="G1184" s="61">
        <f t="shared" ref="G1184:G1186" si="525">SUM(D1184:F1184)</f>
        <v>28170</v>
      </c>
      <c r="H1184" s="15">
        <v>3109</v>
      </c>
      <c r="I1184" s="45">
        <v>22949</v>
      </c>
      <c r="J1184" s="45">
        <v>8545</v>
      </c>
      <c r="K1184" s="14"/>
      <c r="L1184" s="14">
        <f>SUM(I1184:K1184)</f>
        <v>31494</v>
      </c>
      <c r="M1184" s="62">
        <f t="shared" ref="M1184:M1198" si="526">(L1184-G1184)</f>
        <v>3324</v>
      </c>
      <c r="N1184" s="14"/>
      <c r="O1184" s="38"/>
      <c r="P1184" s="15"/>
      <c r="Q1184" s="241"/>
      <c r="R1184" s="38"/>
      <c r="S1184" s="38"/>
      <c r="T1184" s="38"/>
      <c r="U1184" s="38"/>
      <c r="V1184" s="38"/>
      <c r="W1184" s="38"/>
      <c r="X1184" s="167"/>
      <c r="Y1184" s="279"/>
      <c r="Z1184" s="3"/>
      <c r="AA1184" s="3"/>
      <c r="AB1184" s="3"/>
      <c r="AC1184" s="3"/>
      <c r="AD1184" s="3"/>
      <c r="AE1184" s="3"/>
    </row>
    <row r="1185" spans="1:31" ht="15.75" customHeight="1" x14ac:dyDescent="0.25">
      <c r="A1185" s="6" t="s">
        <v>148</v>
      </c>
      <c r="B1185" s="29" t="s">
        <v>158</v>
      </c>
      <c r="C1185" s="29" t="s">
        <v>498</v>
      </c>
      <c r="D1185" s="14"/>
      <c r="E1185" s="14">
        <v>150</v>
      </c>
      <c r="F1185" s="14"/>
      <c r="G1185" s="61">
        <f t="shared" si="525"/>
        <v>150</v>
      </c>
      <c r="H1185" s="15"/>
      <c r="I1185" s="30"/>
      <c r="J1185" s="30"/>
      <c r="K1185" s="14"/>
      <c r="L1185" s="14">
        <f>SUM(I1185:K1185)</f>
        <v>0</v>
      </c>
      <c r="M1185" s="62">
        <f t="shared" si="526"/>
        <v>-150</v>
      </c>
      <c r="N1185" s="14"/>
      <c r="O1185" s="38"/>
      <c r="P1185" s="15"/>
      <c r="Q1185" s="241"/>
      <c r="R1185" s="38"/>
      <c r="S1185" s="38"/>
      <c r="T1185" s="38"/>
      <c r="U1185" s="38">
        <f t="shared" ref="U1185:U1186" si="527">SUM(V1185:X1185)</f>
        <v>142068</v>
      </c>
      <c r="V1185" s="38"/>
      <c r="W1185" s="38">
        <v>142068</v>
      </c>
      <c r="X1185" s="167"/>
      <c r="Y1185" s="279"/>
      <c r="Z1185" s="3"/>
      <c r="AA1185" s="3"/>
      <c r="AB1185" s="3"/>
      <c r="AC1185" s="3"/>
      <c r="AD1185" s="3"/>
      <c r="AE1185" s="3"/>
    </row>
    <row r="1186" spans="1:31" ht="15.75" customHeight="1" x14ac:dyDescent="0.25">
      <c r="A1186" s="6" t="s">
        <v>148</v>
      </c>
      <c r="B1186" s="29" t="s">
        <v>158</v>
      </c>
      <c r="C1186" s="29" t="s">
        <v>499</v>
      </c>
      <c r="D1186" s="14"/>
      <c r="E1186" s="14"/>
      <c r="F1186" s="14"/>
      <c r="G1186" s="61">
        <f t="shared" si="525"/>
        <v>0</v>
      </c>
      <c r="H1186" s="15"/>
      <c r="I1186" s="30"/>
      <c r="J1186" s="30"/>
      <c r="K1186" s="14"/>
      <c r="L1186" s="14">
        <f>SUM(I1186:K1186)</f>
        <v>0</v>
      </c>
      <c r="M1186" s="62">
        <f t="shared" si="526"/>
        <v>0</v>
      </c>
      <c r="N1186" s="14"/>
      <c r="O1186" s="38"/>
      <c r="P1186" s="15"/>
      <c r="Q1186" s="241"/>
      <c r="R1186" s="38"/>
      <c r="S1186" s="38"/>
      <c r="T1186" s="38"/>
      <c r="U1186" s="38">
        <f t="shared" si="527"/>
        <v>79630</v>
      </c>
      <c r="V1186" s="38"/>
      <c r="W1186" s="38">
        <v>79630</v>
      </c>
      <c r="X1186" s="167"/>
      <c r="Y1186" s="279"/>
      <c r="Z1186" s="3"/>
      <c r="AA1186" s="3"/>
      <c r="AB1186" s="3"/>
      <c r="AC1186" s="3"/>
      <c r="AD1186" s="3"/>
      <c r="AE1186" s="3"/>
    </row>
    <row r="1187" spans="1:31" ht="15.75" customHeight="1" x14ac:dyDescent="0.25">
      <c r="A1187" s="6" t="s">
        <v>148</v>
      </c>
      <c r="B1187" s="29" t="s">
        <v>153</v>
      </c>
      <c r="C1187" s="29" t="s">
        <v>153</v>
      </c>
      <c r="D1187" s="14">
        <v>294965</v>
      </c>
      <c r="E1187" s="14">
        <v>80781</v>
      </c>
      <c r="F1187" s="14"/>
      <c r="G1187" s="61">
        <f t="shared" ref="G1187:G1198" si="528">SUM(D1187:F1187)</f>
        <v>375746</v>
      </c>
      <c r="H1187" s="15">
        <v>38665</v>
      </c>
      <c r="I1187" s="45">
        <v>309275</v>
      </c>
      <c r="J1187" s="45">
        <v>108974</v>
      </c>
      <c r="K1187" s="45"/>
      <c r="L1187" s="45">
        <f t="shared" ref="L1187:L1198" si="529">SUM(I1187:K1187)</f>
        <v>418249</v>
      </c>
      <c r="M1187" s="115">
        <f t="shared" si="526"/>
        <v>42503</v>
      </c>
      <c r="N1187" s="45">
        <v>7752</v>
      </c>
      <c r="O1187" s="38"/>
      <c r="P1187" s="15"/>
      <c r="Q1187" s="241"/>
      <c r="R1187" s="38"/>
      <c r="S1187" s="38"/>
      <c r="T1187" s="38"/>
      <c r="U1187" s="38"/>
      <c r="V1187" s="38"/>
      <c r="W1187" s="38"/>
      <c r="X1187" s="167"/>
      <c r="Y1187" s="279"/>
      <c r="Z1187" s="3"/>
      <c r="AA1187" s="3"/>
      <c r="AB1187" s="3"/>
      <c r="AC1187" s="3"/>
      <c r="AD1187" s="3"/>
      <c r="AE1187" s="3"/>
    </row>
    <row r="1188" spans="1:31" ht="15.75" customHeight="1" x14ac:dyDescent="0.25">
      <c r="A1188" s="6" t="s">
        <v>148</v>
      </c>
      <c r="B1188" s="29" t="s">
        <v>153</v>
      </c>
      <c r="C1188" s="17" t="s">
        <v>1076</v>
      </c>
      <c r="D1188" s="14"/>
      <c r="E1188" s="14"/>
      <c r="F1188" s="14"/>
      <c r="G1188" s="61">
        <f t="shared" si="528"/>
        <v>0</v>
      </c>
      <c r="H1188" s="15"/>
      <c r="I1188" s="45"/>
      <c r="J1188" s="45"/>
      <c r="K1188" s="45"/>
      <c r="L1188" s="45">
        <f t="shared" si="529"/>
        <v>0</v>
      </c>
      <c r="M1188" s="115">
        <f t="shared" si="526"/>
        <v>0</v>
      </c>
      <c r="N1188" s="45"/>
      <c r="O1188" s="38">
        <v>2500</v>
      </c>
      <c r="P1188" s="15"/>
      <c r="Q1188" s="241"/>
      <c r="R1188" s="38"/>
      <c r="S1188" s="38"/>
      <c r="T1188" s="38"/>
      <c r="U1188" s="38"/>
      <c r="V1188" s="38"/>
      <c r="W1188" s="38"/>
      <c r="X1188" s="167"/>
      <c r="Y1188" s="279"/>
      <c r="Z1188" s="3"/>
      <c r="AA1188" s="3"/>
      <c r="AB1188" s="3"/>
      <c r="AC1188" s="3"/>
      <c r="AD1188" s="3"/>
      <c r="AE1188" s="3"/>
    </row>
    <row r="1189" spans="1:31" ht="15.75" customHeight="1" x14ac:dyDescent="0.25">
      <c r="A1189" s="109"/>
      <c r="B1189" s="13"/>
      <c r="C1189" s="13" t="s">
        <v>1077</v>
      </c>
      <c r="D1189" s="14"/>
      <c r="E1189" s="14"/>
      <c r="F1189" s="14"/>
      <c r="G1189" s="61">
        <f>SUM(D1189:F1189)</f>
        <v>0</v>
      </c>
      <c r="H1189" s="15"/>
      <c r="I1189" s="45"/>
      <c r="J1189" s="45"/>
      <c r="K1189" s="45"/>
      <c r="L1189" s="45">
        <f>SUM(I1189:K1189)</f>
        <v>0</v>
      </c>
      <c r="M1189" s="115">
        <f>(L1189-G1189)</f>
        <v>0</v>
      </c>
      <c r="N1189" s="45"/>
      <c r="O1189" s="38">
        <v>6700</v>
      </c>
      <c r="P1189" s="15"/>
      <c r="Q1189" s="241"/>
      <c r="R1189" s="38"/>
      <c r="S1189" s="38"/>
      <c r="T1189" s="38"/>
      <c r="U1189" s="38"/>
      <c r="V1189" s="38"/>
      <c r="W1189" s="38"/>
      <c r="X1189" s="167"/>
      <c r="Y1189" s="279"/>
      <c r="Z1189" s="3"/>
      <c r="AA1189" s="3"/>
      <c r="AB1189" s="3"/>
      <c r="AC1189" s="3"/>
      <c r="AD1189" s="3"/>
      <c r="AE1189" s="3"/>
    </row>
    <row r="1190" spans="1:31" ht="15.75" customHeight="1" x14ac:dyDescent="0.25">
      <c r="A1190" s="6" t="s">
        <v>148</v>
      </c>
      <c r="B1190" s="29" t="s">
        <v>153</v>
      </c>
      <c r="C1190" s="17" t="s">
        <v>1078</v>
      </c>
      <c r="D1190" s="14"/>
      <c r="E1190" s="14"/>
      <c r="F1190" s="14"/>
      <c r="G1190" s="61">
        <f t="shared" si="528"/>
        <v>0</v>
      </c>
      <c r="H1190" s="15"/>
      <c r="I1190" s="45"/>
      <c r="J1190" s="45"/>
      <c r="K1190" s="45"/>
      <c r="L1190" s="45">
        <f t="shared" si="529"/>
        <v>0</v>
      </c>
      <c r="M1190" s="115">
        <f t="shared" si="526"/>
        <v>0</v>
      </c>
      <c r="N1190" s="45"/>
      <c r="O1190" s="38">
        <v>6000</v>
      </c>
      <c r="P1190" s="15"/>
      <c r="Q1190" s="241"/>
      <c r="R1190" s="38"/>
      <c r="S1190" s="38"/>
      <c r="T1190" s="38"/>
      <c r="U1190" s="38"/>
      <c r="V1190" s="38"/>
      <c r="W1190" s="38"/>
      <c r="X1190" s="167"/>
      <c r="Y1190" s="279"/>
      <c r="Z1190" s="3"/>
      <c r="AA1190" s="3"/>
      <c r="AB1190" s="3"/>
      <c r="AC1190" s="3"/>
      <c r="AD1190" s="3"/>
      <c r="AE1190" s="3"/>
    </row>
    <row r="1191" spans="1:31" ht="15.75" customHeight="1" x14ac:dyDescent="0.25">
      <c r="A1191" s="109"/>
      <c r="B1191" s="13"/>
      <c r="C1191" s="13" t="s">
        <v>1079</v>
      </c>
      <c r="D1191" s="14"/>
      <c r="E1191" s="14"/>
      <c r="F1191" s="14"/>
      <c r="G1191" s="61">
        <f>SUM(D1191:F1191)</f>
        <v>0</v>
      </c>
      <c r="H1191" s="15"/>
      <c r="I1191" s="14"/>
      <c r="J1191" s="14"/>
      <c r="K1191" s="14"/>
      <c r="L1191" s="14">
        <f>SUM(I1191:K1191)</f>
        <v>0</v>
      </c>
      <c r="M1191" s="62">
        <f>(L1191-G1191)</f>
        <v>0</v>
      </c>
      <c r="N1191" s="14"/>
      <c r="O1191" s="38"/>
      <c r="P1191" s="15">
        <v>9000</v>
      </c>
      <c r="Q1191" s="241"/>
      <c r="R1191" s="38"/>
      <c r="S1191" s="38"/>
      <c r="T1191" s="38"/>
      <c r="U1191" s="38"/>
      <c r="V1191" s="38"/>
      <c r="W1191" s="38"/>
      <c r="X1191" s="167"/>
      <c r="Y1191" s="279"/>
      <c r="Z1191" s="3"/>
      <c r="AA1191" s="3"/>
      <c r="AB1191" s="3"/>
      <c r="AC1191" s="3"/>
      <c r="AD1191" s="3"/>
      <c r="AE1191" s="3"/>
    </row>
    <row r="1192" spans="1:31" ht="15.75" customHeight="1" x14ac:dyDescent="0.25">
      <c r="A1192" s="109"/>
      <c r="B1192" s="13"/>
      <c r="C1192" s="13" t="s">
        <v>1080</v>
      </c>
      <c r="D1192" s="14"/>
      <c r="E1192" s="14"/>
      <c r="F1192" s="14"/>
      <c r="G1192" s="61">
        <f>SUM(D1192:F1192)</f>
        <v>0</v>
      </c>
      <c r="H1192" s="15"/>
      <c r="I1192" s="14"/>
      <c r="J1192" s="14"/>
      <c r="K1192" s="14"/>
      <c r="L1192" s="14">
        <f>SUM(I1192:K1192)</f>
        <v>0</v>
      </c>
      <c r="M1192" s="62">
        <f>(L1192-G1192)</f>
        <v>0</v>
      </c>
      <c r="N1192" s="14"/>
      <c r="O1192" s="38"/>
      <c r="P1192" s="15">
        <v>1500</v>
      </c>
      <c r="Q1192" s="241"/>
      <c r="R1192" s="38"/>
      <c r="S1192" s="38"/>
      <c r="T1192" s="38"/>
      <c r="U1192" s="38"/>
      <c r="V1192" s="38"/>
      <c r="W1192" s="38"/>
      <c r="X1192" s="167"/>
      <c r="Y1192" s="279"/>
      <c r="Z1192" s="3"/>
      <c r="AA1192" s="3"/>
      <c r="AB1192" s="3"/>
      <c r="AC1192" s="3"/>
      <c r="AD1192" s="3"/>
      <c r="AE1192" s="3"/>
    </row>
    <row r="1193" spans="1:31" ht="15.75" customHeight="1" x14ac:dyDescent="0.25">
      <c r="A1193" s="6" t="s">
        <v>148</v>
      </c>
      <c r="B1193" s="29" t="s">
        <v>156</v>
      </c>
      <c r="C1193" s="29" t="s">
        <v>156</v>
      </c>
      <c r="D1193" s="14">
        <v>203034</v>
      </c>
      <c r="E1193" s="14">
        <v>78707</v>
      </c>
      <c r="F1193" s="14"/>
      <c r="G1193" s="61">
        <f t="shared" si="528"/>
        <v>281741</v>
      </c>
      <c r="H1193" s="15">
        <v>37180</v>
      </c>
      <c r="I1193" s="45">
        <v>261701</v>
      </c>
      <c r="J1193" s="45">
        <v>143521</v>
      </c>
      <c r="K1193" s="45"/>
      <c r="L1193" s="45">
        <f t="shared" si="529"/>
        <v>405222</v>
      </c>
      <c r="M1193" s="115">
        <f t="shared" si="526"/>
        <v>123481</v>
      </c>
      <c r="N1193" s="45"/>
      <c r="O1193" s="38"/>
      <c r="P1193" s="15"/>
      <c r="Q1193" s="241"/>
      <c r="R1193" s="38"/>
      <c r="S1193" s="38"/>
      <c r="T1193" s="38"/>
      <c r="U1193" s="38"/>
      <c r="V1193" s="38"/>
      <c r="W1193" s="38"/>
      <c r="X1193" s="167"/>
      <c r="Y1193" s="279"/>
      <c r="Z1193" s="3"/>
      <c r="AA1193" s="3"/>
      <c r="AB1193" s="3"/>
      <c r="AC1193" s="3"/>
      <c r="AD1193" s="3"/>
      <c r="AE1193" s="3"/>
    </row>
    <row r="1194" spans="1:31" ht="15.75" customHeight="1" x14ac:dyDescent="0.25">
      <c r="A1194" s="6" t="s">
        <v>148</v>
      </c>
      <c r="B1194" s="29" t="s">
        <v>156</v>
      </c>
      <c r="C1194" s="17" t="s">
        <v>1081</v>
      </c>
      <c r="D1194" s="14"/>
      <c r="E1194" s="14"/>
      <c r="F1194" s="14"/>
      <c r="G1194" s="61">
        <f t="shared" si="528"/>
        <v>0</v>
      </c>
      <c r="H1194" s="15"/>
      <c r="I1194" s="45"/>
      <c r="J1194" s="45"/>
      <c r="K1194" s="45"/>
      <c r="L1194" s="45">
        <f t="shared" si="529"/>
        <v>0</v>
      </c>
      <c r="M1194" s="115">
        <f t="shared" si="526"/>
        <v>0</v>
      </c>
      <c r="N1194" s="45"/>
      <c r="O1194" s="38">
        <v>1800</v>
      </c>
      <c r="P1194" s="15"/>
      <c r="Q1194" s="241"/>
      <c r="R1194" s="38"/>
      <c r="S1194" s="38"/>
      <c r="T1194" s="38"/>
      <c r="U1194" s="38"/>
      <c r="V1194" s="38"/>
      <c r="W1194" s="38"/>
      <c r="X1194" s="167"/>
      <c r="Y1194" s="279"/>
      <c r="Z1194" s="3"/>
      <c r="AA1194" s="3"/>
      <c r="AB1194" s="3"/>
      <c r="AC1194" s="3"/>
      <c r="AD1194" s="3"/>
      <c r="AE1194" s="3"/>
    </row>
    <row r="1195" spans="1:31" ht="15.75" customHeight="1" x14ac:dyDescent="0.25">
      <c r="A1195" s="6" t="s">
        <v>148</v>
      </c>
      <c r="B1195" s="29" t="s">
        <v>156</v>
      </c>
      <c r="C1195" s="17" t="s">
        <v>1082</v>
      </c>
      <c r="D1195" s="14"/>
      <c r="E1195" s="14"/>
      <c r="F1195" s="14"/>
      <c r="G1195" s="61">
        <f t="shared" si="528"/>
        <v>0</v>
      </c>
      <c r="H1195" s="15"/>
      <c r="I1195" s="45"/>
      <c r="J1195" s="45"/>
      <c r="K1195" s="45"/>
      <c r="L1195" s="45">
        <f t="shared" si="529"/>
        <v>0</v>
      </c>
      <c r="M1195" s="115">
        <f t="shared" si="526"/>
        <v>0</v>
      </c>
      <c r="N1195" s="45"/>
      <c r="O1195" s="38">
        <v>3500</v>
      </c>
      <c r="P1195" s="15"/>
      <c r="Q1195" s="241"/>
      <c r="R1195" s="38"/>
      <c r="S1195" s="38"/>
      <c r="T1195" s="38"/>
      <c r="U1195" s="38"/>
      <c r="V1195" s="38"/>
      <c r="W1195" s="38"/>
      <c r="X1195" s="167"/>
      <c r="Y1195" s="279"/>
      <c r="Z1195" s="3"/>
      <c r="AA1195" s="3"/>
      <c r="AB1195" s="3"/>
      <c r="AC1195" s="3"/>
      <c r="AD1195" s="3"/>
      <c r="AE1195" s="3"/>
    </row>
    <row r="1196" spans="1:31" ht="15.75" customHeight="1" x14ac:dyDescent="0.25">
      <c r="A1196" s="6" t="s">
        <v>148</v>
      </c>
      <c r="B1196" s="29" t="s">
        <v>156</v>
      </c>
      <c r="C1196" s="17" t="s">
        <v>1083</v>
      </c>
      <c r="D1196" s="14"/>
      <c r="E1196" s="14"/>
      <c r="F1196" s="14"/>
      <c r="G1196" s="61">
        <f t="shared" si="528"/>
        <v>0</v>
      </c>
      <c r="H1196" s="15"/>
      <c r="I1196" s="45"/>
      <c r="J1196" s="45"/>
      <c r="K1196" s="45"/>
      <c r="L1196" s="45">
        <f t="shared" si="529"/>
        <v>0</v>
      </c>
      <c r="M1196" s="115">
        <f t="shared" si="526"/>
        <v>0</v>
      </c>
      <c r="N1196" s="45"/>
      <c r="O1196" s="38">
        <v>1500</v>
      </c>
      <c r="P1196" s="15"/>
      <c r="Q1196" s="241"/>
      <c r="R1196" s="38"/>
      <c r="S1196" s="38"/>
      <c r="T1196" s="38"/>
      <c r="U1196" s="38"/>
      <c r="V1196" s="38"/>
      <c r="W1196" s="38"/>
      <c r="X1196" s="167"/>
      <c r="Y1196" s="279"/>
      <c r="Z1196" s="3"/>
      <c r="AA1196" s="3"/>
      <c r="AB1196" s="3"/>
      <c r="AC1196" s="3"/>
      <c r="AD1196" s="3"/>
      <c r="AE1196" s="3"/>
    </row>
    <row r="1197" spans="1:31" ht="15.75" customHeight="1" x14ac:dyDescent="0.25">
      <c r="A1197" s="6" t="s">
        <v>148</v>
      </c>
      <c r="B1197" s="29" t="s">
        <v>156</v>
      </c>
      <c r="C1197" s="17" t="s">
        <v>1084</v>
      </c>
      <c r="D1197" s="14"/>
      <c r="E1197" s="14"/>
      <c r="F1197" s="14"/>
      <c r="G1197" s="61">
        <f t="shared" si="528"/>
        <v>0</v>
      </c>
      <c r="H1197" s="15"/>
      <c r="I1197" s="45"/>
      <c r="J1197" s="45"/>
      <c r="K1197" s="45"/>
      <c r="L1197" s="45">
        <f t="shared" si="529"/>
        <v>0</v>
      </c>
      <c r="M1197" s="115">
        <f t="shared" si="526"/>
        <v>0</v>
      </c>
      <c r="N1197" s="45"/>
      <c r="O1197" s="38">
        <v>3000</v>
      </c>
      <c r="P1197" s="15"/>
      <c r="Q1197" s="241"/>
      <c r="R1197" s="38"/>
      <c r="S1197" s="38"/>
      <c r="T1197" s="38">
        <v>25000</v>
      </c>
      <c r="U1197" s="38"/>
      <c r="V1197" s="38"/>
      <c r="W1197" s="38"/>
      <c r="X1197" s="167"/>
      <c r="Y1197" s="279"/>
      <c r="Z1197" s="3"/>
      <c r="AA1197" s="3"/>
      <c r="AB1197" s="3"/>
      <c r="AC1197" s="3"/>
      <c r="AD1197" s="3"/>
      <c r="AE1197" s="3"/>
    </row>
    <row r="1198" spans="1:31" ht="15.75" customHeight="1" x14ac:dyDescent="0.25">
      <c r="A1198" s="6" t="s">
        <v>148</v>
      </c>
      <c r="B1198" s="29" t="s">
        <v>156</v>
      </c>
      <c r="C1198" s="17" t="s">
        <v>1085</v>
      </c>
      <c r="D1198" s="14"/>
      <c r="E1198" s="14"/>
      <c r="F1198" s="14"/>
      <c r="G1198" s="61">
        <f t="shared" si="528"/>
        <v>0</v>
      </c>
      <c r="H1198" s="15"/>
      <c r="I1198" s="45"/>
      <c r="J1198" s="45"/>
      <c r="K1198" s="45"/>
      <c r="L1198" s="45">
        <f t="shared" si="529"/>
        <v>0</v>
      </c>
      <c r="M1198" s="115">
        <f t="shared" si="526"/>
        <v>0</v>
      </c>
      <c r="N1198" s="45"/>
      <c r="O1198" s="38">
        <v>10500</v>
      </c>
      <c r="P1198" s="15"/>
      <c r="Q1198" s="241"/>
      <c r="R1198" s="38"/>
      <c r="S1198" s="38"/>
      <c r="T1198" s="38">
        <v>12000</v>
      </c>
      <c r="U1198" s="38"/>
      <c r="V1198" s="38"/>
      <c r="W1198" s="38"/>
      <c r="X1198" s="167"/>
      <c r="Y1198" s="279"/>
      <c r="Z1198" s="3"/>
      <c r="AA1198" s="3"/>
      <c r="AB1198" s="3"/>
      <c r="AC1198" s="3"/>
      <c r="AD1198" s="3"/>
      <c r="AE1198" s="3"/>
    </row>
    <row r="1199" spans="1:31" ht="15.75" customHeight="1" x14ac:dyDescent="0.25">
      <c r="A1199" s="6" t="s">
        <v>148</v>
      </c>
      <c r="B1199" s="29" t="s">
        <v>156</v>
      </c>
      <c r="C1199" s="17" t="s">
        <v>1086</v>
      </c>
      <c r="D1199" s="14"/>
      <c r="E1199" s="14"/>
      <c r="F1199" s="14"/>
      <c r="G1199" s="61">
        <f t="shared" ref="G1199" si="530">SUM(D1199:F1199)</f>
        <v>0</v>
      </c>
      <c r="H1199" s="15"/>
      <c r="I1199" s="45"/>
      <c r="J1199" s="45"/>
      <c r="K1199" s="45"/>
      <c r="L1199" s="45">
        <f t="shared" ref="L1199" si="531">SUM(I1199:K1199)</f>
        <v>0</v>
      </c>
      <c r="M1199" s="115">
        <f t="shared" ref="M1199" si="532">L1199-G1199</f>
        <v>0</v>
      </c>
      <c r="N1199" s="45"/>
      <c r="O1199" s="38"/>
      <c r="P1199" s="310">
        <v>1605</v>
      </c>
      <c r="Q1199" s="241"/>
      <c r="R1199" s="38"/>
      <c r="S1199" s="38"/>
      <c r="T1199" s="38"/>
      <c r="U1199" s="38"/>
      <c r="V1199" s="38"/>
      <c r="W1199" s="38"/>
      <c r="X1199" s="167"/>
      <c r="Y1199" s="279" t="s">
        <v>1087</v>
      </c>
      <c r="Z1199" s="3"/>
      <c r="AA1199" s="3"/>
      <c r="AB1199" s="3"/>
      <c r="AC1199" s="3"/>
      <c r="AD1199" s="3"/>
      <c r="AE1199" s="3"/>
    </row>
    <row r="1200" spans="1:31" ht="15.75" customHeight="1" x14ac:dyDescent="0.25">
      <c r="A1200" s="6" t="s">
        <v>148</v>
      </c>
      <c r="B1200" s="29" t="s">
        <v>156</v>
      </c>
      <c r="C1200" s="17"/>
      <c r="D1200" s="14"/>
      <c r="E1200" s="14"/>
      <c r="F1200" s="14"/>
      <c r="G1200" s="61">
        <f t="shared" ref="G1200:G1209" si="533">SUM(D1200:F1200)</f>
        <v>0</v>
      </c>
      <c r="H1200" s="15"/>
      <c r="I1200" s="45"/>
      <c r="J1200" s="45"/>
      <c r="K1200" s="45"/>
      <c r="L1200" s="45">
        <f t="shared" ref="L1200:L1209" si="534">SUM(I1200:K1200)</f>
        <v>0</v>
      </c>
      <c r="M1200" s="115">
        <f t="shared" ref="M1200:M1222" si="535">(L1200-G1200)</f>
        <v>0</v>
      </c>
      <c r="N1200" s="45"/>
      <c r="O1200" s="38"/>
      <c r="P1200" s="15"/>
      <c r="Q1200" s="241"/>
      <c r="R1200" s="38"/>
      <c r="S1200" s="38"/>
      <c r="T1200" s="38"/>
      <c r="U1200" s="38"/>
      <c r="V1200" s="38"/>
      <c r="W1200" s="38"/>
      <c r="X1200" s="167"/>
      <c r="Y1200" s="279"/>
      <c r="Z1200" s="3"/>
      <c r="AA1200" s="3"/>
      <c r="AB1200" s="3"/>
      <c r="AC1200" s="3"/>
      <c r="AD1200" s="3"/>
      <c r="AE1200" s="3"/>
    </row>
    <row r="1201" spans="1:31" ht="15.75" customHeight="1" x14ac:dyDescent="0.25">
      <c r="A1201" s="109"/>
      <c r="B1201" s="13"/>
      <c r="C1201" s="13" t="s">
        <v>1088</v>
      </c>
      <c r="D1201" s="14"/>
      <c r="E1201" s="14"/>
      <c r="F1201" s="14"/>
      <c r="G1201" s="61">
        <f>SUM(D1201:F1201)</f>
        <v>0</v>
      </c>
      <c r="H1201" s="15"/>
      <c r="I1201" s="14"/>
      <c r="J1201" s="14"/>
      <c r="K1201" s="14"/>
      <c r="L1201" s="14">
        <f t="shared" si="534"/>
        <v>0</v>
      </c>
      <c r="M1201" s="62">
        <f>(L1201-G1201)</f>
        <v>0</v>
      </c>
      <c r="N1201" s="14"/>
      <c r="O1201" s="38"/>
      <c r="P1201" s="15">
        <v>2030</v>
      </c>
      <c r="Q1201" s="241"/>
      <c r="R1201" s="38"/>
      <c r="S1201" s="38"/>
      <c r="T1201" s="38"/>
      <c r="U1201" s="38"/>
      <c r="V1201" s="38"/>
      <c r="W1201" s="38"/>
      <c r="X1201" s="167"/>
      <c r="Y1201" s="279"/>
      <c r="Z1201" s="3"/>
      <c r="AA1201" s="3"/>
      <c r="AB1201" s="3"/>
      <c r="AC1201" s="3"/>
      <c r="AD1201" s="3"/>
      <c r="AE1201" s="3"/>
    </row>
    <row r="1202" spans="1:31" ht="15.75" customHeight="1" x14ac:dyDescent="0.25">
      <c r="A1202" s="109"/>
      <c r="B1202" s="13"/>
      <c r="C1202" s="13" t="s">
        <v>1089</v>
      </c>
      <c r="D1202" s="14"/>
      <c r="E1202" s="14"/>
      <c r="F1202" s="14"/>
      <c r="G1202" s="61">
        <f>SUM(D1202:F1202)</f>
        <v>0</v>
      </c>
      <c r="H1202" s="15"/>
      <c r="I1202" s="14"/>
      <c r="J1202" s="14"/>
      <c r="K1202" s="14"/>
      <c r="L1202" s="14">
        <f t="shared" si="534"/>
        <v>0</v>
      </c>
      <c r="M1202" s="62">
        <f>(L1202-G1202)</f>
        <v>0</v>
      </c>
      <c r="N1202" s="14"/>
      <c r="O1202" s="38"/>
      <c r="P1202" s="15">
        <v>10000</v>
      </c>
      <c r="Q1202" s="241"/>
      <c r="R1202" s="38"/>
      <c r="S1202" s="38"/>
      <c r="T1202" s="38"/>
      <c r="U1202" s="38"/>
      <c r="V1202" s="38"/>
      <c r="W1202" s="38"/>
      <c r="X1202" s="167"/>
      <c r="Y1202" s="279"/>
      <c r="Z1202" s="3"/>
      <c r="AA1202" s="3"/>
      <c r="AB1202" s="3"/>
      <c r="AC1202" s="3"/>
      <c r="AD1202" s="3"/>
      <c r="AE1202" s="3"/>
    </row>
    <row r="1203" spans="1:31" ht="15.75" customHeight="1" x14ac:dyDescent="0.25">
      <c r="A1203" s="109"/>
      <c r="B1203" s="13"/>
      <c r="C1203" s="13" t="s">
        <v>1090</v>
      </c>
      <c r="D1203" s="14"/>
      <c r="E1203" s="14"/>
      <c r="F1203" s="14"/>
      <c r="G1203" s="61">
        <f>SUM(D1203:F1203)</f>
        <v>0</v>
      </c>
      <c r="H1203" s="15"/>
      <c r="I1203" s="14"/>
      <c r="J1203" s="14"/>
      <c r="K1203" s="14"/>
      <c r="L1203" s="14">
        <f t="shared" si="534"/>
        <v>0</v>
      </c>
      <c r="M1203" s="62">
        <f>(L1203-G1203)</f>
        <v>0</v>
      </c>
      <c r="N1203" s="14"/>
      <c r="O1203" s="38"/>
      <c r="P1203" s="15">
        <v>650</v>
      </c>
      <c r="Q1203" s="241"/>
      <c r="R1203" s="38"/>
      <c r="S1203" s="38"/>
      <c r="T1203" s="38"/>
      <c r="U1203" s="38"/>
      <c r="V1203" s="38"/>
      <c r="W1203" s="38"/>
      <c r="X1203" s="167"/>
      <c r="Y1203" s="279"/>
      <c r="Z1203" s="3"/>
      <c r="AA1203" s="3"/>
      <c r="AB1203" s="3"/>
      <c r="AC1203" s="3"/>
      <c r="AD1203" s="3"/>
      <c r="AE1203" s="3"/>
    </row>
    <row r="1204" spans="1:31" ht="15.75" customHeight="1" x14ac:dyDescent="0.25">
      <c r="A1204" s="6" t="s">
        <v>148</v>
      </c>
      <c r="B1204" s="29" t="s">
        <v>157</v>
      </c>
      <c r="C1204" s="29" t="s">
        <v>157</v>
      </c>
      <c r="D1204" s="14">
        <v>158594</v>
      </c>
      <c r="E1204" s="14">
        <v>72924</v>
      </c>
      <c r="F1204" s="14"/>
      <c r="G1204" s="61">
        <f t="shared" si="533"/>
        <v>231518</v>
      </c>
      <c r="H1204" s="15">
        <v>22641</v>
      </c>
      <c r="I1204" s="45">
        <v>165403</v>
      </c>
      <c r="J1204" s="45">
        <v>99060</v>
      </c>
      <c r="K1204" s="45"/>
      <c r="L1204" s="45">
        <f t="shared" si="534"/>
        <v>264463</v>
      </c>
      <c r="M1204" s="115">
        <f t="shared" si="535"/>
        <v>32945</v>
      </c>
      <c r="N1204" s="45"/>
      <c r="O1204" s="38"/>
      <c r="P1204" s="15"/>
      <c r="Q1204" s="241"/>
      <c r="R1204" s="38"/>
      <c r="S1204" s="38"/>
      <c r="T1204" s="38"/>
      <c r="U1204" s="38"/>
      <c r="V1204" s="38"/>
      <c r="W1204" s="38"/>
      <c r="X1204" s="167"/>
      <c r="Y1204" s="279"/>
      <c r="Z1204" s="3"/>
      <c r="AA1204" s="3"/>
      <c r="AB1204" s="3"/>
      <c r="AC1204" s="3"/>
      <c r="AD1204" s="3"/>
      <c r="AE1204" s="3"/>
    </row>
    <row r="1205" spans="1:31" ht="15.75" customHeight="1" x14ac:dyDescent="0.25">
      <c r="A1205" s="6" t="s">
        <v>148</v>
      </c>
      <c r="B1205" s="29" t="s">
        <v>157</v>
      </c>
      <c r="C1205" s="17" t="s">
        <v>1091</v>
      </c>
      <c r="D1205" s="15"/>
      <c r="E1205" s="15"/>
      <c r="F1205" s="15"/>
      <c r="G1205" s="61">
        <f t="shared" si="533"/>
        <v>0</v>
      </c>
      <c r="H1205" s="15"/>
      <c r="I1205" s="45"/>
      <c r="J1205" s="45"/>
      <c r="K1205" s="45"/>
      <c r="L1205" s="45">
        <f t="shared" si="534"/>
        <v>0</v>
      </c>
      <c r="M1205" s="115">
        <f t="shared" si="535"/>
        <v>0</v>
      </c>
      <c r="N1205" s="45"/>
      <c r="O1205" s="38">
        <v>1500</v>
      </c>
      <c r="P1205" s="15"/>
      <c r="Q1205" s="241"/>
      <c r="R1205" s="38"/>
      <c r="S1205" s="38"/>
      <c r="T1205" s="38"/>
      <c r="U1205" s="38"/>
      <c r="V1205" s="38"/>
      <c r="W1205" s="38"/>
      <c r="X1205" s="167"/>
    </row>
    <row r="1206" spans="1:31" ht="15.75" customHeight="1" x14ac:dyDescent="0.25">
      <c r="A1206" s="109"/>
      <c r="B1206" s="13"/>
      <c r="C1206" s="13" t="s">
        <v>504</v>
      </c>
      <c r="D1206" s="14"/>
      <c r="E1206" s="14"/>
      <c r="F1206" s="14"/>
      <c r="G1206" s="61">
        <f>SUM(D1206:F1206)</f>
        <v>0</v>
      </c>
      <c r="H1206" s="15"/>
      <c r="I1206" s="45"/>
      <c r="J1206" s="45"/>
      <c r="K1206" s="45"/>
      <c r="L1206" s="45">
        <f t="shared" si="534"/>
        <v>0</v>
      </c>
      <c r="M1206" s="115">
        <f>(L1206-G1206)</f>
        <v>0</v>
      </c>
      <c r="N1206" s="45"/>
      <c r="O1206" s="38">
        <v>500</v>
      </c>
      <c r="P1206" s="15"/>
      <c r="Q1206" s="241"/>
      <c r="R1206" s="38"/>
      <c r="S1206" s="38"/>
      <c r="T1206" s="38"/>
      <c r="U1206" s="38"/>
      <c r="V1206" s="38"/>
      <c r="W1206" s="38"/>
      <c r="X1206" s="167"/>
    </row>
    <row r="1207" spans="1:31" ht="15.75" customHeight="1" x14ac:dyDescent="0.25">
      <c r="A1207" s="109"/>
      <c r="B1207" s="13"/>
      <c r="C1207" s="13" t="s">
        <v>1092</v>
      </c>
      <c r="D1207" s="14"/>
      <c r="E1207" s="14"/>
      <c r="F1207" s="14"/>
      <c r="G1207" s="61">
        <f>SUM(D1207:F1207)</f>
        <v>0</v>
      </c>
      <c r="H1207" s="15"/>
      <c r="I1207" s="14"/>
      <c r="J1207" s="14"/>
      <c r="K1207" s="14"/>
      <c r="L1207" s="14">
        <f t="shared" si="534"/>
        <v>0</v>
      </c>
      <c r="M1207" s="62">
        <f>(L1207-G1207)</f>
        <v>0</v>
      </c>
      <c r="N1207" s="14"/>
      <c r="O1207" s="38"/>
      <c r="P1207" s="15">
        <v>1040</v>
      </c>
      <c r="Q1207" s="241"/>
      <c r="R1207" s="38"/>
      <c r="S1207" s="38"/>
      <c r="T1207" s="38"/>
      <c r="U1207" s="38"/>
      <c r="V1207" s="38"/>
      <c r="W1207" s="38"/>
      <c r="X1207" s="167"/>
    </row>
    <row r="1208" spans="1:31" ht="15.75" customHeight="1" x14ac:dyDescent="0.25">
      <c r="A1208" s="109"/>
      <c r="B1208" s="13"/>
      <c r="C1208" s="13"/>
      <c r="D1208" s="14"/>
      <c r="E1208" s="14"/>
      <c r="F1208" s="14"/>
      <c r="G1208" s="61">
        <f>SUM(D1208:F1208)</f>
        <v>0</v>
      </c>
      <c r="H1208" s="15"/>
      <c r="I1208" s="14"/>
      <c r="J1208" s="14"/>
      <c r="K1208" s="14"/>
      <c r="L1208" s="14">
        <f t="shared" si="534"/>
        <v>0</v>
      </c>
      <c r="M1208" s="62">
        <f>(L1208-G1208)</f>
        <v>0</v>
      </c>
      <c r="N1208" s="14"/>
      <c r="O1208" s="38"/>
      <c r="P1208" s="15"/>
      <c r="Q1208" s="241"/>
      <c r="R1208" s="38"/>
      <c r="S1208" s="38"/>
      <c r="T1208" s="38"/>
      <c r="U1208" s="38"/>
      <c r="V1208" s="38"/>
      <c r="W1208" s="38"/>
      <c r="X1208" s="167"/>
    </row>
    <row r="1209" spans="1:31" ht="15.75" customHeight="1" x14ac:dyDescent="0.25">
      <c r="A1209" s="6" t="s">
        <v>148</v>
      </c>
      <c r="B1209" s="17" t="s">
        <v>152</v>
      </c>
      <c r="C1209" s="13" t="s">
        <v>152</v>
      </c>
      <c r="D1209" s="15"/>
      <c r="E1209" s="15"/>
      <c r="F1209" s="15"/>
      <c r="G1209" s="61">
        <f t="shared" si="533"/>
        <v>0</v>
      </c>
      <c r="H1209" s="15"/>
      <c r="I1209" s="15"/>
      <c r="J1209" s="15"/>
      <c r="K1209" s="15"/>
      <c r="L1209" s="14">
        <f t="shared" si="534"/>
        <v>0</v>
      </c>
      <c r="M1209" s="62">
        <f t="shared" si="535"/>
        <v>0</v>
      </c>
      <c r="N1209" s="45">
        <v>512589</v>
      </c>
      <c r="O1209" s="38"/>
      <c r="P1209" s="15"/>
      <c r="Q1209" s="241"/>
      <c r="R1209" s="38"/>
      <c r="S1209" s="38"/>
      <c r="T1209" s="38"/>
      <c r="U1209" s="38"/>
      <c r="V1209" s="38"/>
      <c r="W1209" s="38"/>
      <c r="X1209" s="167"/>
    </row>
    <row r="1210" spans="1:31" ht="15.75" customHeight="1" x14ac:dyDescent="0.25">
      <c r="A1210" s="6" t="s">
        <v>148</v>
      </c>
      <c r="B1210" s="29" t="s">
        <v>149</v>
      </c>
      <c r="C1210" s="13" t="s">
        <v>509</v>
      </c>
      <c r="D1210" s="14"/>
      <c r="E1210" s="14">
        <v>245450</v>
      </c>
      <c r="F1210" s="14"/>
      <c r="G1210" s="61">
        <f t="shared" ref="G1210:G1218" si="536">SUM(D1210:F1210)</f>
        <v>245450</v>
      </c>
      <c r="H1210" s="15"/>
      <c r="I1210" s="14"/>
      <c r="J1210" s="45">
        <v>409750</v>
      </c>
      <c r="K1210" s="14"/>
      <c r="L1210" s="14">
        <f t="shared" ref="L1210:L1222" si="537">SUM(I1210:K1210)</f>
        <v>409750</v>
      </c>
      <c r="M1210" s="62">
        <f t="shared" si="535"/>
        <v>164300</v>
      </c>
      <c r="N1210" s="14"/>
      <c r="O1210" s="38"/>
      <c r="P1210" s="15"/>
      <c r="Q1210" s="241"/>
      <c r="R1210" s="38"/>
      <c r="S1210" s="38"/>
      <c r="T1210" s="38"/>
      <c r="U1210" s="38"/>
      <c r="V1210" s="38"/>
      <c r="W1210" s="38"/>
      <c r="X1210" s="167"/>
      <c r="Y1210" s="279"/>
      <c r="Z1210" s="3"/>
      <c r="AA1210" s="3"/>
      <c r="AB1210" s="3"/>
      <c r="AC1210" s="3"/>
      <c r="AD1210" s="3"/>
      <c r="AE1210" s="3"/>
    </row>
    <row r="1211" spans="1:31" ht="15.75" customHeight="1" x14ac:dyDescent="0.25">
      <c r="A1211" s="6" t="s">
        <v>148</v>
      </c>
      <c r="B1211" s="29" t="s">
        <v>149</v>
      </c>
      <c r="C1211" s="13" t="s">
        <v>510</v>
      </c>
      <c r="D1211" s="14"/>
      <c r="E1211" s="14">
        <v>114100</v>
      </c>
      <c r="F1211" s="14"/>
      <c r="G1211" s="61">
        <f t="shared" si="536"/>
        <v>114100</v>
      </c>
      <c r="H1211" s="15"/>
      <c r="I1211" s="14"/>
      <c r="J1211" s="45">
        <v>127022</v>
      </c>
      <c r="K1211" s="14"/>
      <c r="L1211" s="14">
        <f t="shared" si="537"/>
        <v>127022</v>
      </c>
      <c r="M1211" s="62">
        <f t="shared" si="535"/>
        <v>12922</v>
      </c>
      <c r="N1211" s="14"/>
      <c r="O1211" s="38"/>
      <c r="P1211" s="15"/>
      <c r="Q1211" s="241"/>
      <c r="R1211" s="38"/>
      <c r="S1211" s="38"/>
      <c r="T1211" s="38"/>
      <c r="U1211" s="38"/>
      <c r="V1211" s="38"/>
      <c r="W1211" s="38"/>
      <c r="X1211" s="167"/>
      <c r="Y1211" s="279"/>
      <c r="Z1211" s="3"/>
      <c r="AA1211" s="3"/>
      <c r="AB1211" s="3"/>
      <c r="AC1211" s="3"/>
      <c r="AD1211" s="3"/>
      <c r="AE1211" s="3"/>
    </row>
    <row r="1212" spans="1:31" ht="15.75" customHeight="1" x14ac:dyDescent="0.25">
      <c r="A1212" s="6" t="s">
        <v>148</v>
      </c>
      <c r="B1212" s="29" t="s">
        <v>149</v>
      </c>
      <c r="C1212" s="13" t="s">
        <v>511</v>
      </c>
      <c r="D1212" s="14"/>
      <c r="E1212" s="14">
        <v>19492</v>
      </c>
      <c r="F1212" s="14"/>
      <c r="G1212" s="61">
        <f t="shared" si="536"/>
        <v>19492</v>
      </c>
      <c r="H1212" s="15"/>
      <c r="I1212" s="14"/>
      <c r="J1212" s="14">
        <v>16894</v>
      </c>
      <c r="K1212" s="14"/>
      <c r="L1212" s="14">
        <f t="shared" si="537"/>
        <v>16894</v>
      </c>
      <c r="M1212" s="62">
        <f t="shared" si="535"/>
        <v>-2598</v>
      </c>
      <c r="N1212" s="14"/>
      <c r="O1212" s="38"/>
      <c r="P1212" s="15"/>
      <c r="Q1212" s="241"/>
      <c r="R1212" s="38"/>
      <c r="S1212" s="38"/>
      <c r="T1212" s="38"/>
      <c r="U1212" s="38"/>
      <c r="V1212" s="38"/>
      <c r="W1212" s="38"/>
      <c r="X1212" s="167"/>
      <c r="Y1212" s="279"/>
      <c r="Z1212" s="3"/>
      <c r="AA1212" s="3"/>
      <c r="AB1212" s="3"/>
      <c r="AC1212" s="3"/>
      <c r="AD1212" s="3"/>
      <c r="AE1212" s="3"/>
    </row>
    <row r="1213" spans="1:31" ht="15.75" customHeight="1" x14ac:dyDescent="0.25">
      <c r="A1213" s="6" t="s">
        <v>148</v>
      </c>
      <c r="B1213" s="29" t="s">
        <v>149</v>
      </c>
      <c r="C1213" s="13" t="s">
        <v>514</v>
      </c>
      <c r="D1213" s="14"/>
      <c r="E1213" s="14">
        <v>370000</v>
      </c>
      <c r="F1213" s="14"/>
      <c r="G1213" s="61">
        <f t="shared" si="536"/>
        <v>370000</v>
      </c>
      <c r="H1213" s="15"/>
      <c r="I1213" s="14"/>
      <c r="J1213" s="45">
        <v>500000</v>
      </c>
      <c r="K1213" s="14"/>
      <c r="L1213" s="14">
        <f t="shared" si="537"/>
        <v>500000</v>
      </c>
      <c r="M1213" s="62">
        <f t="shared" si="535"/>
        <v>130000</v>
      </c>
      <c r="N1213" s="14"/>
      <c r="O1213" s="38"/>
      <c r="P1213" s="15"/>
      <c r="Q1213" s="241"/>
      <c r="R1213" s="38"/>
      <c r="S1213" s="38"/>
      <c r="T1213" s="38"/>
      <c r="U1213" s="38"/>
      <c r="V1213" s="38"/>
      <c r="W1213" s="38"/>
      <c r="X1213" s="167"/>
      <c r="Y1213" s="279"/>
      <c r="Z1213" s="3"/>
      <c r="AA1213" s="3"/>
      <c r="AB1213" s="3"/>
      <c r="AC1213" s="3"/>
      <c r="AD1213" s="3"/>
      <c r="AE1213" s="3"/>
    </row>
    <row r="1214" spans="1:31" ht="15.75" customHeight="1" x14ac:dyDescent="0.25">
      <c r="A1214" s="6" t="s">
        <v>148</v>
      </c>
      <c r="B1214" s="29" t="s">
        <v>149</v>
      </c>
      <c r="C1214" s="13" t="s">
        <v>516</v>
      </c>
      <c r="D1214" s="14"/>
      <c r="E1214" s="14">
        <v>466103</v>
      </c>
      <c r="F1214" s="14"/>
      <c r="G1214" s="61">
        <f t="shared" si="536"/>
        <v>466103</v>
      </c>
      <c r="H1214" s="15"/>
      <c r="I1214" s="14"/>
      <c r="J1214" s="45">
        <v>375183</v>
      </c>
      <c r="K1214" s="14"/>
      <c r="L1214" s="14">
        <f t="shared" si="537"/>
        <v>375183</v>
      </c>
      <c r="M1214" s="62">
        <f t="shared" si="535"/>
        <v>-90920</v>
      </c>
      <c r="N1214" s="14"/>
      <c r="O1214" s="38"/>
      <c r="P1214" s="15"/>
      <c r="Q1214" s="241"/>
      <c r="R1214" s="38"/>
      <c r="S1214" s="38"/>
      <c r="T1214" s="38"/>
      <c r="U1214" s="38"/>
      <c r="V1214" s="38"/>
      <c r="W1214" s="38"/>
      <c r="X1214" s="167"/>
      <c r="Y1214" s="279"/>
      <c r="Z1214" s="3"/>
      <c r="AA1214" s="3"/>
      <c r="AB1214" s="3"/>
      <c r="AC1214" s="3"/>
      <c r="AD1214" s="3"/>
      <c r="AE1214" s="3"/>
    </row>
    <row r="1215" spans="1:31" ht="15.75" customHeight="1" x14ac:dyDescent="0.25">
      <c r="A1215" s="6" t="s">
        <v>148</v>
      </c>
      <c r="B1215" s="29" t="s">
        <v>149</v>
      </c>
      <c r="C1215" s="13" t="s">
        <v>517</v>
      </c>
      <c r="D1215" s="14"/>
      <c r="E1215" s="14">
        <v>350000</v>
      </c>
      <c r="F1215" s="14"/>
      <c r="G1215" s="61">
        <f t="shared" si="536"/>
        <v>350000</v>
      </c>
      <c r="H1215" s="15"/>
      <c r="I1215" s="14"/>
      <c r="J1215" s="14">
        <v>540000</v>
      </c>
      <c r="K1215" s="14"/>
      <c r="L1215" s="14">
        <f t="shared" si="537"/>
        <v>540000</v>
      </c>
      <c r="M1215" s="62">
        <f t="shared" si="535"/>
        <v>190000</v>
      </c>
      <c r="N1215" s="14"/>
      <c r="O1215" s="38"/>
      <c r="P1215" s="15"/>
      <c r="Q1215" s="241"/>
      <c r="R1215" s="38"/>
      <c r="S1215" s="38"/>
      <c r="T1215" s="38"/>
      <c r="U1215" s="38"/>
      <c r="V1215" s="38"/>
      <c r="W1215" s="38"/>
      <c r="X1215" s="167"/>
      <c r="Y1215" s="279"/>
      <c r="Z1215" s="3"/>
      <c r="AA1215" s="3"/>
      <c r="AB1215" s="3"/>
      <c r="AC1215" s="3"/>
      <c r="AD1215" s="3"/>
      <c r="AE1215" s="3"/>
    </row>
    <row r="1216" spans="1:31" ht="15.75" customHeight="1" x14ac:dyDescent="0.25">
      <c r="A1216" s="109"/>
      <c r="B1216" s="13"/>
      <c r="C1216" s="13" t="s">
        <v>518</v>
      </c>
      <c r="D1216" s="14"/>
      <c r="E1216" s="14"/>
      <c r="F1216" s="14"/>
      <c r="G1216" s="61">
        <f>SUM(D1216:F1216)</f>
        <v>0</v>
      </c>
      <c r="H1216" s="15"/>
      <c r="I1216" s="14"/>
      <c r="J1216" s="14"/>
      <c r="K1216" s="14"/>
      <c r="L1216" s="14">
        <f>SUM(I1216:K1216)</f>
        <v>0</v>
      </c>
      <c r="M1216" s="62">
        <f>(L1216-G1216)</f>
        <v>0</v>
      </c>
      <c r="N1216" s="14">
        <v>161200</v>
      </c>
      <c r="O1216" s="38"/>
      <c r="P1216" s="15"/>
      <c r="Q1216" s="241"/>
      <c r="R1216" s="38"/>
      <c r="S1216" s="38"/>
      <c r="T1216" s="38"/>
      <c r="U1216" s="38"/>
      <c r="V1216" s="38"/>
      <c r="W1216" s="38"/>
      <c r="X1216" s="167"/>
      <c r="Y1216" s="279"/>
      <c r="Z1216" s="3"/>
      <c r="AA1216" s="3"/>
      <c r="AB1216" s="3"/>
      <c r="AC1216" s="3"/>
      <c r="AD1216" s="3"/>
      <c r="AE1216" s="3"/>
    </row>
    <row r="1217" spans="1:31" ht="15.75" customHeight="1" x14ac:dyDescent="0.25">
      <c r="A1217" s="6" t="s">
        <v>148</v>
      </c>
      <c r="B1217" s="29" t="s">
        <v>154</v>
      </c>
      <c r="C1217" s="29" t="s">
        <v>154</v>
      </c>
      <c r="D1217" s="14">
        <v>295781</v>
      </c>
      <c r="E1217" s="14">
        <v>19100</v>
      </c>
      <c r="F1217" s="14">
        <v>9200</v>
      </c>
      <c r="G1217" s="61">
        <f t="shared" si="536"/>
        <v>324081</v>
      </c>
      <c r="H1217" s="15">
        <v>33418</v>
      </c>
      <c r="I1217" s="45">
        <v>249310</v>
      </c>
      <c r="J1217" s="45">
        <v>18409</v>
      </c>
      <c r="K1217" s="45">
        <v>950</v>
      </c>
      <c r="L1217" s="14">
        <f t="shared" si="537"/>
        <v>268669</v>
      </c>
      <c r="M1217" s="62">
        <f t="shared" si="535"/>
        <v>-55412</v>
      </c>
      <c r="N1217" s="14"/>
      <c r="O1217" s="38"/>
      <c r="P1217" s="15"/>
      <c r="Q1217" s="241"/>
      <c r="R1217" s="38"/>
      <c r="S1217" s="38"/>
      <c r="T1217" s="38"/>
      <c r="U1217" s="38"/>
      <c r="V1217" s="38"/>
      <c r="W1217" s="38"/>
      <c r="X1217" s="167"/>
      <c r="Y1217" s="279"/>
      <c r="Z1217" s="3"/>
      <c r="AA1217" s="3"/>
      <c r="AB1217" s="3"/>
      <c r="AC1217" s="3"/>
      <c r="AD1217" s="3"/>
      <c r="AE1217" s="3"/>
    </row>
    <row r="1218" spans="1:31" ht="15.75" customHeight="1" x14ac:dyDescent="0.25">
      <c r="A1218" s="6" t="s">
        <v>148</v>
      </c>
      <c r="B1218" s="29" t="s">
        <v>151</v>
      </c>
      <c r="C1218" s="29" t="s">
        <v>151</v>
      </c>
      <c r="D1218" s="14">
        <v>567176</v>
      </c>
      <c r="E1218" s="14">
        <v>45328</v>
      </c>
      <c r="F1218" s="14">
        <v>8237</v>
      </c>
      <c r="G1218" s="61">
        <f t="shared" si="536"/>
        <v>620741</v>
      </c>
      <c r="H1218" s="15">
        <v>106053</v>
      </c>
      <c r="I1218" s="45">
        <v>580855</v>
      </c>
      <c r="J1218" s="45">
        <v>61601</v>
      </c>
      <c r="K1218" s="45">
        <v>1650</v>
      </c>
      <c r="L1218" s="14">
        <f t="shared" si="537"/>
        <v>644106</v>
      </c>
      <c r="M1218" s="62">
        <f t="shared" si="535"/>
        <v>23365</v>
      </c>
      <c r="N1218" s="14"/>
      <c r="O1218" s="38"/>
      <c r="P1218" s="15"/>
      <c r="Q1218" s="241"/>
      <c r="R1218" s="38"/>
      <c r="S1218" s="38"/>
      <c r="T1218" s="38"/>
      <c r="U1218" s="38"/>
      <c r="V1218" s="38"/>
      <c r="W1218" s="38"/>
      <c r="X1218" s="167"/>
      <c r="Y1218" s="279"/>
      <c r="Z1218" s="3"/>
      <c r="AA1218" s="3"/>
      <c r="AB1218" s="3"/>
      <c r="AC1218" s="3"/>
      <c r="AD1218" s="3"/>
      <c r="AE1218" s="3"/>
    </row>
    <row r="1219" spans="1:31" ht="15.75" customHeight="1" x14ac:dyDescent="0.25">
      <c r="A1219" s="6" t="s">
        <v>148</v>
      </c>
      <c r="B1219" s="29" t="s">
        <v>151</v>
      </c>
      <c r="C1219" s="13" t="s">
        <v>519</v>
      </c>
      <c r="D1219" s="14"/>
      <c r="E1219" s="14"/>
      <c r="F1219" s="14"/>
      <c r="G1219" s="61">
        <f t="shared" ref="G1219" si="538">SUM(D1219:F1219)</f>
        <v>0</v>
      </c>
      <c r="H1219" s="15"/>
      <c r="I1219" s="14"/>
      <c r="J1219" s="15"/>
      <c r="K1219" s="14"/>
      <c r="L1219" s="14">
        <f t="shared" si="537"/>
        <v>0</v>
      </c>
      <c r="M1219" s="62">
        <f t="shared" si="535"/>
        <v>0</v>
      </c>
      <c r="N1219" s="45">
        <v>53112</v>
      </c>
      <c r="O1219" s="38"/>
      <c r="P1219" s="15"/>
      <c r="Q1219" s="241"/>
      <c r="R1219" s="38"/>
      <c r="S1219" s="38"/>
      <c r="T1219" s="38"/>
      <c r="U1219" s="38"/>
      <c r="V1219" s="38"/>
      <c r="W1219" s="38"/>
      <c r="X1219" s="167"/>
      <c r="Y1219" s="279"/>
      <c r="Z1219" s="3"/>
      <c r="AA1219" s="3"/>
      <c r="AB1219" s="3"/>
      <c r="AC1219" s="3"/>
      <c r="AD1219" s="3"/>
      <c r="AE1219" s="3"/>
    </row>
    <row r="1220" spans="1:31" ht="15.75" customHeight="1" x14ac:dyDescent="0.25">
      <c r="A1220" s="6" t="s">
        <v>148</v>
      </c>
      <c r="B1220" s="29" t="s">
        <v>151</v>
      </c>
      <c r="C1220" s="13" t="s">
        <v>1093</v>
      </c>
      <c r="D1220" s="14"/>
      <c r="E1220" s="14"/>
      <c r="F1220" s="14"/>
      <c r="G1220" s="61">
        <f t="shared" ref="G1220:G1222" si="539">SUM(D1220:F1220)</f>
        <v>0</v>
      </c>
      <c r="H1220" s="15"/>
      <c r="I1220" s="14"/>
      <c r="J1220" s="14"/>
      <c r="K1220" s="14"/>
      <c r="L1220" s="14">
        <f t="shared" si="537"/>
        <v>0</v>
      </c>
      <c r="M1220" s="62">
        <f t="shared" si="535"/>
        <v>0</v>
      </c>
      <c r="N1220" s="14"/>
      <c r="O1220" s="38"/>
      <c r="P1220" s="15"/>
      <c r="Q1220" s="241"/>
      <c r="R1220" s="38"/>
      <c r="S1220" s="38"/>
      <c r="T1220" s="38"/>
      <c r="U1220" s="38">
        <f>SUM(V1220:X1220)</f>
        <v>48720</v>
      </c>
      <c r="V1220" s="38"/>
      <c r="W1220" s="38">
        <v>48720</v>
      </c>
      <c r="X1220" s="167"/>
      <c r="Y1220" s="279"/>
      <c r="Z1220" s="3"/>
      <c r="AA1220" s="3"/>
      <c r="AB1220" s="3"/>
      <c r="AC1220" s="3"/>
      <c r="AD1220" s="3"/>
      <c r="AE1220" s="3"/>
    </row>
    <row r="1221" spans="1:31" ht="49.5" customHeight="1" x14ac:dyDescent="0.25">
      <c r="A1221" s="109"/>
      <c r="B1221" s="13"/>
      <c r="C1221" s="111" t="s">
        <v>1094</v>
      </c>
      <c r="D1221" s="14"/>
      <c r="E1221" s="14"/>
      <c r="F1221" s="14"/>
      <c r="G1221" s="61">
        <f>SUM(D1221:F1221)</f>
        <v>0</v>
      </c>
      <c r="H1221" s="15"/>
      <c r="I1221" s="14"/>
      <c r="J1221" s="14"/>
      <c r="K1221" s="14"/>
      <c r="L1221" s="14">
        <f>SUM(I1221:K1221)</f>
        <v>0</v>
      </c>
      <c r="M1221" s="62">
        <f>(L1221-G1221)</f>
        <v>0</v>
      </c>
      <c r="N1221" s="45">
        <v>100000</v>
      </c>
      <c r="O1221" s="38"/>
      <c r="P1221" s="15"/>
      <c r="Q1221" s="241"/>
      <c r="R1221" s="38"/>
      <c r="S1221" s="38"/>
      <c r="T1221" s="38"/>
      <c r="U1221" s="38"/>
      <c r="V1221" s="38"/>
      <c r="W1221" s="38"/>
      <c r="X1221" s="167"/>
      <c r="Y1221" s="279"/>
      <c r="Z1221" s="3"/>
      <c r="AA1221" s="3"/>
      <c r="AB1221" s="3"/>
      <c r="AC1221" s="3"/>
      <c r="AD1221" s="3"/>
      <c r="AE1221" s="3"/>
    </row>
    <row r="1222" spans="1:31" ht="15.75" customHeight="1" x14ac:dyDescent="0.25">
      <c r="A1222" s="6" t="s">
        <v>148</v>
      </c>
      <c r="B1222" s="29" t="s">
        <v>151</v>
      </c>
      <c r="C1222" s="13" t="s">
        <v>1095</v>
      </c>
      <c r="D1222" s="14"/>
      <c r="E1222" s="14"/>
      <c r="F1222" s="14"/>
      <c r="G1222" s="61">
        <f t="shared" si="539"/>
        <v>0</v>
      </c>
      <c r="H1222" s="15"/>
      <c r="I1222" s="14"/>
      <c r="J1222" s="14"/>
      <c r="K1222" s="14"/>
      <c r="L1222" s="14">
        <f t="shared" si="537"/>
        <v>0</v>
      </c>
      <c r="M1222" s="62">
        <f t="shared" si="535"/>
        <v>0</v>
      </c>
      <c r="N1222" s="14"/>
      <c r="O1222" s="38"/>
      <c r="P1222" s="15"/>
      <c r="Q1222" s="241"/>
      <c r="R1222" s="38"/>
      <c r="S1222" s="38"/>
      <c r="T1222" s="38"/>
      <c r="U1222" s="38"/>
      <c r="V1222" s="38"/>
      <c r="W1222" s="38"/>
      <c r="X1222" s="167"/>
      <c r="Y1222" s="279"/>
      <c r="Z1222" s="3"/>
      <c r="AA1222" s="3"/>
      <c r="AB1222" s="3"/>
      <c r="AC1222" s="3"/>
      <c r="AD1222" s="3"/>
      <c r="AE1222" s="3"/>
    </row>
    <row r="1223" spans="1:31" ht="15.75" customHeight="1" x14ac:dyDescent="0.25">
      <c r="A1223" s="109"/>
      <c r="B1223" s="3"/>
      <c r="C1223" s="13" t="s">
        <v>1096</v>
      </c>
      <c r="D1223" s="14"/>
      <c r="E1223" s="14"/>
      <c r="F1223" s="14"/>
      <c r="G1223" s="61">
        <f>SUM(D1223:F1223)</f>
        <v>0</v>
      </c>
      <c r="H1223" s="15"/>
      <c r="I1223" s="14"/>
      <c r="J1223" s="14"/>
      <c r="K1223" s="14"/>
      <c r="L1223" s="14">
        <f>SUM(I1223:K1223)</f>
        <v>0</v>
      </c>
      <c r="M1223" s="62">
        <f>(L1223-G1223)</f>
        <v>0</v>
      </c>
      <c r="N1223" s="14"/>
      <c r="O1223" s="38"/>
      <c r="P1223" s="15">
        <v>100000</v>
      </c>
      <c r="Q1223" s="241"/>
      <c r="R1223" s="38"/>
      <c r="S1223" s="38"/>
      <c r="T1223" s="38"/>
      <c r="U1223" s="38"/>
      <c r="V1223" s="38"/>
      <c r="W1223" s="38"/>
      <c r="X1223" s="167"/>
      <c r="Y1223" s="279"/>
      <c r="Z1223" s="3"/>
      <c r="AA1223" s="3"/>
      <c r="AB1223" s="3"/>
      <c r="AC1223" s="3"/>
      <c r="AD1223" s="3"/>
      <c r="AE1223" s="3"/>
    </row>
    <row r="1224" spans="1:31" ht="15.75" customHeight="1" x14ac:dyDescent="0.25">
      <c r="A1224" s="109"/>
      <c r="B1224" s="3"/>
      <c r="C1224" s="13" t="s">
        <v>1097</v>
      </c>
      <c r="D1224" s="14"/>
      <c r="E1224" s="14"/>
      <c r="F1224" s="14"/>
      <c r="G1224" s="61">
        <f>SUM(D1224:F1224)</f>
        <v>0</v>
      </c>
      <c r="H1224" s="15"/>
      <c r="I1224" s="14"/>
      <c r="J1224" s="14"/>
      <c r="K1224" s="14"/>
      <c r="L1224" s="14">
        <f>SUM(I1224:K1224)</f>
        <v>0</v>
      </c>
      <c r="M1224" s="62">
        <f>(L1224-G1224)</f>
        <v>0</v>
      </c>
      <c r="N1224" s="14"/>
      <c r="O1224" s="38"/>
      <c r="P1224" s="15">
        <v>22610</v>
      </c>
      <c r="Q1224" s="241"/>
      <c r="R1224" s="38"/>
      <c r="S1224" s="38"/>
      <c r="T1224" s="38"/>
      <c r="U1224" s="38"/>
      <c r="V1224" s="38"/>
      <c r="W1224" s="38"/>
      <c r="X1224" s="167"/>
      <c r="Y1224" s="279"/>
      <c r="Z1224" s="3"/>
      <c r="AA1224" s="3"/>
      <c r="AB1224" s="3"/>
      <c r="AC1224" s="3"/>
      <c r="AD1224" s="3"/>
      <c r="AE1224" s="3"/>
    </row>
    <row r="1225" spans="1:31" ht="15.75" customHeight="1" x14ac:dyDescent="0.25">
      <c r="A1225" s="3"/>
      <c r="B1225" s="3"/>
      <c r="C1225" s="234"/>
      <c r="D1225" s="89">
        <f>SUM(D1181:D1222)</f>
        <v>1654177</v>
      </c>
      <c r="E1225" s="89">
        <f>SUM(E1181:E1222)</f>
        <v>2026115</v>
      </c>
      <c r="F1225" s="89">
        <f>SUM(F1181:F1222)</f>
        <v>17437</v>
      </c>
      <c r="G1225" s="27">
        <f>SUM(G1181:G1222)</f>
        <v>3697729</v>
      </c>
      <c r="H1225" s="89">
        <f>SUM(H1181:H1224)</f>
        <v>241066</v>
      </c>
      <c r="I1225" s="89">
        <f>SUM(I1181:I1224)</f>
        <v>1589493</v>
      </c>
      <c r="J1225" s="89">
        <f>SUM(J1181:J1224)</f>
        <v>2676607</v>
      </c>
      <c r="K1225" s="89">
        <f>SUM(K1181:K1224)</f>
        <v>2600</v>
      </c>
      <c r="L1225" s="89">
        <f>SUM(L1181:L1224)</f>
        <v>4268700</v>
      </c>
      <c r="M1225" s="28">
        <f t="shared" ref="M1225" si="540">SUM(M1181:M1222)</f>
        <v>570971</v>
      </c>
      <c r="N1225" s="89">
        <f t="shared" ref="N1225:X1225" si="541">SUM(N1181:N1224)</f>
        <v>1863641</v>
      </c>
      <c r="O1225" s="89">
        <f t="shared" si="541"/>
        <v>37500</v>
      </c>
      <c r="P1225" s="210">
        <f t="shared" si="541"/>
        <v>148435</v>
      </c>
      <c r="Q1225" s="246">
        <f t="shared" si="541"/>
        <v>0</v>
      </c>
      <c r="R1225" s="89">
        <f t="shared" si="541"/>
        <v>0</v>
      </c>
      <c r="S1225" s="89">
        <f t="shared" si="541"/>
        <v>0</v>
      </c>
      <c r="T1225" s="89">
        <f t="shared" si="541"/>
        <v>37000</v>
      </c>
      <c r="U1225" s="89">
        <f t="shared" si="541"/>
        <v>270418</v>
      </c>
      <c r="V1225" s="89">
        <f t="shared" si="541"/>
        <v>0</v>
      </c>
      <c r="W1225" s="89">
        <f t="shared" si="541"/>
        <v>270418</v>
      </c>
      <c r="X1225" s="89">
        <f t="shared" si="541"/>
        <v>0</v>
      </c>
      <c r="Y1225" s="291"/>
    </row>
    <row r="1226" spans="1:31" ht="15.75" customHeight="1" x14ac:dyDescent="0.25">
      <c r="A1226" s="54" t="s">
        <v>159</v>
      </c>
      <c r="B1226" s="54" t="s">
        <v>159</v>
      </c>
      <c r="C1226" s="37" t="s">
        <v>159</v>
      </c>
      <c r="D1226" s="14"/>
      <c r="E1226" s="14">
        <v>70000</v>
      </c>
      <c r="F1226" s="14"/>
      <c r="G1226" s="61">
        <f>SUM(D1226:F1226)</f>
        <v>70000</v>
      </c>
      <c r="H1226" s="15"/>
      <c r="I1226" s="14"/>
      <c r="J1226" s="14">
        <v>80000</v>
      </c>
      <c r="K1226" s="14"/>
      <c r="L1226" s="14">
        <f>SUM(I1226:K1226)</f>
        <v>80000</v>
      </c>
      <c r="M1226" s="62">
        <f>(L1226-G1226)</f>
        <v>10000</v>
      </c>
      <c r="N1226" s="74"/>
      <c r="O1226" s="38"/>
      <c r="P1226" s="15"/>
      <c r="Q1226" s="241"/>
      <c r="R1226" s="38"/>
      <c r="S1226" s="38"/>
      <c r="T1226" s="38"/>
      <c r="U1226" s="38"/>
      <c r="V1226" s="38"/>
      <c r="W1226" s="38"/>
      <c r="X1226" s="38"/>
    </row>
    <row r="1227" spans="1:31" ht="15.75" customHeight="1" x14ac:dyDescent="0.25">
      <c r="C1227" s="49"/>
      <c r="D1227" s="14"/>
      <c r="E1227" s="14"/>
      <c r="F1227" s="14"/>
      <c r="G1227" s="61"/>
      <c r="H1227" s="15"/>
      <c r="I1227" s="14"/>
      <c r="J1227" s="14"/>
      <c r="K1227" s="14"/>
      <c r="L1227" s="14"/>
      <c r="M1227" s="62"/>
      <c r="N1227" s="14"/>
      <c r="O1227" s="38"/>
      <c r="P1227" s="15"/>
      <c r="Q1227" s="241"/>
      <c r="R1227" s="38"/>
      <c r="S1227" s="38"/>
      <c r="T1227" s="38"/>
      <c r="U1227" s="38"/>
      <c r="V1227" s="38"/>
      <c r="W1227" s="38"/>
      <c r="X1227" s="38"/>
    </row>
    <row r="1228" spans="1:31" ht="15.75" customHeight="1" x14ac:dyDescent="0.25">
      <c r="C1228" s="7" t="s">
        <v>521</v>
      </c>
      <c r="D1228" s="14">
        <f>SUM(D1227+D1226+D1225+D1179+D1178+D1167+D1156+D1139+D1121+D1109+D1099+D1093+D1061+D1038+D1027+D1008+D996+D971+D961+D931+D915+D897+D865+D851+D837+D825+D808+D800+D784+D777+D761+D746+D725+D696+D679+D650+D631+D593+D575+D567+D569+D536+D522+D518+D513+D484+D479+D473+D462+D453+D234+D253+D266+D281+D298+D312+D324+D347+D372+D397+D417+D431+D216+D199+D188+D170+D149+D133+D119+D96+D74+D50)</f>
        <v>11702793</v>
      </c>
      <c r="E1228" s="14" t="e">
        <f>SUM(E1227+E1226+E1225+E1179+E1178+E1167+E1156+E1139+E1121+E1109+E1099+E1093+E1061+E1038+E1027+E1008+E996+E971+E961+E931+E915+E897+E865+E851+E837+E825+E808+E800+E784+E777+E761+E746+E725+E696+E679+E650+E631+E593+E575+E567+E569+E536+E522+E518+E513+E484+E479+E473+E462+E453+E234+E253+E266+E281+E298+E312+E324+E347+E372+E397+E417+E431+E216+E199+E188+E170+E149+E133+E119+E96+E74+E50)</f>
        <v>#REF!</v>
      </c>
      <c r="F1228" s="14">
        <f>SUM(F1227+F1226+F1225+F1179+F1178+F1167+F1156+F1139+F1121+F1109+F1099+F1093+F1061+F1038+F1027+F1008+F996+F971+F961+F931+F915+F897+F865+F851+F837+F825+F808+F800+F784+F777+F761+F746+F725+F696+F679+F650+F631+F593+F575+F567+F569+F536+F522+F518+F513+F484+F479+F473+F462+F453+F234+F253+F266+F281+F298+F312+F324+F347+F372+F397+F417+F431+F216+F199+F188+F170+F149+F133+F119+F96+F74+F50)</f>
        <v>226986</v>
      </c>
      <c r="G1228" s="14" t="e">
        <f>SUM(G1227+G1226+G1225+G1179+G1178+G1167+G1156+G1139+G1121+G1109+G1099+G1093+G1061+G1038+G1027+G1008+G996+G971+G961+G931+G915+G897+G865+G851+G837+G825+G808+G800+G784+G777+G761+G746+G725+G696+G679+G650+G631+G593+G575+G567+G569+G536+G522+G518+G513+G484+G479+G473+G462+G453+G234+G253+G266+G281+G298+G312+G324+G347+G372+G397+G417+G431+G216+G199+G188+G170+G149+G133+G119+G96+G74+G50)</f>
        <v>#REF!</v>
      </c>
      <c r="H1228" s="14">
        <f>H1225+H1179+H1178+H1167+H1156+H1139+H1121+H1109+H1099+H1093+H1061+H1038+H1027+H1008+H996+H971+H961+H931+H915+H897+H865+H851+H837+H825+H808+H800+H784+H777+H761+H746+H725+H696+H679+H650+H631+H593+H575+H567+H536+H522+H518+H513+H484+H479+H473+H462+H453+H431+H417+H397+H372+H347+H324+H312+H298+H281+H266+H253+H234+H216+H199+H188+H170+H149+H133+H119+H96+H74+H54+H52+H50</f>
        <v>826782.68</v>
      </c>
      <c r="I1228" s="14">
        <f>I1225+I1179+I1178+I1167+I1156+I1139+I1121+I1109+I1099+I1093+I1061+I1038+I1027+I1008+I996+I971+I961+I931+I915+I897+I865+I851+I837+I825+I808+I800+I784+I777+I761+I746+I725+I696+I679+I650+I631+I593+I575+I567+I536+I522+I518+I513+I484+I479+I473+I462+I453+I431+I417+I397+I372+I347+I324+I312+I298+I281+I266+I253+I234+I216+I199+I188+I170+I149+I133+I119+I96+I74+I54+I52+I50</f>
        <v>12757832</v>
      </c>
      <c r="J1228" s="14">
        <f>J1226+J1225+J1179+J1178+J1167+J1156+J1139+J1121+J1109+J1099+J1093+J1061+J1038+J1027+J1008+J996+J971+J961+J931+J915+J897+J865+J851+J837+J825+J808+J800+J784+J777+J761+J746+J725+J696+J679+J650+J631+J593+J575+J567+J536+J522+J518+J513+J484+J479+J473+J462+J453+J431+J417+J397+J372+J347+J324+J312+J298+J281+J266+J253+J234+J216+J199+J188+J170+J149+J133+J119+J96+J74+J54+J52+J50</f>
        <v>11179502</v>
      </c>
      <c r="K1228" s="14">
        <f>K1225+K1179+K1178+K1167+K1156+K1139+K1121+K1109+K1099+K1093+K1061+K1038+K1027+K1008+K996+K971+K961+K931+K915+K897+K865+K851+K837+K825+K808+K800+K784+K777+K761+K746+K725+K696+K679+K650+K631+K593+K575+K567+K536+K522+K518+K513+K484+K479+K473+K462+K453+K431+K417+K397+K372+K347+K324+K312+K298+K281+K266+K253+K234+K216+K199+K188+K170+K149+K133+K119+K96+K74+K54+K52+K50</f>
        <v>51191</v>
      </c>
      <c r="L1228" s="14">
        <f>SUM(L1227+L1226+L1225+L1179+L1178+L1167+L1156+L1139+L1121+L1109+L1099+L1093+L1061+L1038+L1027+L1008+L996+L971+L961+L931+L915+L897+L865+L851+L837+L825+L808+L800+L784+L777+L761+L746+L725+L696+L679+L650+L631+L593+L575+L567+L569+L536+L522+L518+L513+L484+L479+L473+L462+L453+L234+L253+L266+L281+L298+L312+L324+L347+L372+L397+L417+L431+L216+L199+L188+L170+L149+L133+L119+L96+L74+L54+L52+L50)</f>
        <v>23988525</v>
      </c>
      <c r="M1228" s="62" t="e">
        <f>(L1228-G1228)</f>
        <v>#REF!</v>
      </c>
      <c r="N1228" s="14">
        <f>N1225+N1179+N1178+N1167+N1156+N1139+N1121+N1109+N1099+N1093+N1061+N1038+N1027+N1008+N996+N971+N961+N931+N915+N897+N865+N851+N837+N825+N808+N800+N784+N777+N761+N746+N725+N696+N679+N650+N631+N593+N575+N567+N536+N522+N518+N513+N484+N479+N473+N462+N453+N431+N417+N397+N372+N347+N324+N312+N298+N281+N266+N253+N234+N216+N199+N188+N170+N149+N133+N119+N96+N74+N54+N52+N50</f>
        <v>7955883</v>
      </c>
      <c r="O1228" s="38">
        <f>O1225+O1179+O1178+O1167+O1156+O1139+O1121+O1109+O1099+O1093+O1061+O1038+O1027+O1008+O996+O971+O961+O931+O915+O897+O865+O851+O837+O825+O808+O800+O784+O777+O761+O746+O725+O696+O679+O650+O631+O593+O575+O567+O536+O522+O518+O513+O484+O479+O473+O462+O453+O431+O417+O397+O372+O347+O324+O312+O298+O281+O266+O253+O234+O216+O199+O188+O170+O149+O133+O119+O96+O74+O54+O52+O50</f>
        <v>266519</v>
      </c>
      <c r="P1228" s="15">
        <f>P1225+P1179+P1178+P1167+P1156+P1139+P1121+P1109+P1099+P1093+P1061+P1038+P1027+P1008+P996+P971+P961+P931+P915+P897+P865+P851+P837+P825+P808+P800+P784+P777+P761+P746+P725+P696+P679+P650+P631+P593+P575+P567+P536+P522+P518+P513+P484+P479+P473+P462+P453+P431+P417+P397+P372+P347+P324+P312+P298+P281+P266+P253+P234+P216+P199+P188+P170+P149+P133+P119+P96+P74+P54+P52+P50</f>
        <v>1171549.23</v>
      </c>
      <c r="Q1228" s="241">
        <f>Q1225+Q1179+Q1178+Q1167+Q1156+Q1139+Q1121+Q1109+Q1099+Q1093+Q1061+Q1038+Q1027+Q1008+Q996+Q971+Q961+Q931+Q915+Q897+Q865+Q851+Q837+Q825+Q808+Q800+Q784+Q777+Q761+Q746+Q725+Q696+Q679+Q650+Q631+Q593+Q575+Q567+Q536+Q522+Q518+Q513+Q484+Q479+Q473+Q462+Q453+Q431+Q417+Q397+Q372+Q347+Q324+Q312+Q298+Q281+Q266+Q253+Q234+Q216+Q199+Q188+Q170+Q149+Q133+Q119+Q96+Q74+Q54+Q52+Q50</f>
        <v>404361</v>
      </c>
      <c r="R1228" s="38">
        <f>R1225+R1179+R1178+R1167+R1156+R1139+R1121+R1109+R1099+R1093+R1061+R1038+R1027+R1008+R996+R971+R961+R931+R915+R897+R865+R851+R837+R825+R808+R800+R784+R777+R761+R746+R725+R696+R679+R650+R631+R593+R575+R567+R536+R522+R518+R513+R484+R479+R473+R462+R453+R431+R417+R397+R372+R347+R324+R312+R298+R281+R266+R253+R234+R216+R199+R188+R170+R149+R133+R119+R96+R74+R54+R52+R50</f>
        <v>491150</v>
      </c>
      <c r="S1228" s="38">
        <f>SUM(S1227+S1226+S1225+S1179+S1178+S1167+S1156+S1139+S1121+S1109+S1099+S1093+S1061+S1038+S1027+S1008+S996+S971+S961+S931+S915+S897+S865+S851+S837+S825+S808+S800+S784+S777+S761+S746+S725+S696+S679+S650+S631+S593+S575+S567+S569+S536+S522+S518+S513+S484+S479+S473+S462+S453+S234+S253+S266+S281+S298+S312+S324+S347+S372+S397+S417+S431+S216+S199+S188+S170+S149+S133+S119+S96+S74+S54+S52+S50)</f>
        <v>265573</v>
      </c>
      <c r="T1228" s="38">
        <f>SUM(T1227+T1226+T1225+T1179+T1178+T1167+T1156+T1139+T1121+T1109+T1099+T1093+T1061+T1038+T1027+T1008+T996+T971+T961+T931+T915+T897+T865+T851+T837+T825+T808+T800+T784+T777+T761+T746+T725+T696+T679+T650+T631+T593+T575+T567+T569+T536+T522+T518+T513+T484+T479+T473+T462+T453+T234+T253+T266+T281+T298+T312+T324+T347+T372+T397+T417+T431+T216+T199+T188+T170+T149+T133+T119+T96+T74+T54+T52+T50)</f>
        <v>566612</v>
      </c>
      <c r="U1228" s="38">
        <f>SUM(U1227+U1226+U1225+U1179+U1178+U1167+U1156+U1139+U1121+U1109+U1099+U1093+U1061+U1038+U1027+U1008+U996+U971+U961+U931+U915+U897+U865+U851+U837+U825+U808+U800+U784+U777+U761+U746+U725+U696+U679+U650+U631+U593+U575+U567+U536+U522+U518+U513+U484+U479+U473+U462+U453+U234+U253+U266+U281+U298+U312+U324+U347+U372+U397+U417+U431+U216+U199+U188+U170+U149+U133+U119+U96+U74+U54+U52+U50)</f>
        <v>1876514</v>
      </c>
      <c r="V1228" s="38">
        <f>SUM(V1227+V1226+V1225+V1179+V1178+V1167+V1156+V1139+V1121+V1109+V1099+V1093+V1061+V1038+V1027+V1008+V996+V971+V961+V931+V915+V897+V865+V851+V837+V825+V808+V800+V784+V777+V761+V746+V725+V696+V679+V650+V631+V593+V575+V567+V536+V522+V518+V513+V484+V479+V473+V462+V453+V234+V253+V266+V281+V298+V312+V324+V347+V372+V397+V417+V431+V216+V199+V188+V170+V149+V133+V119+V96+V74+V54+V52+V50)</f>
        <v>174172</v>
      </c>
      <c r="W1228" s="38">
        <f>SUM(W1227+W1226+W1225+W1179+W1178+W1167+W1156+W1139+W1121+W1109+W1099+W1093+W1061+W1038+W1027+W1008+W996+W971+W961+W931+W915+W897+W865+W851+W837+W825+W808+W800+W784+W777+W761+W746+W725+W696+W679+W650+W631+W593+W575+W567+W536+W522+W518+W513+W484+W479+W473+W462+W453+W234+W253+W266+W281+W298+W312+W324+W347+W372+W397+W417+W431+W216+W199+W188+W170+W149+W133+W119+W96+W74+W54+W52+W50)</f>
        <v>879504</v>
      </c>
      <c r="X1228" s="38">
        <f>SUM(X1227+X1226+X1225+X1179+X1178+X1167+X1156+X1139+X1121+X1109+X1099+X1093+X1061+X1038+X1027+X1008+X996+X971+X961+X931+X915+X897+X865+X851+X837+X825+X808+X800+X784+X777+X761+X746+X725+X696+X679+X650+X631+X593+X575+X567+X536+X522+X518+X513+X484+X479+X473+X462+X453+X234+X253+X266+X281+X298+X312+X324+X347+X372+X397+X417+X431+X216+X199+X188+X170+X149+X133+X119+X96+X74+X54+X52+X50)</f>
        <v>822838</v>
      </c>
    </row>
    <row r="1229" spans="1:31" ht="15.75" hidden="1" customHeight="1" x14ac:dyDescent="0.25">
      <c r="G1229" s="77"/>
      <c r="H1229" s="2"/>
      <c r="L1229" s="3"/>
      <c r="M1229" s="78"/>
      <c r="O1229" s="267">
        <v>-19491</v>
      </c>
      <c r="P1229" s="2"/>
      <c r="Q1229" s="1"/>
      <c r="R1229" s="159"/>
      <c r="S1229" s="159"/>
      <c r="T1229" s="159"/>
      <c r="V1229" s="159"/>
      <c r="W1229" s="159"/>
      <c r="X1229" s="159"/>
    </row>
    <row r="1230" spans="1:31" ht="15.75" hidden="1" customHeight="1" x14ac:dyDescent="0.25">
      <c r="C1230" s="7"/>
      <c r="D1230" s="14"/>
      <c r="E1230" s="14"/>
      <c r="F1230" s="14"/>
      <c r="G1230" s="61"/>
      <c r="H1230" s="15"/>
      <c r="I1230" s="14"/>
      <c r="J1230" s="14"/>
      <c r="K1230" s="14"/>
      <c r="L1230" s="14"/>
      <c r="M1230" s="62"/>
      <c r="N1230" s="14"/>
      <c r="O1230" s="38">
        <v>247028</v>
      </c>
      <c r="P1230" s="15"/>
      <c r="Q1230" s="241"/>
      <c r="R1230" s="38"/>
      <c r="S1230" s="38" t="s">
        <v>522</v>
      </c>
      <c r="T1230" s="38" t="s">
        <v>522</v>
      </c>
      <c r="U1230" s="38"/>
      <c r="V1230" s="38"/>
      <c r="W1230" s="38"/>
      <c r="X1230" s="38"/>
    </row>
    <row r="1231" spans="1:31" ht="15.75" customHeight="1" x14ac:dyDescent="0.25">
      <c r="C1231" s="7"/>
      <c r="D1231" s="14"/>
      <c r="E1231" s="14"/>
      <c r="F1231" s="14"/>
      <c r="G1231" s="61"/>
      <c r="H1231" s="15"/>
      <c r="I1231" s="14"/>
      <c r="J1231" s="14"/>
      <c r="K1231" s="14"/>
      <c r="L1231" s="14"/>
      <c r="M1231" s="62"/>
      <c r="N1231" s="14"/>
      <c r="O1231" s="38"/>
      <c r="P1231" s="15"/>
      <c r="Q1231" s="241"/>
      <c r="R1231" s="38"/>
      <c r="S1231" s="38"/>
      <c r="T1231" s="38"/>
      <c r="U1231" s="38"/>
      <c r="V1231" s="38"/>
      <c r="W1231" s="38"/>
      <c r="X1231" s="38"/>
    </row>
    <row r="1232" spans="1:31" ht="15.75" customHeight="1" x14ac:dyDescent="0.25">
      <c r="C1232" s="56" t="s">
        <v>1098</v>
      </c>
      <c r="D1232" s="14"/>
      <c r="E1232" s="14"/>
      <c r="F1232" s="14"/>
      <c r="G1232" s="61"/>
      <c r="H1232" s="15"/>
      <c r="I1232" s="14"/>
      <c r="J1232" s="14"/>
      <c r="K1232" s="14"/>
      <c r="L1232" s="14"/>
      <c r="M1232" s="62"/>
      <c r="N1232" s="14"/>
      <c r="O1232" s="38"/>
      <c r="P1232" s="15"/>
      <c r="Q1232" s="276">
        <v>404361</v>
      </c>
      <c r="R1232" s="38"/>
      <c r="S1232" s="38"/>
      <c r="T1232" s="38"/>
      <c r="U1232" s="38"/>
      <c r="V1232" s="38"/>
      <c r="W1232" s="38"/>
      <c r="X1232" s="38"/>
    </row>
    <row r="1233" spans="3:24" ht="15.75" customHeight="1" x14ac:dyDescent="0.25">
      <c r="C1233" s="122"/>
      <c r="D1233" s="38"/>
      <c r="E1233" s="38"/>
      <c r="F1233" s="38"/>
      <c r="G1233" s="106"/>
      <c r="H1233" s="15"/>
      <c r="I1233" s="38"/>
      <c r="J1233" s="38"/>
      <c r="L1233" s="38"/>
      <c r="M1233" s="62"/>
      <c r="N1233" s="14"/>
      <c r="O1233" s="38"/>
      <c r="P1233" s="15"/>
      <c r="Q1233" s="276">
        <f>Q1232-Q1228</f>
        <v>0</v>
      </c>
      <c r="R1233" s="216" t="str">
        <f>IF(Q1233&gt;0,"budžetā papildus līdzekļi"," ")</f>
        <v xml:space="preserve"> </v>
      </c>
      <c r="S1233" s="216" t="str">
        <f>IF(Q1234&lt;0,"budžetā nepietiek līdzekļu"," ")</f>
        <v xml:space="preserve"> </v>
      </c>
      <c r="T1233" s="216" t="str">
        <f t="shared" ref="T1233" si="542">IF(S1233&lt;0,"budžetā nepietiek līdzekļu"," ")</f>
        <v xml:space="preserve"> </v>
      </c>
      <c r="V1233" s="38"/>
      <c r="W1233" s="38"/>
      <c r="X1233" s="38"/>
    </row>
    <row r="1234" spans="3:24" ht="15.75" customHeight="1" x14ac:dyDescent="0.25">
      <c r="C1234" s="7"/>
      <c r="D1234" s="14"/>
      <c r="E1234" s="14"/>
      <c r="F1234" s="14"/>
      <c r="G1234" s="61"/>
      <c r="H1234" s="15"/>
      <c r="I1234" s="15"/>
      <c r="J1234" s="14"/>
      <c r="K1234" s="46"/>
      <c r="L1234" s="14"/>
      <c r="M1234" s="62"/>
      <c r="N1234" s="14"/>
      <c r="O1234" s="38"/>
      <c r="P1234" s="15"/>
      <c r="Q1234" s="216" t="str">
        <f>IF(Q1233&lt;0,"budžetā nepietiek līdzekļu"," ")</f>
        <v xml:space="preserve"> </v>
      </c>
      <c r="R1234" s="38"/>
      <c r="S1234" s="38"/>
      <c r="T1234" s="38"/>
      <c r="U1234" s="38"/>
      <c r="V1234" s="38"/>
      <c r="W1234" s="38"/>
      <c r="X1234" s="38"/>
    </row>
    <row r="1235" spans="3:24" ht="15.75" customHeight="1" x14ac:dyDescent="0.25">
      <c r="C1235" s="56" t="s">
        <v>1099</v>
      </c>
      <c r="D1235" s="14"/>
      <c r="E1235" s="14"/>
      <c r="F1235" s="14"/>
      <c r="G1235" s="61"/>
      <c r="H1235" s="15"/>
      <c r="I1235" s="14"/>
      <c r="J1235" s="14"/>
      <c r="K1235" s="14"/>
      <c r="L1235" s="14"/>
      <c r="M1235" s="62"/>
      <c r="N1235" s="14"/>
      <c r="O1235" s="38"/>
      <c r="P1235" s="15"/>
      <c r="Q1235" s="276">
        <v>110364</v>
      </c>
      <c r="R1235" s="38"/>
      <c r="S1235" s="38"/>
      <c r="T1235" s="38"/>
      <c r="U1235" s="38"/>
      <c r="V1235" s="38"/>
      <c r="W1235" s="38"/>
      <c r="X1235" s="38"/>
    </row>
    <row r="1236" spans="3:24" ht="15.75" customHeight="1" x14ac:dyDescent="0.25">
      <c r="C1236" s="7"/>
      <c r="D1236" s="14"/>
      <c r="E1236" s="14"/>
      <c r="F1236" s="14"/>
      <c r="G1236" s="61"/>
      <c r="H1236" s="15"/>
      <c r="I1236" s="15"/>
      <c r="J1236" s="14"/>
      <c r="K1236" s="14"/>
      <c r="L1236" s="14"/>
      <c r="M1236" s="62"/>
      <c r="N1236" s="14"/>
      <c r="O1236" s="38"/>
      <c r="P1236" s="15"/>
      <c r="Q1236" s="241"/>
      <c r="R1236" s="38"/>
      <c r="S1236" s="38"/>
      <c r="T1236" s="38"/>
      <c r="U1236" s="38"/>
      <c r="V1236" s="38"/>
      <c r="W1236" s="38"/>
      <c r="X1236" s="38"/>
    </row>
    <row r="1237" spans="3:24" ht="15.75" customHeight="1" x14ac:dyDescent="0.25">
      <c r="C1237" s="7"/>
      <c r="D1237" s="14"/>
      <c r="E1237" s="14"/>
      <c r="F1237" s="14"/>
      <c r="G1237" s="61"/>
      <c r="H1237" s="15"/>
      <c r="I1237" s="14"/>
      <c r="J1237" s="14"/>
      <c r="K1237" s="14"/>
      <c r="L1237" s="14"/>
      <c r="M1237" s="62"/>
      <c r="N1237" s="14"/>
      <c r="O1237" s="38"/>
      <c r="P1237" s="15"/>
      <c r="Q1237" s="241"/>
      <c r="R1237" s="38"/>
      <c r="S1237" s="38"/>
      <c r="T1237" s="38"/>
      <c r="U1237" s="38"/>
      <c r="V1237" s="38"/>
      <c r="W1237" s="38"/>
      <c r="X1237" s="38"/>
    </row>
    <row r="1238" spans="3:24" ht="15.75" customHeight="1" x14ac:dyDescent="0.25">
      <c r="C1238" s="54" t="s">
        <v>1100</v>
      </c>
      <c r="D1238" s="14"/>
      <c r="E1238" s="14"/>
      <c r="F1238" s="14"/>
      <c r="G1238" s="61"/>
      <c r="H1238" s="15"/>
      <c r="I1238" s="14"/>
      <c r="J1238" s="14"/>
      <c r="K1238" s="14"/>
      <c r="L1238" s="14"/>
      <c r="M1238" s="62"/>
      <c r="N1238" s="14"/>
      <c r="O1238" s="38"/>
      <c r="P1238" s="15"/>
      <c r="Q1238" s="241"/>
      <c r="R1238" s="38"/>
      <c r="S1238" s="38"/>
      <c r="T1238" s="38"/>
      <c r="U1238" s="38"/>
      <c r="V1238" s="38"/>
      <c r="W1238" s="38"/>
      <c r="X1238" s="38"/>
    </row>
    <row r="1239" spans="3:24" ht="15.75" customHeight="1" x14ac:dyDescent="0.25">
      <c r="C1239" s="7"/>
      <c r="D1239" s="14"/>
      <c r="E1239" s="14"/>
      <c r="F1239" s="14"/>
      <c r="G1239" s="61"/>
      <c r="H1239" s="15"/>
      <c r="I1239" s="14"/>
      <c r="J1239" s="14"/>
      <c r="K1239" s="14"/>
      <c r="L1239" s="14"/>
      <c r="M1239" s="62"/>
      <c r="N1239" s="14"/>
      <c r="O1239" s="38"/>
      <c r="P1239" s="15"/>
      <c r="Q1239" s="241"/>
      <c r="R1239" s="38"/>
      <c r="S1239" s="38"/>
      <c r="T1239" s="38"/>
      <c r="U1239" s="38"/>
      <c r="V1239" s="38"/>
      <c r="W1239" s="38"/>
      <c r="X1239" s="38"/>
    </row>
    <row r="1240" spans="3:24" ht="15.75" customHeight="1" x14ac:dyDescent="0.25">
      <c r="C1240" s="7"/>
      <c r="D1240" s="14"/>
      <c r="E1240" s="14"/>
      <c r="F1240" s="14"/>
      <c r="G1240" s="61"/>
      <c r="H1240" s="15"/>
      <c r="I1240" s="14"/>
      <c r="J1240" s="14"/>
      <c r="K1240" s="14"/>
      <c r="L1240" s="14"/>
      <c r="M1240" s="62"/>
      <c r="N1240" s="14"/>
      <c r="O1240" s="38"/>
      <c r="P1240" s="15"/>
      <c r="Q1240" s="241"/>
      <c r="R1240" s="38"/>
      <c r="S1240" s="38"/>
      <c r="T1240" s="38"/>
      <c r="U1240" s="38"/>
      <c r="V1240" s="38"/>
      <c r="W1240" s="38"/>
      <c r="X1240" s="38"/>
    </row>
    <row r="1241" spans="3:24" ht="15.75" customHeight="1" x14ac:dyDescent="0.25">
      <c r="C1241" s="7"/>
      <c r="D1241" s="14"/>
      <c r="E1241" s="14"/>
      <c r="F1241" s="14"/>
      <c r="G1241" s="61"/>
      <c r="H1241" s="15"/>
      <c r="I1241" s="14"/>
      <c r="J1241" s="14"/>
      <c r="K1241" s="14"/>
      <c r="L1241" s="14"/>
      <c r="M1241" s="62"/>
      <c r="N1241" s="14"/>
      <c r="O1241" s="38"/>
      <c r="P1241" s="15"/>
      <c r="Q1241" s="241"/>
      <c r="R1241" s="38"/>
      <c r="S1241" s="38"/>
      <c r="T1241" s="38"/>
      <c r="U1241" s="38"/>
      <c r="V1241" s="38"/>
      <c r="W1241" s="38"/>
      <c r="X1241" s="38"/>
    </row>
    <row r="1242" spans="3:24" ht="15.75" customHeight="1" x14ac:dyDescent="0.25">
      <c r="C1242" s="7"/>
      <c r="D1242" s="14"/>
      <c r="E1242" s="14"/>
      <c r="F1242" s="14"/>
      <c r="G1242" s="61"/>
      <c r="H1242" s="15"/>
      <c r="I1242" s="14"/>
      <c r="J1242" s="14"/>
      <c r="K1242" s="14"/>
      <c r="L1242" s="14"/>
      <c r="M1242" s="62"/>
      <c r="N1242" s="14"/>
      <c r="O1242" s="159"/>
      <c r="P1242" s="2"/>
      <c r="Q1242" s="1"/>
      <c r="R1242" s="159"/>
      <c r="S1242" s="159"/>
      <c r="T1242" s="159"/>
      <c r="V1242" s="159"/>
      <c r="W1242" s="159"/>
    </row>
    <row r="1243" spans="3:24" ht="15.75" customHeight="1" x14ac:dyDescent="0.25">
      <c r="C1243" s="7"/>
      <c r="G1243" s="77"/>
      <c r="H1243" s="2"/>
      <c r="L1243" s="3"/>
      <c r="M1243" s="78"/>
      <c r="O1243" s="159"/>
      <c r="P1243" s="2"/>
      <c r="Q1243" s="1"/>
      <c r="R1243" s="159"/>
      <c r="S1243" s="159"/>
      <c r="T1243" s="159"/>
      <c r="V1243" s="159"/>
      <c r="W1243" s="159"/>
    </row>
    <row r="1244" spans="3:24" ht="15.75" customHeight="1" x14ac:dyDescent="0.25">
      <c r="G1244" s="77"/>
      <c r="H1244" s="2"/>
      <c r="L1244" s="3"/>
      <c r="M1244" s="78"/>
      <c r="O1244" s="159"/>
      <c r="P1244" s="2"/>
      <c r="Q1244" s="1"/>
      <c r="R1244" s="159"/>
      <c r="S1244" s="159"/>
      <c r="T1244" s="159"/>
      <c r="V1244" s="159"/>
      <c r="W1244" s="159"/>
      <c r="X1244" s="159"/>
    </row>
    <row r="1245" spans="3:24" ht="15.75" customHeight="1" x14ac:dyDescent="0.25">
      <c r="C1245" s="3"/>
      <c r="G1245" s="77"/>
      <c r="H1245" s="2"/>
      <c r="L1245" s="3"/>
      <c r="M1245" s="78"/>
      <c r="O1245" s="159"/>
      <c r="P1245" s="2"/>
      <c r="Q1245" s="1"/>
      <c r="R1245" s="159"/>
      <c r="S1245" s="159"/>
      <c r="T1245" s="159"/>
      <c r="V1245" s="159"/>
      <c r="W1245" s="159"/>
      <c r="X1245" s="159"/>
    </row>
    <row r="1246" spans="3:24" ht="15.75" customHeight="1" x14ac:dyDescent="0.25">
      <c r="C1246" s="3"/>
      <c r="G1246" s="77"/>
      <c r="H1246" s="2"/>
      <c r="L1246" s="3"/>
      <c r="M1246" s="78"/>
      <c r="O1246" s="159"/>
      <c r="P1246" s="2"/>
      <c r="Q1246" s="1"/>
      <c r="R1246" s="159"/>
      <c r="S1246" s="159"/>
      <c r="T1246" s="159"/>
      <c r="V1246" s="159"/>
      <c r="W1246" s="159"/>
      <c r="X1246" s="159"/>
    </row>
    <row r="1247" spans="3:24" ht="15.75" customHeight="1" x14ac:dyDescent="0.25">
      <c r="C1247" s="3"/>
      <c r="G1247" s="77"/>
      <c r="H1247" s="2"/>
      <c r="L1247" s="3"/>
      <c r="M1247" s="78"/>
      <c r="O1247" s="159"/>
      <c r="P1247" s="2"/>
      <c r="Q1247" s="1"/>
      <c r="R1247" s="159"/>
      <c r="S1247" s="159"/>
      <c r="T1247" s="159"/>
      <c r="V1247" s="159"/>
      <c r="W1247" s="159"/>
      <c r="X1247" s="159"/>
    </row>
    <row r="1248" spans="3:24" ht="15.75" customHeight="1" x14ac:dyDescent="0.25">
      <c r="G1248" s="77"/>
      <c r="H1248" s="2"/>
      <c r="L1248" s="3"/>
      <c r="M1248" s="78"/>
      <c r="O1248" s="159"/>
      <c r="P1248" s="2"/>
      <c r="Q1248" s="1"/>
      <c r="R1248" s="159"/>
      <c r="S1248" s="159"/>
      <c r="T1248" s="159"/>
      <c r="V1248" s="159"/>
      <c r="W1248" s="159"/>
      <c r="X1248" s="159"/>
    </row>
    <row r="1249" spans="7:24" ht="15.75" customHeight="1" x14ac:dyDescent="0.25">
      <c r="G1249" s="77"/>
      <c r="H1249" s="2"/>
      <c r="L1249" s="3"/>
      <c r="M1249" s="78"/>
      <c r="O1249" s="159"/>
      <c r="P1249" s="2"/>
      <c r="Q1249" s="1"/>
      <c r="R1249" s="159"/>
      <c r="S1249" s="159"/>
      <c r="T1249" s="159"/>
      <c r="V1249" s="159"/>
      <c r="W1249" s="159"/>
      <c r="X1249" s="159"/>
    </row>
    <row r="1250" spans="7:24" ht="15.75" customHeight="1" x14ac:dyDescent="0.25">
      <c r="G1250" s="77"/>
      <c r="H1250" s="2"/>
      <c r="L1250" s="3"/>
      <c r="M1250" s="78"/>
      <c r="O1250" s="159"/>
      <c r="P1250" s="2"/>
      <c r="Q1250" s="1"/>
      <c r="R1250" s="159"/>
      <c r="S1250" s="159"/>
      <c r="T1250" s="159"/>
      <c r="V1250" s="159"/>
      <c r="W1250" s="159"/>
      <c r="X1250" s="159"/>
    </row>
    <row r="1251" spans="7:24" ht="15.75" customHeight="1" x14ac:dyDescent="0.25">
      <c r="G1251" s="77"/>
      <c r="H1251" s="2"/>
      <c r="L1251" s="3"/>
      <c r="M1251" s="78"/>
      <c r="O1251" s="159"/>
      <c r="P1251" s="2"/>
      <c r="Q1251" s="1"/>
      <c r="R1251" s="159"/>
      <c r="S1251" s="159"/>
      <c r="T1251" s="159"/>
      <c r="V1251" s="159"/>
      <c r="W1251" s="159"/>
      <c r="X1251" s="159"/>
    </row>
    <row r="1252" spans="7:24" ht="15.75" customHeight="1" x14ac:dyDescent="0.25">
      <c r="G1252" s="77"/>
      <c r="H1252" s="2"/>
      <c r="L1252" s="3"/>
      <c r="M1252" s="78"/>
      <c r="O1252" s="159"/>
      <c r="P1252" s="2"/>
      <c r="Q1252" s="1"/>
      <c r="R1252" s="159"/>
      <c r="S1252" s="159"/>
      <c r="T1252" s="159"/>
      <c r="V1252" s="159"/>
      <c r="W1252" s="159"/>
      <c r="X1252" s="159"/>
    </row>
    <row r="1253" spans="7:24" ht="15.75" customHeight="1" x14ac:dyDescent="0.25">
      <c r="G1253" s="77"/>
      <c r="H1253" s="2"/>
      <c r="L1253" s="3"/>
      <c r="M1253" s="78"/>
      <c r="O1253" s="159"/>
      <c r="P1253" s="2"/>
      <c r="Q1253" s="1"/>
      <c r="R1253" s="159"/>
      <c r="S1253" s="159"/>
      <c r="T1253" s="159"/>
      <c r="V1253" s="159"/>
      <c r="W1253" s="159"/>
      <c r="X1253" s="159"/>
    </row>
    <row r="1254" spans="7:24" ht="15.75" customHeight="1" x14ac:dyDescent="0.25">
      <c r="G1254" s="77"/>
      <c r="H1254" s="2"/>
      <c r="L1254" s="3"/>
      <c r="M1254" s="78"/>
      <c r="O1254" s="159"/>
      <c r="P1254" s="2"/>
      <c r="Q1254" s="1"/>
      <c r="R1254" s="159"/>
      <c r="S1254" s="159"/>
      <c r="T1254" s="159"/>
      <c r="V1254" s="159"/>
      <c r="W1254" s="159"/>
      <c r="X1254" s="159"/>
    </row>
    <row r="1255" spans="7:24" ht="15.75" customHeight="1" x14ac:dyDescent="0.25">
      <c r="G1255" s="77"/>
      <c r="H1255" s="2"/>
      <c r="L1255" s="3"/>
      <c r="M1255" s="78"/>
      <c r="O1255" s="159"/>
      <c r="P1255" s="2"/>
      <c r="Q1255" s="1"/>
      <c r="R1255" s="159"/>
      <c r="S1255" s="159"/>
      <c r="T1255" s="159"/>
      <c r="V1255" s="159"/>
      <c r="W1255" s="159"/>
      <c r="X1255" s="159"/>
    </row>
    <row r="1256" spans="7:24" ht="15.75" customHeight="1" x14ac:dyDescent="0.25">
      <c r="G1256" s="77"/>
      <c r="H1256" s="2"/>
      <c r="L1256" s="3"/>
      <c r="M1256" s="78"/>
      <c r="O1256" s="159"/>
      <c r="P1256" s="2"/>
      <c r="Q1256" s="1"/>
      <c r="R1256" s="159"/>
      <c r="S1256" s="159"/>
      <c r="T1256" s="159"/>
      <c r="V1256" s="159"/>
      <c r="W1256" s="159"/>
      <c r="X1256" s="159"/>
    </row>
    <row r="1257" spans="7:24" ht="15.75" customHeight="1" x14ac:dyDescent="0.25">
      <c r="G1257" s="77"/>
      <c r="H1257" s="2"/>
      <c r="L1257" s="3"/>
      <c r="M1257" s="78"/>
      <c r="O1257" s="159"/>
      <c r="P1257" s="2"/>
      <c r="Q1257" s="1"/>
      <c r="R1257" s="159"/>
      <c r="S1257" s="159"/>
      <c r="T1257" s="159"/>
      <c r="V1257" s="159"/>
      <c r="W1257" s="159"/>
      <c r="X1257" s="159"/>
    </row>
    <row r="1258" spans="7:24" ht="15.75" customHeight="1" x14ac:dyDescent="0.25">
      <c r="G1258" s="77"/>
      <c r="H1258" s="2"/>
      <c r="L1258" s="3"/>
      <c r="M1258" s="78"/>
      <c r="O1258" s="159"/>
      <c r="P1258" s="2"/>
      <c r="Q1258" s="1"/>
      <c r="R1258" s="159"/>
      <c r="S1258" s="159"/>
      <c r="T1258" s="159"/>
      <c r="V1258" s="159"/>
      <c r="W1258" s="159"/>
      <c r="X1258" s="159"/>
    </row>
    <row r="1259" spans="7:24" ht="15.75" customHeight="1" x14ac:dyDescent="0.25">
      <c r="G1259" s="77"/>
      <c r="H1259" s="2"/>
      <c r="L1259" s="3"/>
      <c r="M1259" s="78"/>
      <c r="O1259" s="159"/>
      <c r="P1259" s="2"/>
      <c r="Q1259" s="1"/>
      <c r="R1259" s="159"/>
      <c r="S1259" s="159"/>
      <c r="T1259" s="159"/>
      <c r="V1259" s="159"/>
      <c r="W1259" s="159"/>
      <c r="X1259" s="159"/>
    </row>
    <row r="1260" spans="7:24" ht="15.75" customHeight="1" x14ac:dyDescent="0.25">
      <c r="G1260" s="77"/>
      <c r="H1260" s="2"/>
      <c r="L1260" s="3"/>
      <c r="M1260" s="78"/>
      <c r="O1260" s="159"/>
      <c r="P1260" s="2"/>
      <c r="Q1260" s="1"/>
      <c r="R1260" s="159"/>
      <c r="S1260" s="159"/>
      <c r="T1260" s="159"/>
      <c r="V1260" s="159"/>
      <c r="W1260" s="159"/>
      <c r="X1260" s="159"/>
    </row>
    <row r="1261" spans="7:24" ht="15.75" customHeight="1" x14ac:dyDescent="0.25">
      <c r="G1261" s="77"/>
      <c r="H1261" s="2"/>
      <c r="L1261" s="3"/>
      <c r="M1261" s="78"/>
      <c r="O1261" s="159"/>
      <c r="P1261" s="2"/>
      <c r="Q1261" s="1"/>
      <c r="R1261" s="159"/>
      <c r="S1261" s="159"/>
      <c r="T1261" s="159"/>
      <c r="V1261" s="159"/>
      <c r="W1261" s="159"/>
      <c r="X1261" s="159"/>
    </row>
    <row r="1262" spans="7:24" ht="15.75" customHeight="1" x14ac:dyDescent="0.25">
      <c r="G1262" s="77"/>
      <c r="H1262" s="2"/>
      <c r="L1262" s="3"/>
      <c r="M1262" s="78"/>
      <c r="O1262" s="159"/>
      <c r="P1262" s="2"/>
      <c r="Q1262" s="1"/>
      <c r="R1262" s="159"/>
      <c r="S1262" s="159"/>
      <c r="T1262" s="159"/>
      <c r="V1262" s="159"/>
      <c r="W1262" s="159"/>
      <c r="X1262" s="159"/>
    </row>
    <row r="1263" spans="7:24" ht="15.75" customHeight="1" x14ac:dyDescent="0.25">
      <c r="G1263" s="77"/>
      <c r="H1263" s="2"/>
      <c r="L1263" s="3"/>
      <c r="M1263" s="78"/>
      <c r="O1263" s="159"/>
      <c r="P1263" s="2"/>
      <c r="Q1263" s="1"/>
      <c r="R1263" s="159"/>
      <c r="S1263" s="159"/>
      <c r="T1263" s="159"/>
      <c r="V1263" s="159"/>
      <c r="W1263" s="159"/>
      <c r="X1263" s="159"/>
    </row>
    <row r="1264" spans="7:24" ht="15.75" customHeight="1" x14ac:dyDescent="0.25">
      <c r="G1264" s="77"/>
      <c r="H1264" s="2"/>
      <c r="L1264" s="3"/>
      <c r="M1264" s="78"/>
      <c r="O1264" s="159"/>
      <c r="P1264" s="2"/>
      <c r="Q1264" s="1"/>
      <c r="R1264" s="159"/>
      <c r="S1264" s="159"/>
      <c r="T1264" s="159"/>
      <c r="V1264" s="159"/>
      <c r="W1264" s="159"/>
      <c r="X1264" s="159"/>
    </row>
    <row r="1265" spans="7:24" ht="15.75" customHeight="1" x14ac:dyDescent="0.25">
      <c r="G1265" s="77"/>
      <c r="H1265" s="2"/>
      <c r="L1265" s="3"/>
      <c r="M1265" s="78"/>
      <c r="O1265" s="159"/>
      <c r="P1265" s="2"/>
      <c r="Q1265" s="1"/>
      <c r="R1265" s="159"/>
      <c r="S1265" s="159"/>
      <c r="T1265" s="159"/>
      <c r="V1265" s="159"/>
      <c r="W1265" s="159"/>
      <c r="X1265" s="159"/>
    </row>
    <row r="1266" spans="7:24" ht="15.75" customHeight="1" x14ac:dyDescent="0.25">
      <c r="G1266" s="77"/>
      <c r="H1266" s="2"/>
      <c r="L1266" s="3"/>
      <c r="M1266" s="78"/>
      <c r="O1266" s="159"/>
      <c r="P1266" s="2"/>
      <c r="Q1266" s="1"/>
      <c r="R1266" s="159"/>
      <c r="S1266" s="159"/>
      <c r="T1266" s="159"/>
      <c r="V1266" s="159"/>
      <c r="W1266" s="159"/>
      <c r="X1266" s="159"/>
    </row>
    <row r="1267" spans="7:24" ht="15.75" customHeight="1" x14ac:dyDescent="0.25">
      <c r="G1267" s="77"/>
      <c r="H1267" s="2"/>
      <c r="L1267" s="3"/>
      <c r="M1267" s="78"/>
      <c r="O1267" s="159"/>
      <c r="P1267" s="2"/>
      <c r="Q1267" s="1"/>
      <c r="R1267" s="159"/>
      <c r="S1267" s="159"/>
      <c r="T1267" s="159"/>
      <c r="V1267" s="159"/>
      <c r="W1267" s="159"/>
      <c r="X1267" s="159"/>
    </row>
    <row r="1268" spans="7:24" ht="15.75" customHeight="1" x14ac:dyDescent="0.25">
      <c r="G1268" s="77"/>
      <c r="H1268" s="2"/>
      <c r="L1268" s="3"/>
      <c r="M1268" s="78"/>
      <c r="O1268" s="159"/>
      <c r="P1268" s="2"/>
      <c r="Q1268" s="1"/>
      <c r="R1268" s="159"/>
      <c r="S1268" s="159"/>
      <c r="T1268" s="159"/>
      <c r="V1268" s="159"/>
      <c r="W1268" s="159"/>
      <c r="X1268" s="159"/>
    </row>
    <row r="1269" spans="7:24" ht="15.75" customHeight="1" x14ac:dyDescent="0.25">
      <c r="G1269" s="77"/>
      <c r="H1269" s="2"/>
      <c r="L1269" s="3"/>
      <c r="M1269" s="78"/>
      <c r="O1269" s="159"/>
      <c r="P1269" s="2"/>
      <c r="Q1269" s="1"/>
      <c r="R1269" s="159"/>
      <c r="S1269" s="159"/>
      <c r="T1269" s="159"/>
      <c r="V1269" s="159"/>
      <c r="W1269" s="159"/>
      <c r="X1269" s="159"/>
    </row>
    <row r="1270" spans="7:24" ht="15.75" customHeight="1" x14ac:dyDescent="0.25">
      <c r="G1270" s="77"/>
      <c r="H1270" s="2"/>
      <c r="L1270" s="3"/>
      <c r="M1270" s="78"/>
      <c r="O1270" s="159"/>
      <c r="P1270" s="2"/>
      <c r="Q1270" s="1"/>
      <c r="R1270" s="159"/>
      <c r="S1270" s="159"/>
      <c r="T1270" s="159"/>
      <c r="V1270" s="159"/>
      <c r="W1270" s="159"/>
      <c r="X1270" s="159"/>
    </row>
    <row r="1271" spans="7:24" ht="15.75" customHeight="1" x14ac:dyDescent="0.25">
      <c r="G1271" s="77"/>
      <c r="H1271" s="2"/>
      <c r="L1271" s="3"/>
      <c r="M1271" s="78"/>
      <c r="O1271" s="159"/>
      <c r="P1271" s="2"/>
      <c r="Q1271" s="1"/>
      <c r="R1271" s="159"/>
      <c r="S1271" s="159"/>
      <c r="T1271" s="159"/>
      <c r="V1271" s="159"/>
      <c r="W1271" s="159"/>
      <c r="X1271" s="159"/>
    </row>
    <row r="1272" spans="7:24" ht="15.75" customHeight="1" x14ac:dyDescent="0.25">
      <c r="G1272" s="77"/>
      <c r="H1272" s="2"/>
      <c r="L1272" s="3"/>
      <c r="M1272" s="78"/>
      <c r="O1272" s="159"/>
      <c r="P1272" s="2"/>
      <c r="Q1272" s="1"/>
      <c r="R1272" s="159"/>
      <c r="S1272" s="159"/>
      <c r="T1272" s="159"/>
      <c r="V1272" s="159"/>
      <c r="W1272" s="159"/>
      <c r="X1272" s="159"/>
    </row>
    <row r="1273" spans="7:24" ht="15.75" customHeight="1" x14ac:dyDescent="0.25">
      <c r="G1273" s="77"/>
      <c r="H1273" s="2"/>
      <c r="L1273" s="3"/>
      <c r="M1273" s="78"/>
      <c r="O1273" s="159"/>
      <c r="P1273" s="2"/>
      <c r="Q1273" s="1"/>
      <c r="R1273" s="159"/>
      <c r="S1273" s="159"/>
      <c r="T1273" s="159"/>
      <c r="V1273" s="159"/>
      <c r="W1273" s="159"/>
      <c r="X1273" s="159"/>
    </row>
    <row r="1274" spans="7:24" ht="15.75" customHeight="1" x14ac:dyDescent="0.25">
      <c r="G1274" s="77"/>
      <c r="H1274" s="2"/>
      <c r="L1274" s="3"/>
      <c r="M1274" s="78"/>
      <c r="O1274" s="159"/>
      <c r="P1274" s="2"/>
      <c r="Q1274" s="1"/>
      <c r="R1274" s="159"/>
      <c r="S1274" s="159"/>
      <c r="T1274" s="159"/>
      <c r="V1274" s="159"/>
      <c r="W1274" s="159"/>
      <c r="X1274" s="159"/>
    </row>
    <row r="1275" spans="7:24" ht="15.75" customHeight="1" x14ac:dyDescent="0.25">
      <c r="G1275" s="77"/>
      <c r="H1275" s="2"/>
      <c r="L1275" s="3"/>
      <c r="M1275" s="78"/>
      <c r="O1275" s="159"/>
      <c r="P1275" s="2"/>
      <c r="Q1275" s="1"/>
      <c r="R1275" s="159"/>
      <c r="S1275" s="159"/>
      <c r="T1275" s="159"/>
      <c r="V1275" s="159"/>
      <c r="W1275" s="159"/>
      <c r="X1275" s="159"/>
    </row>
    <row r="1276" spans="7:24" ht="15.75" customHeight="1" x14ac:dyDescent="0.25">
      <c r="G1276" s="77"/>
      <c r="H1276" s="2"/>
      <c r="L1276" s="3"/>
      <c r="M1276" s="78"/>
      <c r="O1276" s="159"/>
      <c r="P1276" s="2"/>
      <c r="Q1276" s="1"/>
      <c r="R1276" s="159"/>
      <c r="S1276" s="159"/>
      <c r="T1276" s="159"/>
      <c r="V1276" s="159"/>
      <c r="W1276" s="159"/>
      <c r="X1276" s="159"/>
    </row>
    <row r="1277" spans="7:24" ht="15.75" customHeight="1" x14ac:dyDescent="0.25">
      <c r="G1277" s="77"/>
      <c r="H1277" s="2"/>
      <c r="L1277" s="3"/>
      <c r="M1277" s="78"/>
      <c r="O1277" s="159"/>
      <c r="P1277" s="2"/>
      <c r="Q1277" s="1"/>
      <c r="R1277" s="159"/>
      <c r="S1277" s="159"/>
      <c r="T1277" s="159"/>
      <c r="V1277" s="159"/>
      <c r="W1277" s="159"/>
      <c r="X1277" s="159"/>
    </row>
    <row r="1278" spans="7:24" ht="15.75" customHeight="1" x14ac:dyDescent="0.25">
      <c r="G1278" s="77"/>
      <c r="H1278" s="2"/>
      <c r="L1278" s="3"/>
      <c r="M1278" s="78"/>
      <c r="O1278" s="159"/>
      <c r="P1278" s="2"/>
      <c r="Q1278" s="1"/>
      <c r="R1278" s="159"/>
      <c r="S1278" s="159"/>
      <c r="T1278" s="159"/>
      <c r="V1278" s="159"/>
      <c r="W1278" s="159"/>
      <c r="X1278" s="159"/>
    </row>
    <row r="1279" spans="7:24" ht="15.75" customHeight="1" x14ac:dyDescent="0.25">
      <c r="G1279" s="77"/>
      <c r="H1279" s="2"/>
      <c r="L1279" s="3"/>
      <c r="M1279" s="78"/>
      <c r="O1279" s="159"/>
      <c r="P1279" s="2"/>
      <c r="Q1279" s="1"/>
      <c r="R1279" s="159"/>
      <c r="S1279" s="159"/>
      <c r="T1279" s="159"/>
      <c r="V1279" s="159"/>
      <c r="W1279" s="159"/>
      <c r="X1279" s="159"/>
    </row>
    <row r="1280" spans="7:24" ht="15.75" customHeight="1" x14ac:dyDescent="0.25">
      <c r="G1280" s="77"/>
      <c r="H1280" s="2"/>
      <c r="L1280" s="3"/>
      <c r="M1280" s="78"/>
      <c r="O1280" s="159"/>
      <c r="P1280" s="2"/>
      <c r="Q1280" s="1"/>
      <c r="R1280" s="159"/>
      <c r="S1280" s="159"/>
      <c r="T1280" s="159"/>
      <c r="V1280" s="159"/>
      <c r="W1280" s="159"/>
      <c r="X1280" s="159"/>
    </row>
    <row r="1281" spans="7:24" ht="15.75" customHeight="1" x14ac:dyDescent="0.25">
      <c r="G1281" s="77"/>
      <c r="H1281" s="2"/>
      <c r="L1281" s="3"/>
      <c r="M1281" s="78"/>
      <c r="O1281" s="159"/>
      <c r="P1281" s="2"/>
      <c r="Q1281" s="1"/>
      <c r="R1281" s="159"/>
      <c r="S1281" s="159"/>
      <c r="T1281" s="159"/>
      <c r="V1281" s="159"/>
      <c r="W1281" s="159"/>
      <c r="X1281" s="159"/>
    </row>
    <row r="1282" spans="7:24" ht="15.75" customHeight="1" x14ac:dyDescent="0.25">
      <c r="G1282" s="77"/>
      <c r="H1282" s="2"/>
      <c r="L1282" s="3"/>
      <c r="M1282" s="78"/>
      <c r="O1282" s="159"/>
      <c r="P1282" s="2"/>
      <c r="Q1282" s="1"/>
      <c r="R1282" s="159"/>
      <c r="S1282" s="159"/>
      <c r="T1282" s="159"/>
      <c r="V1282" s="159"/>
      <c r="W1282" s="159"/>
      <c r="X1282" s="159"/>
    </row>
    <row r="1283" spans="7:24" ht="15.75" customHeight="1" x14ac:dyDescent="0.25">
      <c r="G1283" s="77"/>
      <c r="H1283" s="2"/>
      <c r="L1283" s="3"/>
      <c r="M1283" s="78"/>
      <c r="O1283" s="159"/>
      <c r="P1283" s="2"/>
      <c r="Q1283" s="1"/>
      <c r="R1283" s="159"/>
      <c r="S1283" s="159"/>
      <c r="T1283" s="159"/>
      <c r="V1283" s="159"/>
      <c r="W1283" s="159"/>
      <c r="X1283" s="159"/>
    </row>
    <row r="1284" spans="7:24" ht="15.75" customHeight="1" x14ac:dyDescent="0.25">
      <c r="G1284" s="77"/>
      <c r="H1284" s="2"/>
      <c r="L1284" s="3"/>
      <c r="M1284" s="78"/>
      <c r="O1284" s="159"/>
      <c r="P1284" s="2"/>
      <c r="Q1284" s="1"/>
      <c r="R1284" s="159"/>
      <c r="S1284" s="159"/>
      <c r="T1284" s="159"/>
      <c r="V1284" s="159"/>
      <c r="W1284" s="159"/>
      <c r="X1284" s="159"/>
    </row>
    <row r="1285" spans="7:24" ht="15.75" customHeight="1" x14ac:dyDescent="0.25">
      <c r="G1285" s="77"/>
      <c r="H1285" s="2"/>
      <c r="L1285" s="3"/>
      <c r="M1285" s="78"/>
      <c r="O1285" s="159"/>
      <c r="P1285" s="2"/>
      <c r="Q1285" s="1"/>
      <c r="R1285" s="159"/>
      <c r="S1285" s="159"/>
      <c r="T1285" s="159"/>
      <c r="V1285" s="159"/>
      <c r="W1285" s="159"/>
      <c r="X1285" s="159"/>
    </row>
    <row r="1286" spans="7:24" ht="15.75" customHeight="1" x14ac:dyDescent="0.25">
      <c r="G1286" s="77"/>
      <c r="H1286" s="2"/>
      <c r="L1286" s="3"/>
      <c r="M1286" s="78"/>
      <c r="O1286" s="159"/>
      <c r="P1286" s="2"/>
      <c r="Q1286" s="1"/>
      <c r="R1286" s="159"/>
      <c r="S1286" s="159"/>
      <c r="T1286" s="159"/>
      <c r="V1286" s="159"/>
      <c r="W1286" s="159"/>
      <c r="X1286" s="159"/>
    </row>
    <row r="1287" spans="7:24" ht="15.75" customHeight="1" x14ac:dyDescent="0.25">
      <c r="G1287" s="77"/>
      <c r="H1287" s="2"/>
      <c r="L1287" s="3"/>
      <c r="M1287" s="78"/>
      <c r="O1287" s="159"/>
      <c r="P1287" s="2"/>
      <c r="Q1287" s="1"/>
      <c r="R1287" s="159"/>
      <c r="S1287" s="159"/>
      <c r="T1287" s="159"/>
      <c r="V1287" s="159"/>
      <c r="W1287" s="159"/>
      <c r="X1287" s="159"/>
    </row>
    <row r="1288" spans="7:24" ht="15.75" customHeight="1" x14ac:dyDescent="0.25">
      <c r="G1288" s="77"/>
      <c r="H1288" s="2"/>
      <c r="L1288" s="3"/>
      <c r="M1288" s="78"/>
      <c r="O1288" s="159"/>
      <c r="P1288" s="2"/>
      <c r="Q1288" s="1"/>
      <c r="R1288" s="159"/>
      <c r="S1288" s="159"/>
      <c r="T1288" s="159"/>
      <c r="V1288" s="159"/>
      <c r="W1288" s="159"/>
      <c r="X1288" s="159"/>
    </row>
    <row r="1289" spans="7:24" ht="15.75" customHeight="1" x14ac:dyDescent="0.25">
      <c r="G1289" s="77"/>
      <c r="H1289" s="2"/>
      <c r="L1289" s="3"/>
      <c r="M1289" s="78"/>
      <c r="O1289" s="159"/>
      <c r="P1289" s="2"/>
      <c r="Q1289" s="1"/>
      <c r="R1289" s="159"/>
      <c r="S1289" s="159"/>
      <c r="T1289" s="159"/>
      <c r="V1289" s="159"/>
      <c r="W1289" s="159"/>
      <c r="X1289" s="159"/>
    </row>
    <row r="1290" spans="7:24" ht="15.75" customHeight="1" x14ac:dyDescent="0.25">
      <c r="G1290" s="77"/>
      <c r="H1290" s="2"/>
      <c r="L1290" s="3"/>
      <c r="M1290" s="78"/>
      <c r="O1290" s="159"/>
      <c r="P1290" s="2"/>
      <c r="Q1290" s="1"/>
      <c r="R1290" s="159"/>
      <c r="S1290" s="159"/>
      <c r="T1290" s="159"/>
      <c r="V1290" s="159"/>
      <c r="W1290" s="159"/>
      <c r="X1290" s="159"/>
    </row>
    <row r="1291" spans="7:24" ht="15.75" customHeight="1" x14ac:dyDescent="0.25">
      <c r="G1291" s="77"/>
      <c r="H1291" s="2"/>
      <c r="L1291" s="3"/>
      <c r="M1291" s="78"/>
      <c r="O1291" s="159"/>
      <c r="P1291" s="2"/>
      <c r="Q1291" s="1"/>
      <c r="R1291" s="159"/>
      <c r="S1291" s="159"/>
      <c r="T1291" s="159"/>
      <c r="V1291" s="159"/>
      <c r="W1291" s="159"/>
      <c r="X1291" s="159"/>
    </row>
    <row r="1292" spans="7:24" ht="15.75" customHeight="1" x14ac:dyDescent="0.25">
      <c r="G1292" s="77"/>
      <c r="H1292" s="2"/>
      <c r="L1292" s="3"/>
      <c r="M1292" s="78"/>
      <c r="O1292" s="159"/>
      <c r="P1292" s="2"/>
      <c r="Q1292" s="1"/>
      <c r="R1292" s="159"/>
      <c r="S1292" s="159"/>
      <c r="T1292" s="159"/>
      <c r="V1292" s="159"/>
      <c r="W1292" s="159"/>
      <c r="X1292" s="159"/>
    </row>
    <row r="1293" spans="7:24" ht="15.75" customHeight="1" x14ac:dyDescent="0.25">
      <c r="G1293" s="77"/>
      <c r="H1293" s="2"/>
      <c r="L1293" s="3"/>
      <c r="M1293" s="78"/>
      <c r="O1293" s="159"/>
      <c r="P1293" s="2"/>
      <c r="Q1293" s="1"/>
      <c r="R1293" s="159"/>
      <c r="S1293" s="159"/>
      <c r="T1293" s="159"/>
      <c r="V1293" s="159"/>
      <c r="W1293" s="159"/>
      <c r="X1293" s="159"/>
    </row>
    <row r="1294" spans="7:24" ht="15.75" customHeight="1" x14ac:dyDescent="0.25">
      <c r="G1294" s="77"/>
      <c r="H1294" s="2"/>
      <c r="L1294" s="3"/>
      <c r="M1294" s="78"/>
      <c r="O1294" s="159"/>
      <c r="P1294" s="2"/>
      <c r="Q1294" s="1"/>
      <c r="R1294" s="159"/>
      <c r="S1294" s="159"/>
      <c r="T1294" s="159"/>
      <c r="V1294" s="159"/>
      <c r="W1294" s="159"/>
      <c r="X1294" s="159"/>
    </row>
    <row r="1295" spans="7:24" ht="15.75" customHeight="1" x14ac:dyDescent="0.25">
      <c r="G1295" s="77"/>
      <c r="H1295" s="2"/>
      <c r="L1295" s="3"/>
      <c r="M1295" s="78"/>
      <c r="O1295" s="159"/>
      <c r="P1295" s="2"/>
      <c r="Q1295" s="1"/>
      <c r="R1295" s="159"/>
      <c r="S1295" s="159"/>
      <c r="T1295" s="159"/>
      <c r="V1295" s="159"/>
      <c r="W1295" s="159"/>
      <c r="X1295" s="159"/>
    </row>
    <row r="1296" spans="7:24" ht="15.75" customHeight="1" x14ac:dyDescent="0.25">
      <c r="G1296" s="77"/>
      <c r="H1296" s="2"/>
      <c r="L1296" s="3"/>
      <c r="M1296" s="78"/>
      <c r="O1296" s="159"/>
      <c r="P1296" s="2"/>
      <c r="Q1296" s="1"/>
      <c r="R1296" s="159"/>
      <c r="S1296" s="159"/>
      <c r="T1296" s="159"/>
      <c r="V1296" s="159"/>
      <c r="W1296" s="159"/>
      <c r="X1296" s="159"/>
    </row>
    <row r="1297" spans="7:24" ht="15.75" customHeight="1" x14ac:dyDescent="0.25">
      <c r="G1297" s="77"/>
      <c r="H1297" s="2"/>
      <c r="L1297" s="3"/>
      <c r="M1297" s="78"/>
      <c r="O1297" s="159"/>
      <c r="P1297" s="2"/>
      <c r="Q1297" s="1"/>
      <c r="R1297" s="159"/>
      <c r="S1297" s="159"/>
      <c r="T1297" s="159"/>
      <c r="V1297" s="159"/>
      <c r="W1297" s="159"/>
      <c r="X1297" s="159"/>
    </row>
    <row r="1298" spans="7:24" ht="15.75" customHeight="1" x14ac:dyDescent="0.25">
      <c r="G1298" s="77"/>
      <c r="H1298" s="2"/>
      <c r="L1298" s="3"/>
      <c r="M1298" s="78"/>
      <c r="O1298" s="159"/>
      <c r="P1298" s="2"/>
      <c r="Q1298" s="1"/>
      <c r="R1298" s="159"/>
      <c r="S1298" s="159"/>
      <c r="T1298" s="159"/>
      <c r="V1298" s="159"/>
      <c r="W1298" s="159"/>
      <c r="X1298" s="159"/>
    </row>
    <row r="1299" spans="7:24" ht="15.75" customHeight="1" x14ac:dyDescent="0.25">
      <c r="G1299" s="77"/>
      <c r="H1299" s="2"/>
      <c r="L1299" s="3"/>
      <c r="M1299" s="78"/>
      <c r="O1299" s="159"/>
      <c r="P1299" s="2"/>
      <c r="Q1299" s="1"/>
      <c r="R1299" s="159"/>
      <c r="S1299" s="159"/>
      <c r="T1299" s="159"/>
      <c r="V1299" s="159"/>
      <c r="W1299" s="159"/>
      <c r="X1299" s="159"/>
    </row>
    <row r="1300" spans="7:24" ht="15.75" customHeight="1" x14ac:dyDescent="0.25">
      <c r="G1300" s="77"/>
      <c r="H1300" s="2"/>
      <c r="L1300" s="3"/>
      <c r="M1300" s="78"/>
      <c r="O1300" s="159"/>
      <c r="P1300" s="2"/>
      <c r="Q1300" s="1"/>
      <c r="R1300" s="159"/>
      <c r="S1300" s="159"/>
      <c r="T1300" s="159"/>
      <c r="V1300" s="159"/>
      <c r="W1300" s="159"/>
      <c r="X1300" s="159"/>
    </row>
    <row r="1301" spans="7:24" ht="15.75" customHeight="1" x14ac:dyDescent="0.25">
      <c r="G1301" s="77"/>
      <c r="H1301" s="2"/>
      <c r="L1301" s="3"/>
      <c r="M1301" s="78"/>
      <c r="O1301" s="159"/>
      <c r="P1301" s="2"/>
      <c r="Q1301" s="1"/>
      <c r="R1301" s="159"/>
      <c r="S1301" s="159"/>
      <c r="T1301" s="159"/>
      <c r="V1301" s="159"/>
      <c r="W1301" s="159"/>
      <c r="X1301" s="159"/>
    </row>
    <row r="1302" spans="7:24" ht="15.75" customHeight="1" x14ac:dyDescent="0.25">
      <c r="G1302" s="77"/>
      <c r="H1302" s="2"/>
      <c r="L1302" s="3"/>
      <c r="M1302" s="78"/>
      <c r="O1302" s="159"/>
      <c r="P1302" s="2"/>
      <c r="Q1302" s="1"/>
      <c r="R1302" s="159"/>
      <c r="S1302" s="159"/>
      <c r="T1302" s="159"/>
      <c r="V1302" s="159"/>
      <c r="W1302" s="159"/>
      <c r="X1302" s="159"/>
    </row>
    <row r="1303" spans="7:24" ht="15.75" customHeight="1" x14ac:dyDescent="0.25">
      <c r="G1303" s="77"/>
      <c r="H1303" s="2"/>
      <c r="L1303" s="3"/>
      <c r="M1303" s="78"/>
      <c r="O1303" s="159"/>
      <c r="P1303" s="2"/>
      <c r="Q1303" s="1"/>
      <c r="R1303" s="159"/>
      <c r="S1303" s="159"/>
      <c r="T1303" s="159"/>
      <c r="V1303" s="159"/>
      <c r="W1303" s="159"/>
      <c r="X1303" s="159"/>
    </row>
    <row r="1304" spans="7:24" ht="15.75" customHeight="1" x14ac:dyDescent="0.25">
      <c r="G1304" s="77"/>
      <c r="H1304" s="2"/>
      <c r="L1304" s="3"/>
      <c r="M1304" s="78"/>
      <c r="O1304" s="159"/>
      <c r="P1304" s="2"/>
      <c r="Q1304" s="1"/>
      <c r="R1304" s="159"/>
      <c r="S1304" s="159"/>
      <c r="T1304" s="159"/>
      <c r="V1304" s="159"/>
      <c r="W1304" s="159"/>
      <c r="X1304" s="159"/>
    </row>
    <row r="1305" spans="7:24" ht="15.75" customHeight="1" x14ac:dyDescent="0.25">
      <c r="G1305" s="77"/>
      <c r="H1305" s="2"/>
      <c r="L1305" s="3"/>
      <c r="M1305" s="78"/>
      <c r="O1305" s="159"/>
      <c r="P1305" s="2"/>
      <c r="Q1305" s="1"/>
      <c r="R1305" s="159"/>
      <c r="S1305" s="159"/>
      <c r="T1305" s="159"/>
      <c r="V1305" s="159"/>
      <c r="W1305" s="159"/>
      <c r="X1305" s="159"/>
    </row>
    <row r="1306" spans="7:24" ht="15.75" customHeight="1" x14ac:dyDescent="0.25">
      <c r="G1306" s="77"/>
      <c r="H1306" s="2"/>
      <c r="L1306" s="3"/>
      <c r="M1306" s="78"/>
      <c r="O1306" s="159"/>
      <c r="P1306" s="2"/>
      <c r="Q1306" s="1"/>
      <c r="R1306" s="159"/>
      <c r="S1306" s="159"/>
      <c r="T1306" s="159"/>
      <c r="V1306" s="159"/>
      <c r="W1306" s="159"/>
      <c r="X1306" s="159"/>
    </row>
    <row r="1307" spans="7:24" ht="15.75" customHeight="1" x14ac:dyDescent="0.25">
      <c r="G1307" s="77"/>
      <c r="H1307" s="2"/>
      <c r="L1307" s="3"/>
      <c r="M1307" s="78"/>
      <c r="O1307" s="159"/>
      <c r="P1307" s="2"/>
      <c r="Q1307" s="1"/>
      <c r="R1307" s="159"/>
      <c r="S1307" s="159"/>
      <c r="T1307" s="159"/>
      <c r="V1307" s="159"/>
      <c r="W1307" s="159"/>
      <c r="X1307" s="159"/>
    </row>
    <row r="1308" spans="7:24" ht="15.75" customHeight="1" x14ac:dyDescent="0.25">
      <c r="G1308" s="77"/>
      <c r="H1308" s="2"/>
      <c r="L1308" s="3"/>
      <c r="M1308" s="78"/>
      <c r="O1308" s="159"/>
      <c r="P1308" s="2"/>
      <c r="Q1308" s="1"/>
      <c r="R1308" s="159"/>
      <c r="S1308" s="159"/>
      <c r="T1308" s="159"/>
      <c r="V1308" s="159"/>
      <c r="W1308" s="159"/>
      <c r="X1308" s="159"/>
    </row>
    <row r="1309" spans="7:24" ht="15.75" customHeight="1" x14ac:dyDescent="0.25">
      <c r="G1309" s="77"/>
      <c r="H1309" s="2"/>
      <c r="L1309" s="3"/>
      <c r="M1309" s="78"/>
      <c r="O1309" s="159"/>
      <c r="P1309" s="2"/>
      <c r="Q1309" s="1"/>
      <c r="R1309" s="159"/>
      <c r="S1309" s="159"/>
      <c r="T1309" s="159"/>
      <c r="V1309" s="159"/>
      <c r="W1309" s="159"/>
      <c r="X1309" s="159"/>
    </row>
    <row r="1310" spans="7:24" ht="15.75" customHeight="1" x14ac:dyDescent="0.25">
      <c r="G1310" s="77"/>
      <c r="H1310" s="2"/>
      <c r="L1310" s="3"/>
      <c r="M1310" s="78"/>
      <c r="O1310" s="159"/>
      <c r="P1310" s="2"/>
      <c r="Q1310" s="1"/>
      <c r="R1310" s="159"/>
      <c r="S1310" s="159"/>
      <c r="T1310" s="159"/>
      <c r="V1310" s="159"/>
      <c r="W1310" s="159"/>
      <c r="X1310" s="159"/>
    </row>
    <row r="1311" spans="7:24" ht="15.75" customHeight="1" x14ac:dyDescent="0.25">
      <c r="G1311" s="77"/>
      <c r="H1311" s="2"/>
      <c r="L1311" s="3"/>
      <c r="M1311" s="78"/>
      <c r="O1311" s="159"/>
      <c r="P1311" s="2"/>
      <c r="Q1311" s="1"/>
      <c r="R1311" s="159"/>
      <c r="S1311" s="159"/>
      <c r="T1311" s="159"/>
      <c r="V1311" s="159"/>
      <c r="W1311" s="159"/>
      <c r="X1311" s="159"/>
    </row>
    <row r="1312" spans="7:24" ht="15.75" customHeight="1" x14ac:dyDescent="0.25">
      <c r="G1312" s="77"/>
      <c r="H1312" s="2"/>
      <c r="L1312" s="3"/>
      <c r="M1312" s="78"/>
      <c r="O1312" s="159"/>
      <c r="P1312" s="2"/>
      <c r="Q1312" s="1"/>
      <c r="R1312" s="159"/>
      <c r="S1312" s="159"/>
      <c r="T1312" s="159"/>
      <c r="V1312" s="159"/>
      <c r="W1312" s="159"/>
      <c r="X1312" s="159"/>
    </row>
    <row r="1313" spans="7:24" ht="15.75" customHeight="1" x14ac:dyDescent="0.25">
      <c r="G1313" s="77"/>
      <c r="H1313" s="2"/>
      <c r="L1313" s="3"/>
      <c r="M1313" s="78"/>
      <c r="O1313" s="159"/>
      <c r="P1313" s="2"/>
      <c r="Q1313" s="1"/>
      <c r="R1313" s="159"/>
      <c r="S1313" s="159"/>
      <c r="T1313" s="159"/>
      <c r="V1313" s="159"/>
      <c r="W1313" s="159"/>
      <c r="X1313" s="159"/>
    </row>
    <row r="1314" spans="7:24" ht="15.75" customHeight="1" x14ac:dyDescent="0.25">
      <c r="G1314" s="77"/>
      <c r="H1314" s="2"/>
      <c r="L1314" s="3"/>
      <c r="M1314" s="78"/>
      <c r="O1314" s="159"/>
      <c r="P1314" s="2"/>
      <c r="Q1314" s="1"/>
      <c r="R1314" s="159"/>
      <c r="S1314" s="159"/>
      <c r="T1314" s="159"/>
      <c r="V1314" s="159"/>
      <c r="W1314" s="159"/>
      <c r="X1314" s="159"/>
    </row>
    <row r="1315" spans="7:24" ht="15.75" customHeight="1" x14ac:dyDescent="0.25">
      <c r="G1315" s="77"/>
      <c r="H1315" s="2"/>
      <c r="L1315" s="3"/>
      <c r="M1315" s="78"/>
      <c r="O1315" s="159"/>
      <c r="P1315" s="2"/>
      <c r="Q1315" s="1"/>
      <c r="R1315" s="159"/>
      <c r="S1315" s="159"/>
      <c r="T1315" s="159"/>
      <c r="V1315" s="159"/>
      <c r="W1315" s="159"/>
      <c r="X1315" s="159"/>
    </row>
    <row r="1316" spans="7:24" ht="15.75" customHeight="1" x14ac:dyDescent="0.25">
      <c r="G1316" s="77"/>
      <c r="H1316" s="2"/>
      <c r="L1316" s="3"/>
      <c r="M1316" s="78"/>
      <c r="O1316" s="159"/>
      <c r="P1316" s="2"/>
      <c r="Q1316" s="1"/>
      <c r="R1316" s="159"/>
      <c r="S1316" s="159"/>
      <c r="T1316" s="159"/>
      <c r="V1316" s="159"/>
      <c r="W1316" s="159"/>
      <c r="X1316" s="159"/>
    </row>
    <row r="1317" spans="7:24" ht="15.75" customHeight="1" x14ac:dyDescent="0.25">
      <c r="G1317" s="77"/>
      <c r="H1317" s="2"/>
      <c r="L1317" s="3"/>
      <c r="M1317" s="78"/>
      <c r="O1317" s="159"/>
      <c r="P1317" s="2"/>
      <c r="Q1317" s="1"/>
      <c r="R1317" s="159"/>
      <c r="S1317" s="159"/>
      <c r="T1317" s="159"/>
      <c r="V1317" s="159"/>
      <c r="W1317" s="159"/>
      <c r="X1317" s="159"/>
    </row>
    <row r="1318" spans="7:24" ht="15.75" customHeight="1" x14ac:dyDescent="0.25">
      <c r="G1318" s="77"/>
      <c r="H1318" s="2"/>
      <c r="L1318" s="3"/>
      <c r="M1318" s="78"/>
      <c r="O1318" s="159"/>
      <c r="P1318" s="2"/>
      <c r="Q1318" s="1"/>
      <c r="R1318" s="159"/>
      <c r="S1318" s="159"/>
      <c r="T1318" s="159"/>
      <c r="V1318" s="159"/>
      <c r="W1318" s="159"/>
      <c r="X1318" s="159"/>
    </row>
    <row r="1319" spans="7:24" ht="15.75" customHeight="1" x14ac:dyDescent="0.25">
      <c r="G1319" s="77"/>
      <c r="H1319" s="2"/>
      <c r="L1319" s="3"/>
      <c r="M1319" s="78"/>
      <c r="O1319" s="159"/>
      <c r="P1319" s="2"/>
      <c r="Q1319" s="1"/>
      <c r="R1319" s="159"/>
      <c r="S1319" s="159"/>
      <c r="T1319" s="159"/>
      <c r="V1319" s="159"/>
      <c r="W1319" s="159"/>
      <c r="X1319" s="159"/>
    </row>
    <row r="1320" spans="7:24" ht="15.75" customHeight="1" x14ac:dyDescent="0.25">
      <c r="G1320" s="77"/>
      <c r="H1320" s="2"/>
      <c r="L1320" s="3"/>
      <c r="M1320" s="78"/>
      <c r="O1320" s="159"/>
      <c r="P1320" s="2"/>
      <c r="Q1320" s="1"/>
      <c r="R1320" s="159"/>
      <c r="S1320" s="159"/>
      <c r="T1320" s="159"/>
      <c r="V1320" s="159"/>
      <c r="W1320" s="159"/>
      <c r="X1320" s="159"/>
    </row>
    <row r="1321" spans="7:24" ht="15.75" customHeight="1" x14ac:dyDescent="0.25">
      <c r="G1321" s="77"/>
      <c r="H1321" s="2"/>
      <c r="L1321" s="3"/>
      <c r="M1321" s="78"/>
      <c r="O1321" s="159"/>
      <c r="P1321" s="2"/>
      <c r="Q1321" s="1"/>
      <c r="R1321" s="159"/>
      <c r="S1321" s="159"/>
      <c r="T1321" s="159"/>
      <c r="V1321" s="159"/>
      <c r="W1321" s="159"/>
      <c r="X1321" s="159"/>
    </row>
    <row r="1322" spans="7:24" ht="15.75" customHeight="1" x14ac:dyDescent="0.25">
      <c r="G1322" s="77"/>
      <c r="H1322" s="2"/>
      <c r="L1322" s="3"/>
      <c r="M1322" s="78"/>
      <c r="O1322" s="159"/>
      <c r="P1322" s="2"/>
      <c r="Q1322" s="1"/>
      <c r="R1322" s="159"/>
      <c r="S1322" s="159"/>
      <c r="T1322" s="159"/>
      <c r="V1322" s="159"/>
      <c r="W1322" s="159"/>
      <c r="X1322" s="159"/>
    </row>
    <row r="1323" spans="7:24" ht="15.75" customHeight="1" x14ac:dyDescent="0.25">
      <c r="G1323" s="77"/>
      <c r="H1323" s="2"/>
      <c r="L1323" s="3"/>
      <c r="M1323" s="78"/>
      <c r="O1323" s="159"/>
      <c r="P1323" s="2"/>
      <c r="Q1323" s="1"/>
      <c r="R1323" s="159"/>
      <c r="S1323" s="159"/>
      <c r="T1323" s="159"/>
      <c r="V1323" s="159"/>
      <c r="W1323" s="159"/>
      <c r="X1323" s="159"/>
    </row>
    <row r="1324" spans="7:24" ht="15.75" customHeight="1" x14ac:dyDescent="0.25">
      <c r="G1324" s="77"/>
      <c r="H1324" s="2"/>
      <c r="L1324" s="3"/>
      <c r="M1324" s="78"/>
      <c r="O1324" s="159"/>
      <c r="P1324" s="2"/>
      <c r="Q1324" s="1"/>
      <c r="R1324" s="159"/>
      <c r="S1324" s="159"/>
      <c r="T1324" s="159"/>
      <c r="V1324" s="159"/>
      <c r="W1324" s="159"/>
      <c r="X1324" s="159"/>
    </row>
    <row r="1325" spans="7:24" ht="15.75" customHeight="1" x14ac:dyDescent="0.25">
      <c r="G1325" s="77"/>
      <c r="H1325" s="2"/>
      <c r="L1325" s="3"/>
      <c r="M1325" s="78"/>
      <c r="O1325" s="159"/>
      <c r="P1325" s="2"/>
      <c r="Q1325" s="1"/>
      <c r="R1325" s="159"/>
      <c r="S1325" s="159"/>
      <c r="T1325" s="159"/>
      <c r="V1325" s="159"/>
      <c r="W1325" s="159"/>
      <c r="X1325" s="159"/>
    </row>
    <row r="1326" spans="7:24" ht="15.75" customHeight="1" x14ac:dyDescent="0.25">
      <c r="G1326" s="77"/>
      <c r="H1326" s="2"/>
      <c r="L1326" s="3"/>
      <c r="M1326" s="78"/>
      <c r="O1326" s="159"/>
      <c r="P1326" s="2"/>
      <c r="Q1326" s="1"/>
      <c r="R1326" s="159"/>
      <c r="S1326" s="159"/>
      <c r="T1326" s="159"/>
      <c r="V1326" s="159"/>
      <c r="W1326" s="159"/>
      <c r="X1326" s="159"/>
    </row>
    <row r="1327" spans="7:24" ht="15.75" customHeight="1" x14ac:dyDescent="0.25">
      <c r="G1327" s="77"/>
      <c r="H1327" s="2"/>
      <c r="L1327" s="3"/>
      <c r="M1327" s="78"/>
      <c r="O1327" s="159"/>
      <c r="P1327" s="2"/>
      <c r="Q1327" s="1"/>
      <c r="R1327" s="159"/>
      <c r="S1327" s="159"/>
      <c r="T1327" s="159"/>
      <c r="V1327" s="159"/>
      <c r="W1327" s="159"/>
      <c r="X1327" s="159"/>
    </row>
    <row r="1328" spans="7:24" ht="15.75" customHeight="1" x14ac:dyDescent="0.25">
      <c r="G1328" s="77"/>
      <c r="H1328" s="2"/>
      <c r="L1328" s="3"/>
      <c r="M1328" s="78"/>
      <c r="O1328" s="159"/>
      <c r="P1328" s="2"/>
      <c r="Q1328" s="1"/>
      <c r="R1328" s="159"/>
      <c r="S1328" s="159"/>
      <c r="T1328" s="159"/>
      <c r="V1328" s="159"/>
      <c r="W1328" s="159"/>
      <c r="X1328" s="159"/>
    </row>
    <row r="1329" spans="7:24" ht="15.75" customHeight="1" x14ac:dyDescent="0.25">
      <c r="G1329" s="77"/>
      <c r="H1329" s="2"/>
      <c r="L1329" s="3"/>
      <c r="M1329" s="78"/>
      <c r="O1329" s="159"/>
      <c r="P1329" s="2"/>
      <c r="Q1329" s="1"/>
      <c r="R1329" s="159"/>
      <c r="S1329" s="159"/>
      <c r="T1329" s="159"/>
      <c r="V1329" s="159"/>
      <c r="W1329" s="159"/>
      <c r="X1329" s="159"/>
    </row>
    <row r="1330" spans="7:24" ht="15.75" customHeight="1" x14ac:dyDescent="0.25">
      <c r="G1330" s="77"/>
      <c r="H1330" s="2"/>
      <c r="L1330" s="3"/>
      <c r="M1330" s="78"/>
      <c r="O1330" s="159"/>
      <c r="P1330" s="2"/>
      <c r="Q1330" s="1"/>
      <c r="R1330" s="159"/>
      <c r="S1330" s="159"/>
      <c r="T1330" s="159"/>
      <c r="V1330" s="159"/>
      <c r="W1330" s="159"/>
      <c r="X1330" s="159"/>
    </row>
    <row r="1331" spans="7:24" ht="15.75" customHeight="1" x14ac:dyDescent="0.25">
      <c r="G1331" s="77"/>
      <c r="H1331" s="2"/>
      <c r="L1331" s="3"/>
      <c r="M1331" s="78"/>
      <c r="O1331" s="159"/>
      <c r="P1331" s="2"/>
      <c r="Q1331" s="1"/>
      <c r="R1331" s="159"/>
      <c r="S1331" s="159"/>
      <c r="T1331" s="159"/>
      <c r="V1331" s="159"/>
      <c r="W1331" s="159"/>
      <c r="X1331" s="159"/>
    </row>
    <row r="1332" spans="7:24" ht="15.75" customHeight="1" x14ac:dyDescent="0.25">
      <c r="G1332" s="77"/>
      <c r="H1332" s="2"/>
      <c r="L1332" s="3"/>
      <c r="M1332" s="78"/>
      <c r="O1332" s="159"/>
      <c r="P1332" s="2"/>
      <c r="Q1332" s="1"/>
      <c r="R1332" s="159"/>
      <c r="S1332" s="159"/>
      <c r="T1332" s="159"/>
      <c r="V1332" s="159"/>
      <c r="W1332" s="159"/>
      <c r="X1332" s="159"/>
    </row>
    <row r="1333" spans="7:24" ht="15.75" customHeight="1" x14ac:dyDescent="0.25">
      <c r="G1333" s="77"/>
      <c r="H1333" s="2"/>
      <c r="L1333" s="3"/>
      <c r="M1333" s="78"/>
      <c r="O1333" s="159"/>
      <c r="P1333" s="2"/>
      <c r="Q1333" s="1"/>
      <c r="R1333" s="159"/>
      <c r="S1333" s="159"/>
      <c r="T1333" s="159"/>
      <c r="V1333" s="159"/>
      <c r="W1333" s="159"/>
      <c r="X1333" s="159"/>
    </row>
    <row r="1334" spans="7:24" ht="15.75" customHeight="1" x14ac:dyDescent="0.25">
      <c r="G1334" s="77"/>
      <c r="H1334" s="2"/>
      <c r="L1334" s="3"/>
      <c r="M1334" s="78"/>
      <c r="O1334" s="159"/>
      <c r="P1334" s="2"/>
      <c r="Q1334" s="1"/>
      <c r="R1334" s="159"/>
      <c r="S1334" s="159"/>
      <c r="T1334" s="159"/>
      <c r="V1334" s="159"/>
      <c r="W1334" s="159"/>
      <c r="X1334" s="159"/>
    </row>
    <row r="1335" spans="7:24" ht="15.75" customHeight="1" x14ac:dyDescent="0.25">
      <c r="G1335" s="77"/>
      <c r="H1335" s="2"/>
      <c r="L1335" s="3"/>
      <c r="M1335" s="78"/>
      <c r="O1335" s="159"/>
      <c r="P1335" s="2"/>
      <c r="Q1335" s="1"/>
      <c r="R1335" s="159"/>
      <c r="S1335" s="159"/>
      <c r="T1335" s="159"/>
      <c r="V1335" s="159"/>
      <c r="W1335" s="159"/>
      <c r="X1335" s="159"/>
    </row>
    <row r="1336" spans="7:24" ht="15.75" customHeight="1" x14ac:dyDescent="0.25">
      <c r="G1336" s="77"/>
      <c r="H1336" s="2"/>
      <c r="L1336" s="3"/>
      <c r="M1336" s="78"/>
      <c r="O1336" s="159"/>
      <c r="P1336" s="2"/>
      <c r="Q1336" s="1"/>
      <c r="R1336" s="159"/>
      <c r="S1336" s="159"/>
      <c r="T1336" s="159"/>
      <c r="V1336" s="159"/>
      <c r="W1336" s="159"/>
      <c r="X1336" s="159"/>
    </row>
    <row r="1337" spans="7:24" ht="15.75" customHeight="1" x14ac:dyDescent="0.25">
      <c r="G1337" s="77"/>
      <c r="H1337" s="2"/>
      <c r="L1337" s="3"/>
      <c r="M1337" s="78"/>
      <c r="O1337" s="159"/>
      <c r="P1337" s="2"/>
      <c r="Q1337" s="1"/>
      <c r="R1337" s="159"/>
      <c r="S1337" s="159"/>
      <c r="T1337" s="159"/>
      <c r="V1337" s="159"/>
      <c r="W1337" s="159"/>
      <c r="X1337" s="159"/>
    </row>
    <row r="1338" spans="7:24" ht="15.75" customHeight="1" x14ac:dyDescent="0.25">
      <c r="G1338" s="77"/>
      <c r="H1338" s="2"/>
      <c r="L1338" s="3"/>
      <c r="M1338" s="78"/>
      <c r="O1338" s="159"/>
      <c r="P1338" s="2"/>
      <c r="Q1338" s="1"/>
      <c r="R1338" s="159"/>
      <c r="S1338" s="159"/>
      <c r="T1338" s="159"/>
      <c r="V1338" s="159"/>
      <c r="W1338" s="159"/>
      <c r="X1338" s="159"/>
    </row>
    <row r="1339" spans="7:24" ht="15.75" customHeight="1" x14ac:dyDescent="0.25">
      <c r="G1339" s="77"/>
      <c r="H1339" s="2"/>
      <c r="L1339" s="3"/>
      <c r="M1339" s="78"/>
      <c r="O1339" s="159"/>
      <c r="P1339" s="2"/>
      <c r="Q1339" s="1"/>
      <c r="R1339" s="159"/>
      <c r="S1339" s="159"/>
      <c r="T1339" s="159"/>
      <c r="V1339" s="159"/>
      <c r="W1339" s="159"/>
      <c r="X1339" s="159"/>
    </row>
    <row r="1340" spans="7:24" ht="15.75" customHeight="1" x14ac:dyDescent="0.25">
      <c r="G1340" s="77"/>
      <c r="H1340" s="2"/>
      <c r="L1340" s="3"/>
      <c r="M1340" s="78"/>
      <c r="O1340" s="159"/>
      <c r="P1340" s="2"/>
      <c r="Q1340" s="1"/>
      <c r="R1340" s="159"/>
      <c r="S1340" s="159"/>
      <c r="T1340" s="159"/>
      <c r="V1340" s="159"/>
      <c r="W1340" s="159"/>
      <c r="X1340" s="159"/>
    </row>
    <row r="1341" spans="7:24" ht="15.75" customHeight="1" x14ac:dyDescent="0.25">
      <c r="G1341" s="77"/>
      <c r="H1341" s="2"/>
      <c r="L1341" s="3"/>
      <c r="M1341" s="78"/>
      <c r="O1341" s="159"/>
      <c r="P1341" s="2"/>
      <c r="Q1341" s="1"/>
      <c r="R1341" s="159"/>
      <c r="S1341" s="159"/>
      <c r="T1341" s="159"/>
      <c r="V1341" s="159"/>
      <c r="W1341" s="159"/>
      <c r="X1341" s="159"/>
    </row>
    <row r="1342" spans="7:24" ht="15.75" customHeight="1" x14ac:dyDescent="0.25">
      <c r="G1342" s="77"/>
      <c r="H1342" s="2"/>
      <c r="L1342" s="3"/>
      <c r="M1342" s="78"/>
      <c r="O1342" s="159"/>
      <c r="P1342" s="2"/>
      <c r="Q1342" s="1"/>
      <c r="R1342" s="159"/>
      <c r="S1342" s="159"/>
      <c r="T1342" s="159"/>
      <c r="V1342" s="159"/>
      <c r="W1342" s="159"/>
      <c r="X1342" s="159"/>
    </row>
    <row r="1343" spans="7:24" ht="15.75" customHeight="1" x14ac:dyDescent="0.25">
      <c r="G1343" s="77"/>
      <c r="H1343" s="2"/>
      <c r="L1343" s="3"/>
      <c r="M1343" s="78"/>
      <c r="O1343" s="159"/>
      <c r="P1343" s="2"/>
      <c r="Q1343" s="1"/>
      <c r="R1343" s="159"/>
      <c r="S1343" s="159"/>
      <c r="T1343" s="159"/>
      <c r="V1343" s="159"/>
      <c r="W1343" s="159"/>
      <c r="X1343" s="159"/>
    </row>
    <row r="1344" spans="7:24" ht="15.75" customHeight="1" x14ac:dyDescent="0.25">
      <c r="G1344" s="77"/>
      <c r="H1344" s="2"/>
      <c r="L1344" s="3"/>
      <c r="M1344" s="78"/>
      <c r="O1344" s="159"/>
      <c r="P1344" s="2"/>
      <c r="Q1344" s="1"/>
      <c r="R1344" s="159"/>
      <c r="S1344" s="159"/>
      <c r="T1344" s="159"/>
      <c r="V1344" s="159"/>
      <c r="W1344" s="159"/>
      <c r="X1344" s="159"/>
    </row>
    <row r="1345" spans="7:24" ht="15.75" customHeight="1" x14ac:dyDescent="0.25">
      <c r="G1345" s="77"/>
      <c r="H1345" s="2"/>
      <c r="L1345" s="3"/>
      <c r="M1345" s="78"/>
      <c r="O1345" s="159"/>
      <c r="P1345" s="2"/>
      <c r="Q1345" s="1"/>
      <c r="R1345" s="159"/>
      <c r="S1345" s="159"/>
      <c r="T1345" s="159"/>
      <c r="V1345" s="159"/>
      <c r="W1345" s="159"/>
      <c r="X1345" s="159"/>
    </row>
    <row r="1346" spans="7:24" ht="15.75" customHeight="1" x14ac:dyDescent="0.25">
      <c r="G1346" s="77"/>
      <c r="H1346" s="2"/>
      <c r="L1346" s="3"/>
      <c r="M1346" s="78"/>
      <c r="O1346" s="159"/>
      <c r="P1346" s="2"/>
      <c r="Q1346" s="1"/>
      <c r="R1346" s="159"/>
      <c r="S1346" s="159"/>
      <c r="T1346" s="159"/>
      <c r="V1346" s="159"/>
      <c r="W1346" s="159"/>
      <c r="X1346" s="159"/>
    </row>
    <row r="1347" spans="7:24" ht="15.75" customHeight="1" x14ac:dyDescent="0.25">
      <c r="G1347" s="77"/>
      <c r="H1347" s="2"/>
      <c r="L1347" s="3"/>
      <c r="M1347" s="78"/>
      <c r="O1347" s="159"/>
      <c r="P1347" s="2"/>
      <c r="Q1347" s="1"/>
      <c r="R1347" s="159"/>
      <c r="S1347" s="159"/>
      <c r="T1347" s="159"/>
      <c r="V1347" s="159"/>
      <c r="W1347" s="159"/>
      <c r="X1347" s="159"/>
    </row>
    <row r="1348" spans="7:24" ht="15.75" customHeight="1" x14ac:dyDescent="0.25">
      <c r="G1348" s="77"/>
      <c r="H1348" s="2"/>
      <c r="L1348" s="3"/>
      <c r="M1348" s="78"/>
      <c r="O1348" s="159"/>
      <c r="P1348" s="2"/>
      <c r="Q1348" s="1"/>
      <c r="R1348" s="159"/>
      <c r="S1348" s="159"/>
      <c r="T1348" s="159"/>
      <c r="V1348" s="159"/>
      <c r="W1348" s="159"/>
      <c r="X1348" s="159"/>
    </row>
    <row r="1349" spans="7:24" ht="15.75" customHeight="1" x14ac:dyDescent="0.25">
      <c r="G1349" s="77"/>
      <c r="H1349" s="2"/>
      <c r="L1349" s="3"/>
      <c r="M1349" s="78"/>
      <c r="O1349" s="159"/>
      <c r="P1349" s="2"/>
      <c r="Q1349" s="1"/>
      <c r="R1349" s="159"/>
      <c r="S1349" s="159"/>
      <c r="T1349" s="159"/>
      <c r="V1349" s="159"/>
      <c r="W1349" s="159"/>
      <c r="X1349" s="159"/>
    </row>
    <row r="1350" spans="7:24" ht="15.75" customHeight="1" x14ac:dyDescent="0.25">
      <c r="G1350" s="77"/>
      <c r="H1350" s="2"/>
      <c r="L1350" s="3"/>
      <c r="M1350" s="78"/>
      <c r="O1350" s="159"/>
      <c r="P1350" s="2"/>
      <c r="Q1350" s="1"/>
      <c r="R1350" s="159"/>
      <c r="S1350" s="159"/>
      <c r="T1350" s="159"/>
      <c r="V1350" s="159"/>
      <c r="W1350" s="159"/>
      <c r="X1350" s="159"/>
    </row>
    <row r="1351" spans="7:24" ht="15.75" customHeight="1" x14ac:dyDescent="0.25">
      <c r="G1351" s="77"/>
      <c r="H1351" s="2"/>
      <c r="L1351" s="3"/>
      <c r="M1351" s="78"/>
      <c r="O1351" s="159"/>
      <c r="P1351" s="2"/>
      <c r="Q1351" s="1"/>
      <c r="R1351" s="159"/>
      <c r="S1351" s="159"/>
      <c r="T1351" s="159"/>
      <c r="V1351" s="159"/>
      <c r="W1351" s="159"/>
      <c r="X1351" s="159"/>
    </row>
    <row r="1352" spans="7:24" ht="15.75" customHeight="1" x14ac:dyDescent="0.25">
      <c r="G1352" s="77"/>
      <c r="H1352" s="2"/>
      <c r="L1352" s="3"/>
      <c r="M1352" s="78"/>
      <c r="O1352" s="159"/>
      <c r="P1352" s="2"/>
      <c r="Q1352" s="1"/>
      <c r="R1352" s="159"/>
      <c r="S1352" s="159"/>
      <c r="T1352" s="159"/>
      <c r="V1352" s="159"/>
      <c r="W1352" s="159"/>
      <c r="X1352" s="159"/>
    </row>
    <row r="1353" spans="7:24" ht="15.75" customHeight="1" x14ac:dyDescent="0.25">
      <c r="G1353" s="77"/>
      <c r="H1353" s="2"/>
      <c r="L1353" s="3"/>
      <c r="M1353" s="78"/>
      <c r="O1353" s="159"/>
      <c r="P1353" s="2"/>
      <c r="Q1353" s="1"/>
      <c r="R1353" s="159"/>
      <c r="S1353" s="159"/>
      <c r="T1353" s="159"/>
      <c r="V1353" s="159"/>
      <c r="W1353" s="159"/>
      <c r="X1353" s="159"/>
    </row>
    <row r="1354" spans="7:24" ht="15.75" customHeight="1" x14ac:dyDescent="0.25">
      <c r="G1354" s="77"/>
      <c r="H1354" s="2"/>
      <c r="L1354" s="3"/>
      <c r="M1354" s="78"/>
      <c r="O1354" s="159"/>
      <c r="P1354" s="2"/>
      <c r="Q1354" s="1"/>
      <c r="R1354" s="159"/>
      <c r="S1354" s="159"/>
      <c r="T1354" s="159"/>
      <c r="V1354" s="159"/>
      <c r="W1354" s="159"/>
      <c r="X1354" s="159"/>
    </row>
    <row r="1355" spans="7:24" ht="15.75" customHeight="1" x14ac:dyDescent="0.25">
      <c r="G1355" s="77"/>
      <c r="H1355" s="2"/>
      <c r="L1355" s="3"/>
      <c r="M1355" s="78"/>
      <c r="O1355" s="159"/>
      <c r="P1355" s="2"/>
      <c r="Q1355" s="1"/>
      <c r="R1355" s="159"/>
      <c r="S1355" s="159"/>
      <c r="T1355" s="159"/>
      <c r="V1355" s="159"/>
      <c r="W1355" s="159"/>
      <c r="X1355" s="159"/>
    </row>
    <row r="1356" spans="7:24" ht="15.75" customHeight="1" x14ac:dyDescent="0.25">
      <c r="G1356" s="77"/>
      <c r="H1356" s="2"/>
      <c r="L1356" s="3"/>
      <c r="M1356" s="78"/>
      <c r="O1356" s="159"/>
      <c r="P1356" s="2"/>
      <c r="Q1356" s="1"/>
      <c r="R1356" s="159"/>
      <c r="S1356" s="159"/>
      <c r="T1356" s="159"/>
      <c r="V1356" s="159"/>
      <c r="W1356" s="159"/>
      <c r="X1356" s="159"/>
    </row>
    <row r="1357" spans="7:24" ht="15.75" customHeight="1" x14ac:dyDescent="0.25">
      <c r="G1357" s="77"/>
      <c r="H1357" s="2"/>
      <c r="L1357" s="3"/>
      <c r="M1357" s="78"/>
      <c r="O1357" s="159"/>
      <c r="P1357" s="2"/>
      <c r="Q1357" s="1"/>
      <c r="R1357" s="159"/>
      <c r="S1357" s="159"/>
      <c r="T1357" s="159"/>
      <c r="V1357" s="159"/>
      <c r="W1357" s="159"/>
      <c r="X1357" s="159"/>
    </row>
    <row r="1358" spans="7:24" ht="15.75" customHeight="1" x14ac:dyDescent="0.25">
      <c r="G1358" s="77"/>
      <c r="H1358" s="2"/>
      <c r="L1358" s="3"/>
      <c r="M1358" s="78"/>
      <c r="O1358" s="159"/>
      <c r="P1358" s="2"/>
      <c r="Q1358" s="1"/>
      <c r="R1358" s="159"/>
      <c r="S1358" s="159"/>
      <c r="T1358" s="159"/>
      <c r="V1358" s="159"/>
      <c r="W1358" s="159"/>
      <c r="X1358" s="159"/>
    </row>
    <row r="1359" spans="7:24" ht="15.75" customHeight="1" x14ac:dyDescent="0.25">
      <c r="G1359" s="77"/>
      <c r="H1359" s="2"/>
      <c r="L1359" s="3"/>
      <c r="M1359" s="78"/>
      <c r="O1359" s="159"/>
      <c r="P1359" s="2"/>
      <c r="Q1359" s="1"/>
      <c r="R1359" s="159"/>
      <c r="S1359" s="159"/>
      <c r="T1359" s="159"/>
      <c r="V1359" s="159"/>
      <c r="W1359" s="159"/>
      <c r="X1359" s="159"/>
    </row>
    <row r="1360" spans="7:24" ht="15.75" customHeight="1" x14ac:dyDescent="0.25">
      <c r="G1360" s="77"/>
      <c r="H1360" s="2"/>
      <c r="L1360" s="3"/>
      <c r="M1360" s="78"/>
      <c r="O1360" s="159"/>
      <c r="P1360" s="2"/>
      <c r="Q1360" s="1"/>
      <c r="R1360" s="159"/>
      <c r="S1360" s="159"/>
      <c r="T1360" s="159"/>
      <c r="V1360" s="159"/>
      <c r="W1360" s="159"/>
      <c r="X1360" s="159"/>
    </row>
    <row r="1361" spans="7:24" ht="15.75" customHeight="1" x14ac:dyDescent="0.25">
      <c r="G1361" s="77"/>
      <c r="H1361" s="2"/>
      <c r="L1361" s="3"/>
      <c r="M1361" s="78"/>
      <c r="O1361" s="159"/>
      <c r="P1361" s="2"/>
      <c r="Q1361" s="1"/>
      <c r="R1361" s="159"/>
      <c r="S1361" s="159"/>
      <c r="T1361" s="159"/>
      <c r="V1361" s="159"/>
      <c r="W1361" s="159"/>
      <c r="X1361" s="159"/>
    </row>
    <row r="1362" spans="7:24" ht="15.75" customHeight="1" x14ac:dyDescent="0.25">
      <c r="G1362" s="77"/>
      <c r="H1362" s="2"/>
      <c r="L1362" s="3"/>
      <c r="M1362" s="78"/>
      <c r="O1362" s="159"/>
      <c r="P1362" s="2"/>
      <c r="Q1362" s="1"/>
      <c r="R1362" s="159"/>
      <c r="S1362" s="159"/>
      <c r="T1362" s="159"/>
      <c r="V1362" s="159"/>
      <c r="W1362" s="159"/>
      <c r="X1362" s="159"/>
    </row>
    <row r="1363" spans="7:24" ht="15.75" customHeight="1" x14ac:dyDescent="0.25">
      <c r="G1363" s="77"/>
      <c r="H1363" s="2"/>
      <c r="L1363" s="3"/>
      <c r="M1363" s="78"/>
      <c r="O1363" s="159"/>
      <c r="P1363" s="2"/>
      <c r="Q1363" s="1"/>
      <c r="R1363" s="159"/>
      <c r="S1363" s="159"/>
      <c r="T1363" s="159"/>
      <c r="V1363" s="159"/>
      <c r="W1363" s="159"/>
      <c r="X1363" s="159"/>
    </row>
    <row r="1364" spans="7:24" ht="15.75" customHeight="1" x14ac:dyDescent="0.25">
      <c r="G1364" s="77"/>
      <c r="H1364" s="2"/>
      <c r="L1364" s="3"/>
      <c r="M1364" s="78"/>
      <c r="O1364" s="159"/>
      <c r="P1364" s="2"/>
      <c r="Q1364" s="1"/>
      <c r="R1364" s="159"/>
      <c r="S1364" s="159"/>
      <c r="T1364" s="159"/>
      <c r="V1364" s="159"/>
      <c r="W1364" s="159"/>
      <c r="X1364" s="159"/>
    </row>
    <row r="1365" spans="7:24" ht="15.75" customHeight="1" x14ac:dyDescent="0.25">
      <c r="G1365" s="77"/>
      <c r="H1365" s="2"/>
      <c r="L1365" s="3"/>
      <c r="M1365" s="78"/>
      <c r="O1365" s="159"/>
      <c r="P1365" s="2"/>
      <c r="Q1365" s="1"/>
      <c r="R1365" s="159"/>
      <c r="S1365" s="159"/>
      <c r="T1365" s="159"/>
      <c r="V1365" s="159"/>
      <c r="W1365" s="159"/>
      <c r="X1365" s="159"/>
    </row>
    <row r="1366" spans="7:24" ht="15.75" customHeight="1" x14ac:dyDescent="0.25">
      <c r="G1366" s="77"/>
      <c r="H1366" s="2"/>
      <c r="L1366" s="3"/>
      <c r="M1366" s="78"/>
      <c r="O1366" s="159"/>
      <c r="P1366" s="2"/>
      <c r="Q1366" s="1"/>
      <c r="R1366" s="159"/>
      <c r="S1366" s="159"/>
      <c r="T1366" s="159"/>
      <c r="V1366" s="159"/>
      <c r="W1366" s="159"/>
      <c r="X1366" s="159"/>
    </row>
    <row r="1367" spans="7:24" ht="15.75" customHeight="1" x14ac:dyDescent="0.25">
      <c r="G1367" s="77"/>
      <c r="H1367" s="2"/>
      <c r="L1367" s="3"/>
      <c r="M1367" s="78"/>
      <c r="O1367" s="159"/>
      <c r="P1367" s="2"/>
      <c r="Q1367" s="1"/>
      <c r="R1367" s="159"/>
      <c r="S1367" s="159"/>
      <c r="T1367" s="159"/>
      <c r="V1367" s="159"/>
      <c r="W1367" s="159"/>
      <c r="X1367" s="159"/>
    </row>
    <row r="1368" spans="7:24" ht="15.75" customHeight="1" x14ac:dyDescent="0.25">
      <c r="G1368" s="77"/>
      <c r="H1368" s="2"/>
      <c r="L1368" s="3"/>
      <c r="M1368" s="78"/>
      <c r="O1368" s="159"/>
      <c r="P1368" s="2"/>
      <c r="Q1368" s="1"/>
      <c r="R1368" s="159"/>
      <c r="S1368" s="159"/>
      <c r="T1368" s="159"/>
      <c r="V1368" s="159"/>
      <c r="W1368" s="159"/>
      <c r="X1368" s="159"/>
    </row>
    <row r="1369" spans="7:24" ht="15.75" customHeight="1" x14ac:dyDescent="0.25">
      <c r="G1369" s="77"/>
      <c r="H1369" s="2"/>
      <c r="L1369" s="3"/>
      <c r="M1369" s="78"/>
      <c r="O1369" s="159"/>
      <c r="P1369" s="2"/>
      <c r="Q1369" s="1"/>
      <c r="R1369" s="159"/>
      <c r="S1369" s="159"/>
      <c r="T1369" s="159"/>
      <c r="V1369" s="159"/>
      <c r="W1369" s="159"/>
      <c r="X1369" s="159"/>
    </row>
    <row r="1370" spans="7:24" ht="15.75" customHeight="1" x14ac:dyDescent="0.25">
      <c r="G1370" s="77"/>
      <c r="H1370" s="2"/>
      <c r="L1370" s="3"/>
      <c r="M1370" s="78"/>
      <c r="O1370" s="159"/>
      <c r="P1370" s="2"/>
      <c r="Q1370" s="1"/>
      <c r="R1370" s="159"/>
      <c r="S1370" s="159"/>
      <c r="T1370" s="159"/>
      <c r="V1370" s="159"/>
      <c r="W1370" s="159"/>
      <c r="X1370" s="159"/>
    </row>
    <row r="1371" spans="7:24" ht="15.75" customHeight="1" x14ac:dyDescent="0.25">
      <c r="G1371" s="77"/>
      <c r="H1371" s="2"/>
      <c r="L1371" s="3"/>
      <c r="M1371" s="78"/>
      <c r="O1371" s="159"/>
      <c r="P1371" s="2"/>
      <c r="Q1371" s="1"/>
      <c r="R1371" s="159"/>
      <c r="S1371" s="159"/>
      <c r="T1371" s="159"/>
      <c r="V1371" s="159"/>
      <c r="W1371" s="159"/>
      <c r="X1371" s="159"/>
    </row>
    <row r="1372" spans="7:24" ht="15.75" customHeight="1" x14ac:dyDescent="0.25">
      <c r="G1372" s="77"/>
      <c r="H1372" s="2"/>
      <c r="L1372" s="3"/>
      <c r="M1372" s="78"/>
      <c r="O1372" s="159"/>
      <c r="P1372" s="2"/>
      <c r="Q1372" s="1"/>
      <c r="R1372" s="159"/>
      <c r="S1372" s="159"/>
      <c r="T1372" s="159"/>
      <c r="V1372" s="159"/>
      <c r="W1372" s="159"/>
      <c r="X1372" s="159"/>
    </row>
    <row r="1373" spans="7:24" ht="15.75" customHeight="1" x14ac:dyDescent="0.25">
      <c r="G1373" s="77"/>
      <c r="H1373" s="2"/>
      <c r="L1373" s="3"/>
      <c r="M1373" s="78"/>
      <c r="O1373" s="159"/>
      <c r="P1373" s="2"/>
      <c r="Q1373" s="1"/>
      <c r="R1373" s="159"/>
      <c r="S1373" s="159"/>
      <c r="T1373" s="159"/>
      <c r="V1373" s="159"/>
      <c r="W1373" s="159"/>
      <c r="X1373" s="159"/>
    </row>
    <row r="1374" spans="7:24" ht="15.75" customHeight="1" x14ac:dyDescent="0.25">
      <c r="G1374" s="77"/>
      <c r="H1374" s="2"/>
      <c r="L1374" s="3"/>
      <c r="M1374" s="78"/>
      <c r="O1374" s="159"/>
      <c r="P1374" s="2"/>
      <c r="Q1374" s="1"/>
      <c r="R1374" s="159"/>
      <c r="S1374" s="159"/>
      <c r="T1374" s="159"/>
      <c r="V1374" s="159"/>
      <c r="W1374" s="159"/>
      <c r="X1374" s="159"/>
    </row>
    <row r="1375" spans="7:24" ht="15.75" customHeight="1" x14ac:dyDescent="0.25">
      <c r="G1375" s="77"/>
      <c r="H1375" s="2"/>
      <c r="L1375" s="3"/>
      <c r="M1375" s="78"/>
      <c r="O1375" s="159"/>
      <c r="P1375" s="2"/>
      <c r="Q1375" s="1"/>
      <c r="R1375" s="159"/>
      <c r="S1375" s="159"/>
      <c r="T1375" s="159"/>
      <c r="V1375" s="159"/>
      <c r="W1375" s="159"/>
      <c r="X1375" s="159"/>
    </row>
    <row r="1376" spans="7:24" ht="15.75" customHeight="1" x14ac:dyDescent="0.25">
      <c r="G1376" s="77"/>
      <c r="H1376" s="2"/>
      <c r="L1376" s="3"/>
      <c r="M1376" s="78"/>
      <c r="O1376" s="159"/>
      <c r="P1376" s="2"/>
      <c r="Q1376" s="1"/>
      <c r="R1376" s="159"/>
      <c r="S1376" s="159"/>
      <c r="T1376" s="159"/>
      <c r="V1376" s="159"/>
      <c r="W1376" s="159"/>
      <c r="X1376" s="159"/>
    </row>
    <row r="1377" spans="7:24" ht="15.75" customHeight="1" x14ac:dyDescent="0.25">
      <c r="G1377" s="77"/>
      <c r="H1377" s="2"/>
      <c r="L1377" s="3"/>
      <c r="M1377" s="78"/>
      <c r="O1377" s="159"/>
      <c r="P1377" s="2"/>
      <c r="Q1377" s="1"/>
      <c r="R1377" s="159"/>
      <c r="S1377" s="159"/>
      <c r="T1377" s="159"/>
      <c r="V1377" s="159"/>
      <c r="W1377" s="159"/>
      <c r="X1377" s="159"/>
    </row>
    <row r="1378" spans="7:24" ht="15.75" customHeight="1" x14ac:dyDescent="0.25">
      <c r="G1378" s="77"/>
      <c r="H1378" s="2"/>
      <c r="L1378" s="3"/>
      <c r="M1378" s="78"/>
      <c r="O1378" s="159"/>
      <c r="P1378" s="2"/>
      <c r="Q1378" s="1"/>
      <c r="R1378" s="159"/>
      <c r="S1378" s="159"/>
      <c r="T1378" s="159"/>
      <c r="V1378" s="159"/>
      <c r="W1378" s="159"/>
      <c r="X1378" s="159"/>
    </row>
    <row r="1379" spans="7:24" ht="15.75" customHeight="1" x14ac:dyDescent="0.25">
      <c r="G1379" s="77"/>
      <c r="H1379" s="2"/>
      <c r="L1379" s="3"/>
      <c r="M1379" s="78"/>
      <c r="O1379" s="159"/>
      <c r="P1379" s="2"/>
      <c r="Q1379" s="1"/>
      <c r="R1379" s="159"/>
      <c r="S1379" s="159"/>
      <c r="T1379" s="159"/>
      <c r="V1379" s="159"/>
      <c r="W1379" s="159"/>
      <c r="X1379" s="159"/>
    </row>
    <row r="1380" spans="7:24" ht="15.75" customHeight="1" x14ac:dyDescent="0.25">
      <c r="G1380" s="77"/>
      <c r="H1380" s="2"/>
      <c r="L1380" s="3"/>
      <c r="M1380" s="78"/>
      <c r="O1380" s="159"/>
      <c r="P1380" s="2"/>
      <c r="Q1380" s="1"/>
      <c r="R1380" s="159"/>
      <c r="S1380" s="159"/>
      <c r="T1380" s="159"/>
      <c r="V1380" s="159"/>
      <c r="W1380" s="159"/>
      <c r="X1380" s="159"/>
    </row>
    <row r="1381" spans="7:24" ht="15.75" customHeight="1" x14ac:dyDescent="0.25">
      <c r="G1381" s="77"/>
      <c r="H1381" s="2"/>
      <c r="L1381" s="3"/>
      <c r="M1381" s="78"/>
      <c r="O1381" s="159"/>
      <c r="P1381" s="2"/>
      <c r="Q1381" s="1"/>
      <c r="R1381" s="159"/>
      <c r="S1381" s="159"/>
      <c r="T1381" s="159"/>
      <c r="V1381" s="159"/>
      <c r="W1381" s="159"/>
      <c r="X1381" s="159"/>
    </row>
    <row r="1382" spans="7:24" ht="15.75" customHeight="1" x14ac:dyDescent="0.25">
      <c r="G1382" s="77"/>
      <c r="H1382" s="2"/>
      <c r="L1382" s="3"/>
      <c r="M1382" s="78"/>
      <c r="O1382" s="159"/>
      <c r="P1382" s="2"/>
      <c r="Q1382" s="1"/>
      <c r="R1382" s="159"/>
      <c r="S1382" s="159"/>
      <c r="T1382" s="159"/>
      <c r="V1382" s="159"/>
      <c r="W1382" s="159"/>
      <c r="X1382" s="159"/>
    </row>
    <row r="1383" spans="7:24" ht="15.75" customHeight="1" x14ac:dyDescent="0.25">
      <c r="G1383" s="77"/>
      <c r="H1383" s="2"/>
      <c r="L1383" s="3"/>
      <c r="M1383" s="78"/>
      <c r="O1383" s="159"/>
      <c r="P1383" s="2"/>
      <c r="Q1383" s="1"/>
      <c r="R1383" s="159"/>
      <c r="S1383" s="159"/>
      <c r="T1383" s="159"/>
      <c r="V1383" s="159"/>
      <c r="W1383" s="159"/>
      <c r="X1383" s="159"/>
    </row>
    <row r="1384" spans="7:24" ht="15.75" customHeight="1" x14ac:dyDescent="0.25">
      <c r="G1384" s="77"/>
      <c r="H1384" s="2"/>
      <c r="L1384" s="3"/>
      <c r="M1384" s="78"/>
      <c r="O1384" s="159"/>
      <c r="P1384" s="2"/>
      <c r="Q1384" s="1"/>
      <c r="R1384" s="159"/>
      <c r="S1384" s="159"/>
      <c r="T1384" s="159"/>
      <c r="V1384" s="159"/>
      <c r="W1384" s="159"/>
      <c r="X1384" s="159"/>
    </row>
    <row r="1385" spans="7:24" ht="15.75" customHeight="1" x14ac:dyDescent="0.25">
      <c r="G1385" s="77"/>
      <c r="H1385" s="2"/>
      <c r="L1385" s="3"/>
      <c r="M1385" s="78"/>
      <c r="O1385" s="159"/>
      <c r="P1385" s="2"/>
      <c r="Q1385" s="1"/>
      <c r="R1385" s="159"/>
      <c r="S1385" s="159"/>
      <c r="T1385" s="159"/>
      <c r="V1385" s="159"/>
      <c r="W1385" s="159"/>
      <c r="X1385" s="159"/>
    </row>
    <row r="1386" spans="7:24" ht="15.75" customHeight="1" x14ac:dyDescent="0.25">
      <c r="G1386" s="77"/>
      <c r="H1386" s="2"/>
      <c r="L1386" s="3"/>
      <c r="M1386" s="78"/>
      <c r="O1386" s="159"/>
      <c r="P1386" s="2"/>
      <c r="Q1386" s="1"/>
      <c r="R1386" s="159"/>
      <c r="S1386" s="159"/>
      <c r="T1386" s="159"/>
      <c r="V1386" s="159"/>
      <c r="W1386" s="159"/>
      <c r="X1386" s="159"/>
    </row>
    <row r="1387" spans="7:24" ht="15.75" customHeight="1" x14ac:dyDescent="0.25">
      <c r="G1387" s="77"/>
      <c r="H1387" s="2"/>
      <c r="L1387" s="3"/>
      <c r="M1387" s="78"/>
      <c r="O1387" s="159"/>
      <c r="P1387" s="2"/>
      <c r="Q1387" s="1"/>
      <c r="R1387" s="159"/>
      <c r="S1387" s="159"/>
      <c r="T1387" s="159"/>
      <c r="V1387" s="159"/>
      <c r="W1387" s="159"/>
      <c r="X1387" s="159"/>
    </row>
    <row r="1388" spans="7:24" ht="15.75" customHeight="1" x14ac:dyDescent="0.25">
      <c r="G1388" s="77"/>
      <c r="H1388" s="2"/>
      <c r="L1388" s="3"/>
      <c r="M1388" s="78"/>
      <c r="O1388" s="159"/>
      <c r="P1388" s="2"/>
      <c r="Q1388" s="1"/>
      <c r="R1388" s="159"/>
      <c r="S1388" s="159"/>
      <c r="T1388" s="159"/>
      <c r="V1388" s="159"/>
      <c r="W1388" s="159"/>
      <c r="X1388" s="159"/>
    </row>
    <row r="1389" spans="7:24" ht="15.75" customHeight="1" x14ac:dyDescent="0.25">
      <c r="G1389" s="77"/>
      <c r="H1389" s="2"/>
      <c r="L1389" s="3"/>
      <c r="M1389" s="78"/>
      <c r="O1389" s="159"/>
      <c r="P1389" s="2"/>
      <c r="Q1389" s="1"/>
      <c r="R1389" s="159"/>
      <c r="S1389" s="159"/>
      <c r="T1389" s="159"/>
      <c r="V1389" s="159"/>
      <c r="W1389" s="159"/>
      <c r="X1389" s="159"/>
    </row>
    <row r="1390" spans="7:24" ht="15.75" customHeight="1" x14ac:dyDescent="0.25">
      <c r="G1390" s="77"/>
      <c r="H1390" s="2"/>
      <c r="L1390" s="3"/>
      <c r="M1390" s="78"/>
      <c r="O1390" s="159"/>
      <c r="P1390" s="2"/>
      <c r="Q1390" s="1"/>
      <c r="R1390" s="159"/>
      <c r="S1390" s="159"/>
      <c r="T1390" s="159"/>
      <c r="V1390" s="159"/>
      <c r="W1390" s="159"/>
      <c r="X1390" s="159"/>
    </row>
    <row r="1391" spans="7:24" ht="15.75" customHeight="1" x14ac:dyDescent="0.25">
      <c r="G1391" s="77"/>
      <c r="H1391" s="2"/>
      <c r="L1391" s="3"/>
      <c r="M1391" s="78"/>
      <c r="O1391" s="159"/>
      <c r="P1391" s="2"/>
      <c r="Q1391" s="1"/>
      <c r="R1391" s="159"/>
      <c r="S1391" s="159"/>
      <c r="T1391" s="159"/>
      <c r="V1391" s="159"/>
      <c r="W1391" s="159"/>
      <c r="X1391" s="159"/>
    </row>
    <row r="1392" spans="7:24" ht="15.75" customHeight="1" x14ac:dyDescent="0.25">
      <c r="G1392" s="77"/>
      <c r="H1392" s="2"/>
      <c r="L1392" s="3"/>
      <c r="M1392" s="78"/>
      <c r="O1392" s="159"/>
      <c r="P1392" s="2"/>
      <c r="Q1392" s="1"/>
      <c r="R1392" s="159"/>
      <c r="S1392" s="159"/>
      <c r="T1392" s="159"/>
      <c r="V1392" s="159"/>
      <c r="W1392" s="159"/>
      <c r="X1392" s="159"/>
    </row>
    <row r="1393" spans="7:24" ht="15.75" customHeight="1" x14ac:dyDescent="0.25">
      <c r="G1393" s="77"/>
      <c r="H1393" s="2"/>
      <c r="L1393" s="3"/>
      <c r="M1393" s="78"/>
      <c r="O1393" s="159"/>
      <c r="P1393" s="2"/>
      <c r="Q1393" s="1"/>
      <c r="R1393" s="159"/>
      <c r="S1393" s="159"/>
      <c r="T1393" s="159"/>
      <c r="V1393" s="159"/>
      <c r="W1393" s="159"/>
      <c r="X1393" s="159"/>
    </row>
    <row r="1394" spans="7:24" ht="15.75" customHeight="1" x14ac:dyDescent="0.25">
      <c r="G1394" s="77"/>
      <c r="H1394" s="2"/>
      <c r="L1394" s="3"/>
      <c r="M1394" s="78"/>
      <c r="O1394" s="159"/>
      <c r="P1394" s="2"/>
      <c r="Q1394" s="1"/>
      <c r="R1394" s="159"/>
      <c r="S1394" s="159"/>
      <c r="T1394" s="159"/>
      <c r="V1394" s="159"/>
      <c r="W1394" s="159"/>
      <c r="X1394" s="159"/>
    </row>
    <row r="1395" spans="7:24" ht="15.75" customHeight="1" x14ac:dyDescent="0.25">
      <c r="G1395" s="77"/>
      <c r="H1395" s="2"/>
      <c r="L1395" s="3"/>
      <c r="M1395" s="78"/>
      <c r="O1395" s="159"/>
      <c r="P1395" s="2"/>
      <c r="Q1395" s="1"/>
      <c r="R1395" s="159"/>
      <c r="S1395" s="159"/>
      <c r="T1395" s="159"/>
      <c r="V1395" s="159"/>
      <c r="W1395" s="159"/>
      <c r="X1395" s="159"/>
    </row>
    <row r="1396" spans="7:24" ht="15.75" customHeight="1" x14ac:dyDescent="0.25">
      <c r="G1396" s="77"/>
      <c r="H1396" s="2"/>
      <c r="L1396" s="3"/>
      <c r="M1396" s="78"/>
      <c r="O1396" s="159"/>
      <c r="P1396" s="2"/>
      <c r="Q1396" s="1"/>
      <c r="R1396" s="159"/>
      <c r="S1396" s="159"/>
      <c r="T1396" s="159"/>
      <c r="V1396" s="159"/>
      <c r="W1396" s="159"/>
      <c r="X1396" s="159"/>
    </row>
    <row r="1397" spans="7:24" ht="15.75" customHeight="1" x14ac:dyDescent="0.25">
      <c r="G1397" s="77"/>
      <c r="H1397" s="2"/>
      <c r="L1397" s="3"/>
      <c r="M1397" s="78"/>
      <c r="O1397" s="159"/>
      <c r="P1397" s="2"/>
      <c r="Q1397" s="1"/>
      <c r="R1397" s="159"/>
      <c r="S1397" s="159"/>
      <c r="T1397" s="159"/>
      <c r="V1397" s="159"/>
      <c r="W1397" s="159"/>
      <c r="X1397" s="159"/>
    </row>
    <row r="1398" spans="7:24" ht="15.75" customHeight="1" x14ac:dyDescent="0.25">
      <c r="G1398" s="77"/>
      <c r="H1398" s="2"/>
      <c r="L1398" s="3"/>
      <c r="M1398" s="78"/>
      <c r="O1398" s="159"/>
      <c r="P1398" s="2"/>
      <c r="Q1398" s="1"/>
      <c r="R1398" s="159"/>
      <c r="S1398" s="159"/>
      <c r="T1398" s="159"/>
      <c r="V1398" s="159"/>
      <c r="W1398" s="159"/>
      <c r="X1398" s="159"/>
    </row>
    <row r="1399" spans="7:24" ht="15.75" customHeight="1" x14ac:dyDescent="0.25">
      <c r="G1399" s="77"/>
      <c r="H1399" s="2"/>
      <c r="L1399" s="3"/>
      <c r="M1399" s="78"/>
      <c r="O1399" s="159"/>
      <c r="P1399" s="2"/>
      <c r="Q1399" s="1"/>
      <c r="R1399" s="159"/>
      <c r="S1399" s="159"/>
      <c r="T1399" s="159"/>
      <c r="V1399" s="159"/>
      <c r="W1399" s="159"/>
      <c r="X1399" s="159"/>
    </row>
    <row r="1400" spans="7:24" ht="15.75" customHeight="1" x14ac:dyDescent="0.25">
      <c r="G1400" s="77"/>
      <c r="H1400" s="2"/>
      <c r="L1400" s="3"/>
      <c r="M1400" s="78"/>
      <c r="O1400" s="159"/>
      <c r="P1400" s="2"/>
      <c r="Q1400" s="1"/>
      <c r="R1400" s="159"/>
      <c r="S1400" s="159"/>
      <c r="T1400" s="159"/>
      <c r="V1400" s="159"/>
      <c r="W1400" s="159"/>
      <c r="X1400" s="159"/>
    </row>
    <row r="1401" spans="7:24" ht="15.75" customHeight="1" x14ac:dyDescent="0.25">
      <c r="G1401" s="77"/>
      <c r="H1401" s="2"/>
      <c r="L1401" s="3"/>
      <c r="M1401" s="78"/>
      <c r="O1401" s="159"/>
      <c r="P1401" s="2"/>
      <c r="Q1401" s="1"/>
      <c r="R1401" s="159"/>
      <c r="S1401" s="159"/>
      <c r="T1401" s="159"/>
      <c r="V1401" s="159"/>
      <c r="W1401" s="159"/>
      <c r="X1401" s="159"/>
    </row>
    <row r="1402" spans="7:24" ht="15.75" customHeight="1" x14ac:dyDescent="0.25">
      <c r="G1402" s="77"/>
      <c r="H1402" s="2"/>
      <c r="L1402" s="3"/>
      <c r="M1402" s="78"/>
      <c r="O1402" s="159"/>
      <c r="P1402" s="2"/>
      <c r="Q1402" s="1"/>
      <c r="R1402" s="159"/>
      <c r="S1402" s="159"/>
      <c r="T1402" s="159"/>
      <c r="V1402" s="159"/>
      <c r="W1402" s="159"/>
      <c r="X1402" s="159"/>
    </row>
    <row r="1403" spans="7:24" ht="15.75" customHeight="1" x14ac:dyDescent="0.25">
      <c r="G1403" s="77"/>
      <c r="H1403" s="2"/>
      <c r="L1403" s="3"/>
      <c r="M1403" s="78"/>
      <c r="O1403" s="159"/>
      <c r="P1403" s="2"/>
      <c r="Q1403" s="1"/>
      <c r="R1403" s="159"/>
      <c r="S1403" s="159"/>
      <c r="T1403" s="159"/>
      <c r="V1403" s="159"/>
      <c r="W1403" s="159"/>
      <c r="X1403" s="159"/>
    </row>
    <row r="1404" spans="7:24" ht="15.75" customHeight="1" x14ac:dyDescent="0.25">
      <c r="G1404" s="77"/>
      <c r="H1404" s="2"/>
      <c r="L1404" s="3"/>
      <c r="M1404" s="78"/>
      <c r="O1404" s="159"/>
      <c r="P1404" s="2"/>
      <c r="Q1404" s="1"/>
      <c r="R1404" s="159"/>
      <c r="S1404" s="159"/>
      <c r="T1404" s="159"/>
      <c r="V1404" s="159"/>
      <c r="W1404" s="159"/>
      <c r="X1404" s="159"/>
    </row>
    <row r="1405" spans="7:24" ht="15.75" customHeight="1" x14ac:dyDescent="0.25">
      <c r="G1405" s="77"/>
      <c r="H1405" s="2"/>
      <c r="L1405" s="3"/>
      <c r="M1405" s="78"/>
      <c r="O1405" s="159"/>
      <c r="P1405" s="2"/>
      <c r="Q1405" s="1"/>
      <c r="R1405" s="159"/>
      <c r="S1405" s="159"/>
      <c r="T1405" s="159"/>
      <c r="V1405" s="159"/>
      <c r="W1405" s="159"/>
      <c r="X1405" s="159"/>
    </row>
    <row r="1406" spans="7:24" ht="15.75" customHeight="1" x14ac:dyDescent="0.25">
      <c r="G1406" s="77"/>
      <c r="H1406" s="2"/>
      <c r="L1406" s="3"/>
      <c r="M1406" s="78"/>
      <c r="O1406" s="159"/>
      <c r="P1406" s="2"/>
      <c r="Q1406" s="1"/>
      <c r="R1406" s="159"/>
      <c r="S1406" s="159"/>
      <c r="T1406" s="159"/>
      <c r="V1406" s="159"/>
      <c r="W1406" s="159"/>
      <c r="X1406" s="159"/>
    </row>
    <row r="1407" spans="7:24" ht="15.75" customHeight="1" x14ac:dyDescent="0.25">
      <c r="G1407" s="77"/>
      <c r="H1407" s="2"/>
      <c r="L1407" s="3"/>
      <c r="M1407" s="78"/>
      <c r="O1407" s="159"/>
      <c r="P1407" s="2"/>
      <c r="Q1407" s="1"/>
      <c r="R1407" s="159"/>
      <c r="S1407" s="159"/>
      <c r="T1407" s="159"/>
      <c r="V1407" s="159"/>
      <c r="W1407" s="159"/>
      <c r="X1407" s="159"/>
    </row>
    <row r="1408" spans="7:24" ht="15.75" customHeight="1" x14ac:dyDescent="0.25">
      <c r="G1408" s="77"/>
      <c r="H1408" s="2"/>
      <c r="L1408" s="3"/>
      <c r="M1408" s="78"/>
      <c r="O1408" s="159"/>
      <c r="P1408" s="2"/>
      <c r="Q1408" s="1"/>
      <c r="R1408" s="159"/>
      <c r="S1408" s="159"/>
      <c r="T1408" s="159"/>
      <c r="V1408" s="159"/>
      <c r="W1408" s="159"/>
      <c r="X1408" s="159"/>
    </row>
    <row r="1409" spans="7:24" ht="15.75" customHeight="1" x14ac:dyDescent="0.25">
      <c r="G1409" s="77"/>
      <c r="H1409" s="2"/>
      <c r="L1409" s="3"/>
      <c r="M1409" s="78"/>
      <c r="O1409" s="159"/>
      <c r="P1409" s="2"/>
      <c r="Q1409" s="1"/>
      <c r="R1409" s="159"/>
      <c r="S1409" s="159"/>
      <c r="T1409" s="159"/>
      <c r="V1409" s="159"/>
      <c r="W1409" s="159"/>
      <c r="X1409" s="159"/>
    </row>
    <row r="1410" spans="7:24" ht="15.75" customHeight="1" x14ac:dyDescent="0.25">
      <c r="G1410" s="77"/>
      <c r="H1410" s="2"/>
      <c r="L1410" s="3"/>
      <c r="M1410" s="78"/>
      <c r="O1410" s="159"/>
      <c r="P1410" s="2"/>
      <c r="Q1410" s="1"/>
      <c r="R1410" s="159"/>
      <c r="S1410" s="159"/>
      <c r="T1410" s="159"/>
      <c r="V1410" s="159"/>
      <c r="W1410" s="159"/>
      <c r="X1410" s="159"/>
    </row>
    <row r="1411" spans="7:24" ht="15.75" customHeight="1" x14ac:dyDescent="0.25">
      <c r="G1411" s="77"/>
      <c r="H1411" s="2"/>
      <c r="L1411" s="3"/>
      <c r="M1411" s="78"/>
      <c r="O1411" s="159"/>
      <c r="P1411" s="2"/>
      <c r="Q1411" s="1"/>
      <c r="R1411" s="159"/>
      <c r="S1411" s="159"/>
      <c r="T1411" s="159"/>
      <c r="V1411" s="159"/>
      <c r="W1411" s="159"/>
      <c r="X1411" s="159"/>
    </row>
    <row r="1412" spans="7:24" ht="15.75" customHeight="1" x14ac:dyDescent="0.25">
      <c r="G1412" s="77"/>
      <c r="H1412" s="2"/>
      <c r="L1412" s="3"/>
      <c r="M1412" s="78"/>
      <c r="O1412" s="159"/>
      <c r="P1412" s="2"/>
      <c r="Q1412" s="1"/>
      <c r="R1412" s="159"/>
      <c r="S1412" s="159"/>
      <c r="T1412" s="159"/>
      <c r="V1412" s="159"/>
      <c r="W1412" s="159"/>
      <c r="X1412" s="159"/>
    </row>
    <row r="1413" spans="7:24" ht="15.75" customHeight="1" x14ac:dyDescent="0.25">
      <c r="G1413" s="77"/>
      <c r="H1413" s="2"/>
      <c r="L1413" s="3"/>
      <c r="M1413" s="78"/>
      <c r="O1413" s="159"/>
      <c r="P1413" s="2"/>
      <c r="Q1413" s="1"/>
      <c r="R1413" s="159"/>
      <c r="S1413" s="159"/>
      <c r="T1413" s="159"/>
      <c r="V1413" s="159"/>
      <c r="W1413" s="159"/>
      <c r="X1413" s="159"/>
    </row>
    <row r="1414" spans="7:24" ht="15.75" customHeight="1" x14ac:dyDescent="0.25">
      <c r="G1414" s="77"/>
      <c r="H1414" s="2"/>
      <c r="L1414" s="3"/>
      <c r="M1414" s="78"/>
      <c r="O1414" s="159"/>
      <c r="P1414" s="2"/>
      <c r="Q1414" s="1"/>
      <c r="R1414" s="159"/>
      <c r="S1414" s="159"/>
      <c r="T1414" s="159"/>
      <c r="V1414" s="159"/>
      <c r="W1414" s="159"/>
      <c r="X1414" s="159"/>
    </row>
    <row r="1415" spans="7:24" ht="15.75" customHeight="1" x14ac:dyDescent="0.25">
      <c r="G1415" s="77"/>
      <c r="H1415" s="2"/>
      <c r="L1415" s="3"/>
      <c r="M1415" s="78"/>
      <c r="O1415" s="159"/>
      <c r="P1415" s="2"/>
      <c r="Q1415" s="1"/>
      <c r="R1415" s="159"/>
      <c r="S1415" s="159"/>
      <c r="T1415" s="159"/>
      <c r="V1415" s="159"/>
      <c r="W1415" s="159"/>
      <c r="X1415" s="159"/>
    </row>
    <row r="1416" spans="7:24" ht="15.75" customHeight="1" x14ac:dyDescent="0.25">
      <c r="G1416" s="77"/>
      <c r="H1416" s="2"/>
      <c r="L1416" s="3"/>
      <c r="M1416" s="78"/>
      <c r="O1416" s="159"/>
      <c r="P1416" s="2"/>
      <c r="Q1416" s="1"/>
      <c r="R1416" s="159"/>
      <c r="S1416" s="159"/>
      <c r="T1416" s="159"/>
      <c r="V1416" s="159"/>
      <c r="W1416" s="159"/>
      <c r="X1416" s="159"/>
    </row>
    <row r="1417" spans="7:24" ht="15.75" customHeight="1" x14ac:dyDescent="0.25">
      <c r="G1417" s="77"/>
      <c r="H1417" s="2"/>
      <c r="L1417" s="3"/>
      <c r="M1417" s="78"/>
      <c r="O1417" s="159"/>
      <c r="P1417" s="2"/>
      <c r="Q1417" s="1"/>
      <c r="R1417" s="159"/>
      <c r="S1417" s="159"/>
      <c r="T1417" s="159"/>
      <c r="V1417" s="159"/>
      <c r="W1417" s="159"/>
      <c r="X1417" s="159"/>
    </row>
    <row r="1418" spans="7:24" ht="15.75" customHeight="1" x14ac:dyDescent="0.25">
      <c r="G1418" s="77"/>
      <c r="H1418" s="2"/>
      <c r="L1418" s="3"/>
      <c r="M1418" s="78"/>
      <c r="O1418" s="159"/>
      <c r="P1418" s="2"/>
      <c r="Q1418" s="1"/>
      <c r="R1418" s="159"/>
      <c r="S1418" s="159"/>
      <c r="T1418" s="159"/>
      <c r="V1418" s="159"/>
      <c r="W1418" s="159"/>
      <c r="X1418" s="159"/>
    </row>
    <row r="1419" spans="7:24" ht="15.75" customHeight="1" x14ac:dyDescent="0.25">
      <c r="G1419" s="77"/>
      <c r="H1419" s="2"/>
      <c r="L1419" s="3"/>
      <c r="M1419" s="78"/>
      <c r="O1419" s="159"/>
      <c r="P1419" s="2"/>
      <c r="Q1419" s="1"/>
      <c r="R1419" s="159"/>
      <c r="S1419" s="159"/>
      <c r="T1419" s="159"/>
      <c r="V1419" s="159"/>
      <c r="W1419" s="159"/>
      <c r="X1419" s="159"/>
    </row>
    <row r="1420" spans="7:24" ht="15.75" customHeight="1" x14ac:dyDescent="0.25">
      <c r="G1420" s="77"/>
      <c r="H1420" s="2"/>
      <c r="L1420" s="3"/>
      <c r="M1420" s="78"/>
      <c r="O1420" s="159"/>
      <c r="P1420" s="2"/>
      <c r="Q1420" s="1"/>
      <c r="R1420" s="159"/>
      <c r="S1420" s="159"/>
      <c r="T1420" s="159"/>
      <c r="V1420" s="159"/>
      <c r="W1420" s="159"/>
      <c r="X1420" s="159"/>
    </row>
    <row r="1421" spans="7:24" ht="15.75" customHeight="1" x14ac:dyDescent="0.25">
      <c r="G1421" s="77"/>
      <c r="H1421" s="2"/>
      <c r="L1421" s="3"/>
      <c r="M1421" s="78"/>
      <c r="O1421" s="159"/>
      <c r="P1421" s="2"/>
      <c r="Q1421" s="1"/>
      <c r="R1421" s="159"/>
      <c r="S1421" s="159"/>
      <c r="T1421" s="159"/>
      <c r="V1421" s="159"/>
      <c r="W1421" s="159"/>
      <c r="X1421" s="159"/>
    </row>
    <row r="1422" spans="7:24" ht="15.75" customHeight="1" x14ac:dyDescent="0.25">
      <c r="G1422" s="77"/>
      <c r="H1422" s="2"/>
      <c r="L1422" s="3"/>
      <c r="M1422" s="78"/>
      <c r="O1422" s="159"/>
      <c r="P1422" s="2"/>
      <c r="Q1422" s="1"/>
      <c r="R1422" s="159"/>
      <c r="S1422" s="159"/>
      <c r="T1422" s="159"/>
      <c r="V1422" s="159"/>
      <c r="W1422" s="159"/>
      <c r="X1422" s="159"/>
    </row>
    <row r="1423" spans="7:24" ht="15.75" customHeight="1" x14ac:dyDescent="0.25">
      <c r="G1423" s="77"/>
      <c r="H1423" s="2"/>
      <c r="L1423" s="3"/>
      <c r="M1423" s="78"/>
      <c r="O1423" s="159"/>
      <c r="P1423" s="2"/>
      <c r="Q1423" s="1"/>
      <c r="R1423" s="159"/>
      <c r="S1423" s="159"/>
      <c r="T1423" s="159"/>
      <c r="V1423" s="159"/>
      <c r="W1423" s="159"/>
      <c r="X1423" s="159"/>
    </row>
    <row r="1424" spans="7:24" ht="15.75" customHeight="1" x14ac:dyDescent="0.25">
      <c r="G1424" s="77"/>
      <c r="H1424" s="2"/>
      <c r="L1424" s="3"/>
      <c r="M1424" s="78"/>
      <c r="O1424" s="159"/>
      <c r="P1424" s="2"/>
      <c r="Q1424" s="1"/>
      <c r="R1424" s="159"/>
      <c r="S1424" s="159"/>
      <c r="T1424" s="159"/>
      <c r="V1424" s="159"/>
      <c r="W1424" s="159"/>
      <c r="X1424" s="159"/>
    </row>
    <row r="1425" spans="7:24" ht="15.75" customHeight="1" x14ac:dyDescent="0.25">
      <c r="G1425" s="77"/>
      <c r="H1425" s="2"/>
      <c r="L1425" s="3"/>
      <c r="M1425" s="78"/>
      <c r="O1425" s="159"/>
      <c r="P1425" s="2"/>
      <c r="Q1425" s="1"/>
      <c r="R1425" s="159"/>
      <c r="S1425" s="159"/>
      <c r="T1425" s="159"/>
      <c r="V1425" s="159"/>
      <c r="W1425" s="159"/>
      <c r="X1425" s="159"/>
    </row>
    <row r="1426" spans="7:24" ht="15.75" customHeight="1" x14ac:dyDescent="0.25">
      <c r="G1426" s="77"/>
      <c r="H1426" s="2"/>
      <c r="L1426" s="3"/>
      <c r="M1426" s="78"/>
      <c r="O1426" s="159"/>
      <c r="P1426" s="2"/>
      <c r="Q1426" s="1"/>
      <c r="R1426" s="159"/>
      <c r="S1426" s="159"/>
      <c r="T1426" s="159"/>
      <c r="V1426" s="159"/>
      <c r="W1426" s="159"/>
      <c r="X1426" s="159"/>
    </row>
    <row r="1427" spans="7:24" ht="15.75" customHeight="1" x14ac:dyDescent="0.25">
      <c r="G1427" s="77"/>
      <c r="H1427" s="2"/>
      <c r="L1427" s="3"/>
      <c r="M1427" s="78"/>
      <c r="O1427" s="159"/>
      <c r="P1427" s="2"/>
      <c r="Q1427" s="1"/>
      <c r="R1427" s="159"/>
      <c r="S1427" s="159"/>
      <c r="T1427" s="159"/>
      <c r="V1427" s="159"/>
      <c r="W1427" s="159"/>
      <c r="X1427" s="159"/>
    </row>
    <row r="1428" spans="7:24" ht="15.75" customHeight="1" x14ac:dyDescent="0.25">
      <c r="G1428" s="77"/>
      <c r="H1428" s="2"/>
      <c r="L1428" s="3"/>
      <c r="M1428" s="78"/>
      <c r="O1428" s="159"/>
      <c r="P1428" s="2"/>
      <c r="Q1428" s="1"/>
      <c r="R1428" s="159"/>
      <c r="S1428" s="159"/>
      <c r="T1428" s="159"/>
      <c r="V1428" s="159"/>
      <c r="W1428" s="159"/>
      <c r="X1428" s="159"/>
    </row>
    <row r="1429" spans="7:24" ht="15.75" customHeight="1" x14ac:dyDescent="0.25">
      <c r="G1429" s="77"/>
      <c r="H1429" s="2"/>
      <c r="L1429" s="3"/>
      <c r="M1429" s="78"/>
      <c r="O1429" s="159"/>
      <c r="P1429" s="2"/>
      <c r="Q1429" s="1"/>
      <c r="R1429" s="159"/>
      <c r="S1429" s="159"/>
      <c r="T1429" s="159"/>
      <c r="V1429" s="159"/>
      <c r="W1429" s="159"/>
      <c r="X1429" s="159"/>
    </row>
    <row r="1430" spans="7:24" ht="15.75" customHeight="1" x14ac:dyDescent="0.25">
      <c r="G1430" s="77"/>
      <c r="H1430" s="2"/>
      <c r="L1430" s="3"/>
      <c r="M1430" s="78"/>
      <c r="O1430" s="159"/>
      <c r="P1430" s="2"/>
      <c r="Q1430" s="1"/>
      <c r="R1430" s="159"/>
      <c r="S1430" s="159"/>
      <c r="T1430" s="159"/>
      <c r="V1430" s="159"/>
      <c r="W1430" s="159"/>
      <c r="X1430" s="159"/>
    </row>
    <row r="1431" spans="7:24" ht="15.75" customHeight="1" x14ac:dyDescent="0.25">
      <c r="G1431" s="77"/>
      <c r="H1431" s="2"/>
      <c r="L1431" s="3"/>
      <c r="M1431" s="78"/>
      <c r="O1431" s="159"/>
      <c r="P1431" s="2"/>
      <c r="Q1431" s="1"/>
      <c r="R1431" s="159"/>
      <c r="S1431" s="159"/>
      <c r="T1431" s="159"/>
      <c r="V1431" s="159"/>
      <c r="W1431" s="159"/>
      <c r="X1431" s="159"/>
    </row>
    <row r="1432" spans="7:24" ht="15.75" customHeight="1" x14ac:dyDescent="0.25">
      <c r="G1432" s="77"/>
      <c r="H1432" s="2"/>
      <c r="L1432" s="3"/>
      <c r="M1432" s="78"/>
      <c r="O1432" s="159"/>
      <c r="P1432" s="2"/>
      <c r="Q1432" s="1"/>
      <c r="R1432" s="159"/>
      <c r="S1432" s="159"/>
      <c r="T1432" s="159"/>
      <c r="V1432" s="159"/>
      <c r="W1432" s="159"/>
      <c r="X1432" s="159"/>
    </row>
    <row r="1433" spans="7:24" ht="15.75" customHeight="1" x14ac:dyDescent="0.25">
      <c r="G1433" s="77"/>
      <c r="H1433" s="2"/>
      <c r="L1433" s="3"/>
      <c r="M1433" s="78"/>
      <c r="O1433" s="159"/>
      <c r="P1433" s="2"/>
      <c r="Q1433" s="1"/>
      <c r="R1433" s="159"/>
      <c r="S1433" s="159"/>
      <c r="T1433" s="159"/>
      <c r="V1433" s="159"/>
      <c r="W1433" s="159"/>
      <c r="X1433" s="159"/>
    </row>
    <row r="1434" spans="7:24" ht="15.75" customHeight="1" x14ac:dyDescent="0.25">
      <c r="G1434" s="77"/>
      <c r="H1434" s="2"/>
      <c r="L1434" s="3"/>
      <c r="M1434" s="78"/>
      <c r="O1434" s="159"/>
      <c r="P1434" s="2"/>
      <c r="Q1434" s="1"/>
      <c r="R1434" s="159"/>
      <c r="S1434" s="159"/>
      <c r="T1434" s="159"/>
      <c r="V1434" s="159"/>
      <c r="W1434" s="159"/>
      <c r="X1434" s="159"/>
    </row>
    <row r="1435" spans="7:24" ht="15.75" customHeight="1" x14ac:dyDescent="0.25">
      <c r="G1435" s="77"/>
      <c r="H1435" s="2"/>
      <c r="L1435" s="3"/>
      <c r="M1435" s="78"/>
      <c r="O1435" s="159"/>
      <c r="P1435" s="2"/>
      <c r="Q1435" s="1"/>
      <c r="R1435" s="159"/>
      <c r="S1435" s="159"/>
      <c r="T1435" s="159"/>
      <c r="V1435" s="159"/>
      <c r="W1435" s="159"/>
      <c r="X1435" s="159"/>
    </row>
    <row r="1436" spans="7:24" ht="15.75" customHeight="1" x14ac:dyDescent="0.25">
      <c r="G1436" s="77"/>
      <c r="H1436" s="2"/>
      <c r="L1436" s="3"/>
      <c r="M1436" s="78"/>
      <c r="O1436" s="159"/>
      <c r="P1436" s="2"/>
      <c r="Q1436" s="1"/>
      <c r="R1436" s="159"/>
      <c r="S1436" s="159"/>
      <c r="T1436" s="159"/>
      <c r="V1436" s="159"/>
      <c r="W1436" s="159"/>
      <c r="X1436" s="159"/>
    </row>
    <row r="1437" spans="7:24" ht="15.75" customHeight="1" x14ac:dyDescent="0.25">
      <c r="G1437" s="77"/>
      <c r="H1437" s="2"/>
      <c r="L1437" s="3"/>
      <c r="M1437" s="78"/>
      <c r="O1437" s="159"/>
      <c r="P1437" s="2"/>
      <c r="Q1437" s="1"/>
      <c r="R1437" s="159"/>
      <c r="S1437" s="159"/>
      <c r="T1437" s="159"/>
      <c r="V1437" s="159"/>
      <c r="W1437" s="159"/>
      <c r="X1437" s="159"/>
    </row>
    <row r="1438" spans="7:24" ht="15.75" customHeight="1" x14ac:dyDescent="0.25">
      <c r="G1438" s="77"/>
      <c r="H1438" s="2"/>
      <c r="L1438" s="3"/>
      <c r="M1438" s="78"/>
      <c r="O1438" s="159"/>
      <c r="P1438" s="2"/>
      <c r="Q1438" s="1"/>
      <c r="R1438" s="159"/>
      <c r="S1438" s="159"/>
      <c r="T1438" s="159"/>
      <c r="V1438" s="159"/>
      <c r="W1438" s="159"/>
      <c r="X1438" s="159"/>
    </row>
    <row r="1439" spans="7:24" ht="15.75" customHeight="1" x14ac:dyDescent="0.25">
      <c r="G1439" s="77"/>
      <c r="H1439" s="2"/>
      <c r="L1439" s="3"/>
      <c r="M1439" s="78"/>
      <c r="O1439" s="159"/>
      <c r="P1439" s="2"/>
      <c r="Q1439" s="1"/>
      <c r="R1439" s="159"/>
      <c r="S1439" s="159"/>
      <c r="T1439" s="159"/>
      <c r="V1439" s="159"/>
      <c r="W1439" s="159"/>
      <c r="X1439" s="159"/>
    </row>
    <row r="1440" spans="7:24" ht="15.75" customHeight="1" x14ac:dyDescent="0.25">
      <c r="G1440" s="77"/>
      <c r="H1440" s="2"/>
      <c r="L1440" s="3"/>
      <c r="M1440" s="78"/>
      <c r="O1440" s="159"/>
      <c r="P1440" s="2"/>
      <c r="Q1440" s="1"/>
      <c r="R1440" s="159"/>
      <c r="S1440" s="159"/>
      <c r="T1440" s="159"/>
      <c r="V1440" s="159"/>
      <c r="W1440" s="159"/>
      <c r="X1440" s="159"/>
    </row>
    <row r="1441" spans="7:24" ht="15.75" customHeight="1" x14ac:dyDescent="0.25">
      <c r="G1441" s="77"/>
      <c r="H1441" s="2"/>
      <c r="L1441" s="3"/>
      <c r="M1441" s="78"/>
      <c r="O1441" s="159"/>
      <c r="P1441" s="2"/>
      <c r="Q1441" s="1"/>
      <c r="R1441" s="159"/>
      <c r="S1441" s="159"/>
      <c r="T1441" s="159"/>
      <c r="V1441" s="159"/>
      <c r="W1441" s="159"/>
      <c r="X1441" s="159"/>
    </row>
    <row r="1442" spans="7:24" ht="15.75" customHeight="1" x14ac:dyDescent="0.25">
      <c r="G1442" s="77"/>
      <c r="H1442" s="2"/>
      <c r="L1442" s="3"/>
      <c r="M1442" s="78"/>
      <c r="O1442" s="159"/>
      <c r="P1442" s="2"/>
      <c r="Q1442" s="1"/>
      <c r="R1442" s="159"/>
      <c r="S1442" s="159"/>
      <c r="T1442" s="159"/>
      <c r="V1442" s="159"/>
      <c r="W1442" s="159"/>
      <c r="X1442" s="159"/>
    </row>
    <row r="1443" spans="7:24" ht="15.75" customHeight="1" x14ac:dyDescent="0.25">
      <c r="G1443" s="77"/>
      <c r="H1443" s="2"/>
      <c r="L1443" s="3"/>
      <c r="M1443" s="78"/>
      <c r="O1443" s="159"/>
      <c r="P1443" s="2"/>
      <c r="Q1443" s="1"/>
      <c r="R1443" s="159"/>
      <c r="S1443" s="159"/>
      <c r="T1443" s="159"/>
      <c r="V1443" s="159"/>
      <c r="W1443" s="159"/>
      <c r="X1443" s="159"/>
    </row>
    <row r="1444" spans="7:24" ht="15.75" customHeight="1" x14ac:dyDescent="0.25">
      <c r="G1444" s="77"/>
      <c r="H1444" s="2"/>
      <c r="L1444" s="3"/>
      <c r="M1444" s="78"/>
      <c r="O1444" s="159"/>
      <c r="P1444" s="2"/>
      <c r="Q1444" s="1"/>
      <c r="R1444" s="159"/>
      <c r="S1444" s="159"/>
      <c r="T1444" s="159"/>
      <c r="V1444" s="159"/>
      <c r="W1444" s="159"/>
      <c r="X1444" s="159"/>
    </row>
    <row r="1445" spans="7:24" ht="15.75" customHeight="1" x14ac:dyDescent="0.25">
      <c r="G1445" s="77"/>
      <c r="H1445" s="2"/>
      <c r="L1445" s="3"/>
      <c r="M1445" s="78"/>
      <c r="O1445" s="159"/>
      <c r="P1445" s="2"/>
      <c r="Q1445" s="1"/>
      <c r="R1445" s="159"/>
      <c r="S1445" s="159"/>
      <c r="T1445" s="159"/>
      <c r="V1445" s="159"/>
      <c r="W1445" s="159"/>
      <c r="X1445" s="159"/>
    </row>
    <row r="1446" spans="7:24" ht="15.75" customHeight="1" x14ac:dyDescent="0.25">
      <c r="G1446" s="77"/>
      <c r="H1446" s="2"/>
      <c r="L1446" s="3"/>
      <c r="M1446" s="78"/>
      <c r="O1446" s="159"/>
      <c r="P1446" s="2"/>
      <c r="Q1446" s="1"/>
      <c r="R1446" s="159"/>
      <c r="S1446" s="159"/>
      <c r="T1446" s="159"/>
      <c r="V1446" s="159"/>
      <c r="W1446" s="159"/>
      <c r="X1446" s="159"/>
    </row>
    <row r="1447" spans="7:24" ht="15.75" customHeight="1" x14ac:dyDescent="0.25">
      <c r="G1447" s="77"/>
      <c r="H1447" s="2"/>
      <c r="L1447" s="3"/>
      <c r="M1447" s="78"/>
      <c r="O1447" s="159"/>
      <c r="P1447" s="2"/>
      <c r="Q1447" s="1"/>
      <c r="R1447" s="159"/>
      <c r="S1447" s="159"/>
      <c r="T1447" s="159"/>
      <c r="V1447" s="159"/>
      <c r="W1447" s="159"/>
      <c r="X1447" s="159"/>
    </row>
    <row r="1448" spans="7:24" ht="15.75" customHeight="1" x14ac:dyDescent="0.25">
      <c r="G1448" s="77"/>
      <c r="H1448" s="2"/>
      <c r="L1448" s="3"/>
      <c r="M1448" s="78"/>
      <c r="O1448" s="159"/>
      <c r="P1448" s="2"/>
      <c r="Q1448" s="1"/>
      <c r="R1448" s="159"/>
      <c r="S1448" s="159"/>
      <c r="T1448" s="159"/>
      <c r="V1448" s="159"/>
      <c r="W1448" s="159"/>
      <c r="X1448" s="159"/>
    </row>
  </sheetData>
  <pageMargins left="0.70866141732283472" right="0.70866141732283472" top="0.74803149606299213" bottom="0.74803149606299213" header="0" footer="0"/>
  <pageSetup paperSize="9" scale="67" fitToHeight="0" orientation="landscape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Sheet1</vt:lpstr>
      <vt:lpstr>Kopsav_2024</vt:lpstr>
      <vt:lpstr>Sheet2</vt:lpstr>
      <vt:lpstr>Kopsav_2022</vt:lpstr>
      <vt:lpstr>Kopsav_2022!Print_Area</vt:lpstr>
      <vt:lpstr>Kopsav_2024!Print_Area</vt:lpstr>
      <vt:lpstr>Kopsav_2022!Print_Titles</vt:lpstr>
      <vt:lpstr>Kopsav_2024!Print_Titles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Sanita Djadela</cp:lastModifiedBy>
  <cp:lastPrinted>2024-01-31T06:34:07Z</cp:lastPrinted>
  <dcterms:created xsi:type="dcterms:W3CDTF">2019-12-09T06:19:18Z</dcterms:created>
  <dcterms:modified xsi:type="dcterms:W3CDTF">2024-02-06T10:09:59Z</dcterms:modified>
</cp:coreProperties>
</file>