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20" yWindow="-120" windowWidth="23280" windowHeight="13200" activeTab="3"/>
  </bookViews>
  <sheets>
    <sheet name="1.pielikums" sheetId="4" r:id="rId1"/>
    <sheet name="2.pielikums" sheetId="3" r:id="rId2"/>
    <sheet name="3.pielikums" sheetId="2" r:id="rId3"/>
    <sheet name="4.pielikums" sheetId="1" r:id="rId4"/>
  </sheets>
  <definedNames>
    <definedName name="_xlnm.Print_Area" localSheetId="3">'4.pielikums'!$A$7:$I$381</definedName>
  </definedNames>
  <calcPr calcId="145621"/>
</workbook>
</file>

<file path=xl/calcChain.xml><?xml version="1.0" encoding="utf-8"?>
<calcChain xmlns="http://schemas.openxmlformats.org/spreadsheetml/2006/main">
  <c r="E76" i="4" l="1"/>
  <c r="I377" i="1"/>
  <c r="H377" i="1"/>
  <c r="G377" i="1"/>
  <c r="F377" i="1"/>
  <c r="E377" i="1"/>
  <c r="D377" i="1"/>
  <c r="C377" i="1"/>
  <c r="B377" i="1"/>
  <c r="B376" i="1"/>
  <c r="B375" i="1"/>
  <c r="B374" i="1"/>
  <c r="B373" i="1"/>
  <c r="H372" i="1"/>
  <c r="B372" i="1"/>
  <c r="B371" i="1"/>
  <c r="B370" i="1"/>
  <c r="B369" i="1"/>
  <c r="B368" i="1"/>
  <c r="G367" i="1"/>
  <c r="B367" i="1"/>
  <c r="B366" i="1"/>
  <c r="B365" i="1"/>
  <c r="H364" i="1"/>
  <c r="C364" i="1"/>
  <c r="B364" i="1"/>
  <c r="B363" i="1"/>
  <c r="B362" i="1"/>
  <c r="B361" i="1"/>
  <c r="D360" i="1"/>
  <c r="C360" i="1"/>
  <c r="B360" i="1"/>
  <c r="B359" i="1"/>
  <c r="B358" i="1"/>
  <c r="B357" i="1"/>
  <c r="B356" i="1"/>
  <c r="B355" i="1"/>
  <c r="B354" i="1"/>
  <c r="B353" i="1"/>
  <c r="B352" i="1"/>
  <c r="B351" i="1"/>
  <c r="B350" i="1"/>
  <c r="B349" i="1"/>
  <c r="B348" i="1"/>
  <c r="B347" i="1"/>
  <c r="B346" i="1"/>
  <c r="B345" i="1"/>
  <c r="B344" i="1"/>
  <c r="B343" i="1"/>
  <c r="C342" i="1"/>
  <c r="B342" i="1"/>
  <c r="B341" i="1"/>
  <c r="B340" i="1"/>
  <c r="B339" i="1"/>
  <c r="B338" i="1"/>
  <c r="B337" i="1"/>
  <c r="B336" i="1"/>
  <c r="B335" i="1"/>
  <c r="C334" i="1"/>
  <c r="B334" i="1"/>
  <c r="B333" i="1"/>
  <c r="C332" i="1"/>
  <c r="B332" i="1"/>
  <c r="B331" i="1"/>
  <c r="D330" i="1"/>
  <c r="C330" i="1"/>
  <c r="B330" i="1"/>
  <c r="B329" i="1"/>
  <c r="B328" i="1"/>
  <c r="B327" i="1"/>
  <c r="B326" i="1"/>
  <c r="H325" i="1"/>
  <c r="B325" i="1"/>
  <c r="B324" i="1"/>
  <c r="C323" i="1"/>
  <c r="B323" i="1"/>
  <c r="B322" i="1"/>
  <c r="B321" i="1"/>
  <c r="B320" i="1"/>
  <c r="B319" i="1"/>
  <c r="B318" i="1"/>
  <c r="B317" i="1"/>
  <c r="B316" i="1"/>
  <c r="B315" i="1"/>
  <c r="B314" i="1"/>
  <c r="B313" i="1"/>
  <c r="B312" i="1"/>
  <c r="B311" i="1"/>
  <c r="B310" i="1"/>
  <c r="B309" i="1"/>
  <c r="B308" i="1"/>
  <c r="B307" i="1"/>
  <c r="B306" i="1"/>
  <c r="B305" i="1"/>
  <c r="B304" i="1"/>
  <c r="G303" i="1"/>
  <c r="B303" i="1"/>
  <c r="B302" i="1"/>
  <c r="D301" i="1"/>
  <c r="B301" i="1"/>
  <c r="B300" i="1"/>
  <c r="B299" i="1"/>
  <c r="B298" i="1"/>
  <c r="B297" i="1"/>
  <c r="B296" i="1"/>
  <c r="B295" i="1"/>
  <c r="B294" i="1"/>
  <c r="B293" i="1"/>
  <c r="B292" i="1"/>
  <c r="B291" i="1"/>
  <c r="B290" i="1"/>
  <c r="B289" i="1"/>
  <c r="B288" i="1"/>
  <c r="B287" i="1"/>
  <c r="B286" i="1"/>
  <c r="B285" i="1"/>
  <c r="B284" i="1"/>
  <c r="B283" i="1"/>
  <c r="B282" i="1"/>
  <c r="D281" i="1"/>
  <c r="C281" i="1"/>
  <c r="B281" i="1"/>
  <c r="D280" i="1"/>
  <c r="C280" i="1"/>
  <c r="B280" i="1"/>
  <c r="B279" i="1"/>
  <c r="C278" i="1"/>
  <c r="B278" i="1"/>
  <c r="C277" i="1"/>
  <c r="B277" i="1"/>
  <c r="B276" i="1"/>
  <c r="B275" i="1"/>
  <c r="B274" i="1"/>
  <c r="D273" i="1"/>
  <c r="C273" i="1"/>
  <c r="B273" i="1"/>
  <c r="B272" i="1"/>
  <c r="C271" i="1"/>
  <c r="B271" i="1"/>
  <c r="B270" i="1"/>
  <c r="D269" i="1"/>
  <c r="C269" i="1"/>
  <c r="B269" i="1"/>
  <c r="B268" i="1"/>
  <c r="B267" i="1"/>
  <c r="C266" i="1"/>
  <c r="B266" i="1"/>
  <c r="B265" i="1"/>
  <c r="B264" i="1"/>
  <c r="B263" i="1"/>
  <c r="B262" i="1"/>
  <c r="B261" i="1"/>
  <c r="B260" i="1"/>
  <c r="B259" i="1"/>
  <c r="C258" i="1"/>
  <c r="B258" i="1"/>
  <c r="B257" i="1"/>
  <c r="B256" i="1"/>
  <c r="C255" i="1"/>
  <c r="B255" i="1"/>
  <c r="B254" i="1"/>
  <c r="B253" i="1"/>
  <c r="B252" i="1"/>
  <c r="B251" i="1"/>
  <c r="B250" i="1"/>
  <c r="C249" i="1"/>
  <c r="B249" i="1"/>
  <c r="B248" i="1"/>
  <c r="B247" i="1"/>
  <c r="B246" i="1"/>
  <c r="B245" i="1"/>
  <c r="D244" i="1"/>
  <c r="B244" i="1"/>
  <c r="B243" i="1"/>
  <c r="D242" i="1"/>
  <c r="B242" i="1"/>
  <c r="D241" i="1"/>
  <c r="B241" i="1"/>
  <c r="D240" i="1"/>
  <c r="B240" i="1"/>
  <c r="B239" i="1"/>
  <c r="B238" i="1"/>
  <c r="B237" i="1"/>
  <c r="B236" i="1"/>
  <c r="B235" i="1"/>
  <c r="G234" i="1"/>
  <c r="B234" i="1"/>
  <c r="B233" i="1"/>
  <c r="B232" i="1"/>
  <c r="B231" i="1"/>
  <c r="B230" i="1"/>
  <c r="B229" i="1"/>
  <c r="B228" i="1"/>
  <c r="B227" i="1"/>
  <c r="B226" i="1"/>
  <c r="B225" i="1"/>
  <c r="B224" i="1"/>
  <c r="B223" i="1"/>
  <c r="B222" i="1"/>
  <c r="B221" i="1"/>
  <c r="B220" i="1"/>
  <c r="B219" i="1"/>
  <c r="B218" i="1"/>
  <c r="B217" i="1"/>
  <c r="B216" i="1"/>
  <c r="B215" i="1"/>
  <c r="B214" i="1"/>
  <c r="B213" i="1"/>
  <c r="B212" i="1"/>
  <c r="B211" i="1"/>
  <c r="B210" i="1"/>
  <c r="B209" i="1"/>
  <c r="B208" i="1"/>
  <c r="B207" i="1"/>
  <c r="B206" i="1"/>
  <c r="B205" i="1"/>
  <c r="B204" i="1"/>
  <c r="B203" i="1"/>
  <c r="B202" i="1"/>
  <c r="B201" i="1"/>
  <c r="B200" i="1"/>
  <c r="B199" i="1"/>
  <c r="C198" i="1"/>
  <c r="B198" i="1"/>
  <c r="C197" i="1"/>
  <c r="B197" i="1"/>
  <c r="C196" i="1"/>
  <c r="B196" i="1"/>
  <c r="C195" i="1"/>
  <c r="B195" i="1"/>
  <c r="C194" i="1"/>
  <c r="B194" i="1"/>
  <c r="C193" i="1"/>
  <c r="B193" i="1"/>
  <c r="C192" i="1"/>
  <c r="B192" i="1"/>
  <c r="C191" i="1"/>
  <c r="B191" i="1"/>
  <c r="C190" i="1"/>
  <c r="B190" i="1"/>
  <c r="B189" i="1"/>
  <c r="B188" i="1"/>
  <c r="B187" i="1"/>
  <c r="B186" i="1"/>
  <c r="G185" i="1"/>
  <c r="D185" i="1"/>
  <c r="C185" i="1"/>
  <c r="B185" i="1"/>
  <c r="B184" i="1"/>
  <c r="D183" i="1"/>
  <c r="B183" i="1"/>
  <c r="B182" i="1"/>
  <c r="B181" i="1"/>
  <c r="B180" i="1"/>
  <c r="B179" i="1"/>
  <c r="B178" i="1"/>
  <c r="B177" i="1"/>
  <c r="B176" i="1"/>
  <c r="B175" i="1"/>
  <c r="B174" i="1"/>
  <c r="B173" i="1"/>
  <c r="B172" i="1"/>
  <c r="B171" i="1"/>
  <c r="B170" i="1"/>
  <c r="B169" i="1"/>
  <c r="D168" i="1"/>
  <c r="B168" i="1"/>
  <c r="B167" i="1"/>
  <c r="B166" i="1"/>
  <c r="B165" i="1"/>
  <c r="B164" i="1"/>
  <c r="B163" i="1"/>
  <c r="B162" i="1"/>
  <c r="B161" i="1"/>
  <c r="B160" i="1"/>
  <c r="B159" i="1"/>
  <c r="B158" i="1"/>
  <c r="B157" i="1"/>
  <c r="B156" i="1"/>
  <c r="B155" i="1"/>
  <c r="B154" i="1"/>
  <c r="B153" i="1"/>
  <c r="B152" i="1"/>
  <c r="B151" i="1"/>
  <c r="B150" i="1"/>
  <c r="B149" i="1"/>
  <c r="B148" i="1"/>
  <c r="B147" i="1"/>
  <c r="D146" i="1"/>
  <c r="B146" i="1"/>
  <c r="D145" i="1"/>
  <c r="B145" i="1"/>
  <c r="B144" i="1"/>
  <c r="I143" i="1"/>
  <c r="H143" i="1"/>
  <c r="G143" i="1"/>
  <c r="F143" i="1"/>
  <c r="E143" i="1"/>
  <c r="D143" i="1"/>
  <c r="C143" i="1"/>
  <c r="B143" i="1"/>
  <c r="B142" i="1"/>
  <c r="B141" i="1"/>
  <c r="B140" i="1"/>
  <c r="B139" i="1"/>
  <c r="B138" i="1"/>
  <c r="B137" i="1"/>
  <c r="B136" i="1"/>
  <c r="B135" i="1"/>
  <c r="B134" i="1"/>
  <c r="B133" i="1"/>
  <c r="B132" i="1"/>
  <c r="B131" i="1"/>
  <c r="B130" i="1"/>
  <c r="B129" i="1"/>
  <c r="C128" i="1"/>
  <c r="B128" i="1"/>
  <c r="B127" i="1"/>
  <c r="B126" i="1"/>
  <c r="B125" i="1"/>
  <c r="B124" i="1"/>
  <c r="B123" i="1"/>
  <c r="B122" i="1"/>
  <c r="B121" i="1"/>
  <c r="B120" i="1"/>
  <c r="B119" i="1"/>
  <c r="B118" i="1"/>
  <c r="B117" i="1"/>
  <c r="D116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D102" i="1"/>
  <c r="B102" i="1"/>
  <c r="B101" i="1"/>
  <c r="D100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D84" i="1"/>
  <c r="B84" i="1"/>
  <c r="D83" i="1"/>
  <c r="B83" i="1"/>
  <c r="D82" i="1"/>
  <c r="B82" i="1"/>
  <c r="D81" i="1"/>
  <c r="B81" i="1"/>
  <c r="D80" i="1"/>
  <c r="B80" i="1"/>
  <c r="D79" i="1"/>
  <c r="B79" i="1"/>
  <c r="D78" i="1"/>
  <c r="B78" i="1"/>
  <c r="D77" i="1"/>
  <c r="B77" i="1"/>
  <c r="D76" i="1"/>
  <c r="B76" i="1"/>
  <c r="D75" i="1"/>
  <c r="B75" i="1"/>
  <c r="D74" i="1"/>
  <c r="B74" i="1"/>
  <c r="D73" i="1"/>
  <c r="B73" i="1"/>
  <c r="D72" i="1"/>
  <c r="B72" i="1"/>
  <c r="B71" i="1"/>
  <c r="D70" i="1"/>
  <c r="B70" i="1"/>
  <c r="D69" i="1"/>
  <c r="B69" i="1"/>
  <c r="D68" i="1"/>
  <c r="B68" i="1"/>
  <c r="B67" i="1"/>
  <c r="B66" i="1"/>
  <c r="G65" i="1"/>
  <c r="D65" i="1"/>
  <c r="B65" i="1"/>
  <c r="D64" i="1"/>
  <c r="B64" i="1"/>
  <c r="D63" i="1"/>
  <c r="B63" i="1"/>
  <c r="B62" i="1"/>
  <c r="B61" i="1"/>
  <c r="B60" i="1"/>
  <c r="B59" i="1"/>
  <c r="B58" i="1"/>
  <c r="B57" i="1"/>
  <c r="C56" i="1"/>
  <c r="B56" i="1"/>
  <c r="B55" i="1"/>
  <c r="C54" i="1"/>
  <c r="B54" i="1"/>
  <c r="B53" i="1"/>
  <c r="B52" i="1"/>
  <c r="B51" i="1"/>
  <c r="F50" i="1"/>
  <c r="D50" i="1"/>
  <c r="B50" i="1"/>
  <c r="B49" i="1"/>
  <c r="D48" i="1"/>
  <c r="B48" i="1"/>
  <c r="D47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C25" i="1"/>
  <c r="B25" i="1"/>
  <c r="B24" i="1"/>
  <c r="C23" i="1"/>
  <c r="B23" i="1"/>
  <c r="B22" i="1"/>
  <c r="B21" i="1"/>
  <c r="C20" i="1"/>
  <c r="B20" i="1"/>
  <c r="B19" i="1"/>
  <c r="G18" i="1"/>
  <c r="D18" i="1"/>
  <c r="B18" i="1"/>
  <c r="H359" i="2"/>
  <c r="D359" i="2"/>
  <c r="H358" i="2"/>
  <c r="D358" i="2"/>
  <c r="H357" i="2"/>
  <c r="F357" i="2"/>
  <c r="D357" i="2"/>
  <c r="H356" i="2"/>
  <c r="D356" i="2"/>
  <c r="H355" i="2"/>
  <c r="D355" i="2"/>
  <c r="H354" i="2"/>
  <c r="D354" i="2"/>
  <c r="H353" i="2"/>
  <c r="F353" i="2"/>
  <c r="D353" i="2"/>
  <c r="H352" i="2"/>
  <c r="E352" i="2"/>
  <c r="D352" i="2"/>
  <c r="H351" i="2"/>
  <c r="E351" i="2"/>
  <c r="D351" i="2"/>
  <c r="H350" i="2"/>
  <c r="E350" i="2"/>
  <c r="D350" i="2"/>
  <c r="H349" i="2"/>
  <c r="D349" i="2"/>
  <c r="H348" i="2"/>
  <c r="E348" i="2"/>
  <c r="D348" i="2"/>
  <c r="H347" i="2"/>
  <c r="F347" i="2"/>
  <c r="E347" i="2"/>
  <c r="D347" i="2"/>
  <c r="H346" i="2"/>
  <c r="F346" i="2"/>
  <c r="E346" i="2"/>
  <c r="D346" i="2"/>
  <c r="H345" i="2"/>
  <c r="F345" i="2"/>
  <c r="E345" i="2"/>
  <c r="D345" i="2"/>
  <c r="H344" i="2"/>
  <c r="F344" i="2"/>
  <c r="E344" i="2"/>
  <c r="D344" i="2"/>
  <c r="H343" i="2"/>
  <c r="E343" i="2"/>
  <c r="D343" i="2"/>
  <c r="H342" i="2"/>
  <c r="E342" i="2"/>
  <c r="D342" i="2"/>
  <c r="H341" i="2"/>
  <c r="D341" i="2"/>
  <c r="H340" i="2"/>
  <c r="F340" i="2"/>
  <c r="D340" i="2"/>
  <c r="H339" i="2"/>
  <c r="E339" i="2"/>
  <c r="D339" i="2"/>
  <c r="H338" i="2"/>
  <c r="G338" i="2"/>
  <c r="F338" i="2"/>
  <c r="E338" i="2"/>
  <c r="D338" i="2"/>
  <c r="C338" i="2"/>
  <c r="H337" i="2"/>
  <c r="D337" i="2"/>
  <c r="H336" i="2"/>
  <c r="G336" i="2"/>
  <c r="F336" i="2"/>
  <c r="E336" i="2"/>
  <c r="D336" i="2"/>
  <c r="C336" i="2"/>
  <c r="H335" i="2"/>
  <c r="D335" i="2"/>
  <c r="H334" i="2"/>
  <c r="D334" i="2"/>
  <c r="H333" i="2"/>
  <c r="D333" i="2"/>
  <c r="H332" i="2"/>
  <c r="D332" i="2"/>
  <c r="H331" i="2"/>
  <c r="D331" i="2"/>
  <c r="H330" i="2"/>
  <c r="D330" i="2"/>
  <c r="H329" i="2"/>
  <c r="D329" i="2"/>
  <c r="H328" i="2"/>
  <c r="D328" i="2"/>
  <c r="H327" i="2"/>
  <c r="D327" i="2"/>
  <c r="H326" i="2"/>
  <c r="D326" i="2"/>
  <c r="H325" i="2"/>
  <c r="D325" i="2"/>
  <c r="H324" i="2"/>
  <c r="D324" i="2"/>
  <c r="H323" i="2"/>
  <c r="D323" i="2"/>
  <c r="H322" i="2"/>
  <c r="D322" i="2"/>
  <c r="H321" i="2"/>
  <c r="D321" i="2"/>
  <c r="H320" i="2"/>
  <c r="D320" i="2"/>
  <c r="H319" i="2"/>
  <c r="D319" i="2"/>
  <c r="H318" i="2"/>
  <c r="D318" i="2"/>
  <c r="H317" i="2"/>
  <c r="D317" i="2"/>
  <c r="H316" i="2"/>
  <c r="D316" i="2"/>
  <c r="H315" i="2"/>
  <c r="D315" i="2"/>
  <c r="H314" i="2"/>
  <c r="G314" i="2"/>
  <c r="D314" i="2"/>
  <c r="H313" i="2"/>
  <c r="D313" i="2"/>
  <c r="H312" i="2"/>
  <c r="D312" i="2"/>
  <c r="H311" i="2"/>
  <c r="D311" i="2"/>
  <c r="H310" i="2"/>
  <c r="D310" i="2"/>
  <c r="H309" i="2"/>
  <c r="D309" i="2"/>
  <c r="H308" i="2"/>
  <c r="D308" i="2"/>
  <c r="H307" i="2"/>
  <c r="D307" i="2"/>
  <c r="H306" i="2"/>
  <c r="D306" i="2"/>
  <c r="H305" i="2"/>
  <c r="D305" i="2"/>
  <c r="H304" i="2"/>
  <c r="D304" i="2"/>
  <c r="H303" i="2"/>
  <c r="D303" i="2"/>
  <c r="H302" i="2"/>
  <c r="D302" i="2"/>
  <c r="H301" i="2"/>
  <c r="F301" i="2"/>
  <c r="D301" i="2"/>
  <c r="H300" i="2"/>
  <c r="D300" i="2"/>
  <c r="H299" i="2"/>
  <c r="E299" i="2"/>
  <c r="D299" i="2"/>
  <c r="H298" i="2"/>
  <c r="G298" i="2"/>
  <c r="F298" i="2"/>
  <c r="E298" i="2"/>
  <c r="D298" i="2"/>
  <c r="C298" i="2"/>
  <c r="H297" i="2"/>
  <c r="D297" i="2"/>
  <c r="H296" i="2"/>
  <c r="G296" i="2"/>
  <c r="F296" i="2"/>
  <c r="E296" i="2"/>
  <c r="D296" i="2"/>
  <c r="C296" i="2"/>
  <c r="H295" i="2"/>
  <c r="F295" i="2"/>
  <c r="E295" i="2"/>
  <c r="D295" i="2"/>
  <c r="H294" i="2"/>
  <c r="E294" i="2"/>
  <c r="D294" i="2"/>
  <c r="H293" i="2"/>
  <c r="F293" i="2"/>
  <c r="E293" i="2"/>
  <c r="D293" i="2"/>
  <c r="H292" i="2"/>
  <c r="F292" i="2"/>
  <c r="E292" i="2"/>
  <c r="D292" i="2"/>
  <c r="H291" i="2"/>
  <c r="F291" i="2"/>
  <c r="E291" i="2"/>
  <c r="D291" i="2"/>
  <c r="H290" i="2"/>
  <c r="F290" i="2"/>
  <c r="E290" i="2"/>
  <c r="D290" i="2"/>
  <c r="H289" i="2"/>
  <c r="F289" i="2"/>
  <c r="E289" i="2"/>
  <c r="D289" i="2"/>
  <c r="H288" i="2"/>
  <c r="G288" i="2"/>
  <c r="F288" i="2"/>
  <c r="E288" i="2"/>
  <c r="D288" i="2"/>
  <c r="C288" i="2"/>
  <c r="H287" i="2"/>
  <c r="F287" i="2"/>
  <c r="E287" i="2"/>
  <c r="D287" i="2"/>
  <c r="H286" i="2"/>
  <c r="F286" i="2"/>
  <c r="E286" i="2"/>
  <c r="D286" i="2"/>
  <c r="H285" i="2"/>
  <c r="F285" i="2"/>
  <c r="E285" i="2"/>
  <c r="D285" i="2"/>
  <c r="H284" i="2"/>
  <c r="F284" i="2"/>
  <c r="E284" i="2"/>
  <c r="D284" i="2"/>
  <c r="H283" i="2"/>
  <c r="F283" i="2"/>
  <c r="E283" i="2"/>
  <c r="D283" i="2"/>
  <c r="H282" i="2"/>
  <c r="F282" i="2"/>
  <c r="E282" i="2"/>
  <c r="D282" i="2"/>
  <c r="H281" i="2"/>
  <c r="F281" i="2"/>
  <c r="E281" i="2"/>
  <c r="D281" i="2"/>
  <c r="H280" i="2"/>
  <c r="G280" i="2"/>
  <c r="F280" i="2"/>
  <c r="E280" i="2"/>
  <c r="D280" i="2"/>
  <c r="C280" i="2"/>
  <c r="H279" i="2"/>
  <c r="E279" i="2"/>
  <c r="D279" i="2"/>
  <c r="H278" i="2"/>
  <c r="F278" i="2"/>
  <c r="E278" i="2"/>
  <c r="D278" i="2"/>
  <c r="H277" i="2"/>
  <c r="F277" i="2"/>
  <c r="E277" i="2"/>
  <c r="D277" i="2"/>
  <c r="H276" i="2"/>
  <c r="F276" i="2"/>
  <c r="E276" i="2"/>
  <c r="D276" i="2"/>
  <c r="H275" i="2"/>
  <c r="F275" i="2"/>
  <c r="E275" i="2"/>
  <c r="D275" i="2"/>
  <c r="H274" i="2"/>
  <c r="F274" i="2"/>
  <c r="E274" i="2"/>
  <c r="D274" i="2"/>
  <c r="H273" i="2"/>
  <c r="F273" i="2"/>
  <c r="E273" i="2"/>
  <c r="D273" i="2"/>
  <c r="H272" i="2"/>
  <c r="E272" i="2"/>
  <c r="D272" i="2"/>
  <c r="H271" i="2"/>
  <c r="F271" i="2"/>
  <c r="E271" i="2"/>
  <c r="D271" i="2"/>
  <c r="H270" i="2"/>
  <c r="F270" i="2"/>
  <c r="E270" i="2"/>
  <c r="D270" i="2"/>
  <c r="H269" i="2"/>
  <c r="G269" i="2"/>
  <c r="F269" i="2"/>
  <c r="E269" i="2"/>
  <c r="D269" i="2"/>
  <c r="C269" i="2"/>
  <c r="H267" i="2"/>
  <c r="F267" i="2"/>
  <c r="E267" i="2"/>
  <c r="D267" i="2"/>
  <c r="H266" i="2"/>
  <c r="F266" i="2"/>
  <c r="E266" i="2"/>
  <c r="D266" i="2"/>
  <c r="H265" i="2"/>
  <c r="F265" i="2"/>
  <c r="E265" i="2"/>
  <c r="D265" i="2"/>
  <c r="H264" i="2"/>
  <c r="F264" i="2"/>
  <c r="E264" i="2"/>
  <c r="D264" i="2"/>
  <c r="H263" i="2"/>
  <c r="F263" i="2"/>
  <c r="E263" i="2"/>
  <c r="D263" i="2"/>
  <c r="H262" i="2"/>
  <c r="F262" i="2"/>
  <c r="E262" i="2"/>
  <c r="D262" i="2"/>
  <c r="H261" i="2"/>
  <c r="G261" i="2"/>
  <c r="F261" i="2"/>
  <c r="E261" i="2"/>
  <c r="D261" i="2"/>
  <c r="C261" i="2"/>
  <c r="H260" i="2"/>
  <c r="G260" i="2"/>
  <c r="F260" i="2"/>
  <c r="E260" i="2"/>
  <c r="D260" i="2"/>
  <c r="C260" i="2"/>
  <c r="H259" i="2"/>
  <c r="D259" i="2"/>
  <c r="H258" i="2"/>
  <c r="D258" i="2"/>
  <c r="H257" i="2"/>
  <c r="D257" i="2"/>
  <c r="H256" i="2"/>
  <c r="D256" i="2"/>
  <c r="H255" i="2"/>
  <c r="D255" i="2"/>
  <c r="H254" i="2"/>
  <c r="D254" i="2"/>
  <c r="H253" i="2"/>
  <c r="D253" i="2"/>
  <c r="H252" i="2"/>
  <c r="D252" i="2"/>
  <c r="H251" i="2"/>
  <c r="D251" i="2"/>
  <c r="H250" i="2"/>
  <c r="G250" i="2"/>
  <c r="D250" i="2"/>
  <c r="H249" i="2"/>
  <c r="D249" i="2"/>
  <c r="H248" i="2"/>
  <c r="D248" i="2"/>
  <c r="H247" i="2"/>
  <c r="D247" i="2"/>
  <c r="H246" i="2"/>
  <c r="D246" i="2"/>
  <c r="H245" i="2"/>
  <c r="D245" i="2"/>
  <c r="H244" i="2"/>
  <c r="D244" i="2"/>
  <c r="H243" i="2"/>
  <c r="D243" i="2"/>
  <c r="H242" i="2"/>
  <c r="D242" i="2"/>
  <c r="H241" i="2"/>
  <c r="D241" i="2"/>
  <c r="H240" i="2"/>
  <c r="G240" i="2"/>
  <c r="F240" i="2"/>
  <c r="E240" i="2"/>
  <c r="D240" i="2"/>
  <c r="C240" i="2"/>
  <c r="H239" i="2"/>
  <c r="F239" i="2"/>
  <c r="E239" i="2"/>
  <c r="D239" i="2"/>
  <c r="H238" i="2"/>
  <c r="F238" i="2"/>
  <c r="E238" i="2"/>
  <c r="D238" i="2"/>
  <c r="H237" i="2"/>
  <c r="F237" i="2"/>
  <c r="E237" i="2"/>
  <c r="D237" i="2"/>
  <c r="H236" i="2"/>
  <c r="F236" i="2"/>
  <c r="E236" i="2"/>
  <c r="D236" i="2"/>
  <c r="H235" i="2"/>
  <c r="F235" i="2"/>
  <c r="E235" i="2"/>
  <c r="D235" i="2"/>
  <c r="H234" i="2"/>
  <c r="F234" i="2"/>
  <c r="E234" i="2"/>
  <c r="D234" i="2"/>
  <c r="H233" i="2"/>
  <c r="F233" i="2"/>
  <c r="E233" i="2"/>
  <c r="D233" i="2"/>
  <c r="H232" i="2"/>
  <c r="F232" i="2"/>
  <c r="E232" i="2"/>
  <c r="D232" i="2"/>
  <c r="H231" i="2"/>
  <c r="E231" i="2"/>
  <c r="D231" i="2"/>
  <c r="H230" i="2"/>
  <c r="E230" i="2"/>
  <c r="D230" i="2"/>
  <c r="H229" i="2"/>
  <c r="F229" i="2"/>
  <c r="E229" i="2"/>
  <c r="D229" i="2"/>
  <c r="H228" i="2"/>
  <c r="E228" i="2"/>
  <c r="D228" i="2"/>
  <c r="H227" i="2"/>
  <c r="E227" i="2"/>
  <c r="D227" i="2"/>
  <c r="H226" i="2"/>
  <c r="E226" i="2"/>
  <c r="D226" i="2"/>
  <c r="H225" i="2"/>
  <c r="E225" i="2"/>
  <c r="D225" i="2"/>
  <c r="H224" i="2"/>
  <c r="F224" i="2"/>
  <c r="E224" i="2"/>
  <c r="D224" i="2"/>
  <c r="H223" i="2"/>
  <c r="F223" i="2"/>
  <c r="E223" i="2"/>
  <c r="D223" i="2"/>
  <c r="H222" i="2"/>
  <c r="D222" i="2"/>
  <c r="H221" i="2"/>
  <c r="D221" i="2"/>
  <c r="H220" i="2"/>
  <c r="E220" i="2"/>
  <c r="D220" i="2"/>
  <c r="H219" i="2"/>
  <c r="F219" i="2"/>
  <c r="E219" i="2"/>
  <c r="D219" i="2"/>
  <c r="H218" i="2"/>
  <c r="G218" i="2"/>
  <c r="F218" i="2"/>
  <c r="E218" i="2"/>
  <c r="D218" i="2"/>
  <c r="C218" i="2"/>
  <c r="H217" i="2"/>
  <c r="E217" i="2"/>
  <c r="D217" i="2"/>
  <c r="H216" i="2"/>
  <c r="E216" i="2"/>
  <c r="D216" i="2"/>
  <c r="H215" i="2"/>
  <c r="D215" i="2"/>
  <c r="H214" i="2"/>
  <c r="E214" i="2"/>
  <c r="D214" i="2"/>
  <c r="H213" i="2"/>
  <c r="E213" i="2"/>
  <c r="D213" i="2"/>
  <c r="H212" i="2"/>
  <c r="G212" i="2"/>
  <c r="F212" i="2"/>
  <c r="E212" i="2"/>
  <c r="D212" i="2"/>
  <c r="C212" i="2"/>
  <c r="H211" i="2"/>
  <c r="E211" i="2"/>
  <c r="D211" i="2"/>
  <c r="H210" i="2"/>
  <c r="G210" i="2"/>
  <c r="F210" i="2"/>
  <c r="E210" i="2"/>
  <c r="D210" i="2"/>
  <c r="C210" i="2"/>
  <c r="H208" i="2"/>
  <c r="D208" i="2"/>
  <c r="H207" i="2"/>
  <c r="E207" i="2"/>
  <c r="D207" i="2"/>
  <c r="H206" i="2"/>
  <c r="D206" i="2"/>
  <c r="H205" i="2"/>
  <c r="D205" i="2"/>
  <c r="H204" i="2"/>
  <c r="G204" i="2"/>
  <c r="F204" i="2"/>
  <c r="E204" i="2"/>
  <c r="D204" i="2"/>
  <c r="C204" i="2"/>
  <c r="H203" i="2"/>
  <c r="G203" i="2"/>
  <c r="F203" i="2"/>
  <c r="E203" i="2"/>
  <c r="D203" i="2"/>
  <c r="C203" i="2"/>
  <c r="H202" i="2"/>
  <c r="D202" i="2"/>
  <c r="H201" i="2"/>
  <c r="D201" i="2"/>
  <c r="H200" i="2"/>
  <c r="F200" i="2"/>
  <c r="D200" i="2"/>
  <c r="H199" i="2"/>
  <c r="D199" i="2"/>
  <c r="H198" i="2"/>
  <c r="D198" i="2"/>
  <c r="H197" i="2"/>
  <c r="F197" i="2"/>
  <c r="E197" i="2"/>
  <c r="D197" i="2"/>
  <c r="H196" i="2"/>
  <c r="F196" i="2"/>
  <c r="E196" i="2"/>
  <c r="D196" i="2"/>
  <c r="H195" i="2"/>
  <c r="F195" i="2"/>
  <c r="D195" i="2"/>
  <c r="H194" i="2"/>
  <c r="F194" i="2"/>
  <c r="D194" i="2"/>
  <c r="H193" i="2"/>
  <c r="F193" i="2"/>
  <c r="E193" i="2"/>
  <c r="D193" i="2"/>
  <c r="H192" i="2"/>
  <c r="F192" i="2"/>
  <c r="D192" i="2"/>
  <c r="H191" i="2"/>
  <c r="F191" i="2"/>
  <c r="E191" i="2"/>
  <c r="D191" i="2"/>
  <c r="H190" i="2"/>
  <c r="F190" i="2"/>
  <c r="E190" i="2"/>
  <c r="D190" i="2"/>
  <c r="H189" i="2"/>
  <c r="F189" i="2"/>
  <c r="E189" i="2"/>
  <c r="D189" i="2"/>
  <c r="H188" i="2"/>
  <c r="G188" i="2"/>
  <c r="F188" i="2"/>
  <c r="E188" i="2"/>
  <c r="D188" i="2"/>
  <c r="C188" i="2"/>
  <c r="H187" i="2"/>
  <c r="D187" i="2"/>
  <c r="H186" i="2"/>
  <c r="F186" i="2"/>
  <c r="D186" i="2"/>
  <c r="H185" i="2"/>
  <c r="D185" i="2"/>
  <c r="H184" i="2"/>
  <c r="E184" i="2"/>
  <c r="D184" i="2"/>
  <c r="H183" i="2"/>
  <c r="D183" i="2"/>
  <c r="H182" i="2"/>
  <c r="E182" i="2"/>
  <c r="D182" i="2"/>
  <c r="H181" i="2"/>
  <c r="E181" i="2"/>
  <c r="D181" i="2"/>
  <c r="H180" i="2"/>
  <c r="E180" i="2"/>
  <c r="D180" i="2"/>
  <c r="H179" i="2"/>
  <c r="E179" i="2"/>
  <c r="D179" i="2"/>
  <c r="H178" i="2"/>
  <c r="D178" i="2"/>
  <c r="H177" i="2"/>
  <c r="D177" i="2"/>
  <c r="H176" i="2"/>
  <c r="E176" i="2"/>
  <c r="D176" i="2"/>
  <c r="H175" i="2"/>
  <c r="E175" i="2"/>
  <c r="D175" i="2"/>
  <c r="H174" i="2"/>
  <c r="E174" i="2"/>
  <c r="D174" i="2"/>
  <c r="H173" i="2"/>
  <c r="D173" i="2"/>
  <c r="H172" i="2"/>
  <c r="E172" i="2"/>
  <c r="D172" i="2"/>
  <c r="H171" i="2"/>
  <c r="E171" i="2"/>
  <c r="D171" i="2"/>
  <c r="H170" i="2"/>
  <c r="E170" i="2"/>
  <c r="D170" i="2"/>
  <c r="H169" i="2"/>
  <c r="E169" i="2"/>
  <c r="D169" i="2"/>
  <c r="H168" i="2"/>
  <c r="D168" i="2"/>
  <c r="H167" i="2"/>
  <c r="E167" i="2"/>
  <c r="D167" i="2"/>
  <c r="H166" i="2"/>
  <c r="D166" i="2"/>
  <c r="H165" i="2"/>
  <c r="E165" i="2"/>
  <c r="D165" i="2"/>
  <c r="H164" i="2"/>
  <c r="E164" i="2"/>
  <c r="D164" i="2"/>
  <c r="H163" i="2"/>
  <c r="E163" i="2"/>
  <c r="D163" i="2"/>
  <c r="H162" i="2"/>
  <c r="D162" i="2"/>
  <c r="H161" i="2"/>
  <c r="D161" i="2"/>
  <c r="H160" i="2"/>
  <c r="D160" i="2"/>
  <c r="H159" i="2"/>
  <c r="D159" i="2"/>
  <c r="H158" i="2"/>
  <c r="E158" i="2"/>
  <c r="D158" i="2"/>
  <c r="H157" i="2"/>
  <c r="E157" i="2"/>
  <c r="D157" i="2"/>
  <c r="H156" i="2"/>
  <c r="E156" i="2"/>
  <c r="D156" i="2"/>
  <c r="H155" i="2"/>
  <c r="D155" i="2"/>
  <c r="H154" i="2"/>
  <c r="D154" i="2"/>
  <c r="H153" i="2"/>
  <c r="E153" i="2"/>
  <c r="D153" i="2"/>
  <c r="H152" i="2"/>
  <c r="D152" i="2"/>
  <c r="H151" i="2"/>
  <c r="D151" i="2"/>
  <c r="H150" i="2"/>
  <c r="D150" i="2"/>
  <c r="H149" i="2"/>
  <c r="D149" i="2"/>
  <c r="H148" i="2"/>
  <c r="E148" i="2"/>
  <c r="D148" i="2"/>
  <c r="H147" i="2"/>
  <c r="E147" i="2"/>
  <c r="D147" i="2"/>
  <c r="H146" i="2"/>
  <c r="D146" i="2"/>
  <c r="H145" i="2"/>
  <c r="D145" i="2"/>
  <c r="H144" i="2"/>
  <c r="E144" i="2"/>
  <c r="D144" i="2"/>
  <c r="H143" i="2"/>
  <c r="E143" i="2"/>
  <c r="D143" i="2"/>
  <c r="H142" i="2"/>
  <c r="D142" i="2"/>
  <c r="H141" i="2"/>
  <c r="E141" i="2"/>
  <c r="D141" i="2"/>
  <c r="H140" i="2"/>
  <c r="E140" i="2"/>
  <c r="D140" i="2"/>
  <c r="H139" i="2"/>
  <c r="E139" i="2"/>
  <c r="D139" i="2"/>
  <c r="H138" i="2"/>
  <c r="D138" i="2"/>
  <c r="H137" i="2"/>
  <c r="E137" i="2"/>
  <c r="D137" i="2"/>
  <c r="H136" i="2"/>
  <c r="D136" i="2"/>
  <c r="H135" i="2"/>
  <c r="E135" i="2"/>
  <c r="D135" i="2"/>
  <c r="H134" i="2"/>
  <c r="E134" i="2"/>
  <c r="D134" i="2"/>
  <c r="H133" i="2"/>
  <c r="E133" i="2"/>
  <c r="D133" i="2"/>
  <c r="H132" i="2"/>
  <c r="E132" i="2"/>
  <c r="D132" i="2"/>
  <c r="H131" i="2"/>
  <c r="E131" i="2"/>
  <c r="D131" i="2"/>
  <c r="H130" i="2"/>
  <c r="E130" i="2"/>
  <c r="D130" i="2"/>
  <c r="H129" i="2"/>
  <c r="D129" i="2"/>
  <c r="H128" i="2"/>
  <c r="E128" i="2"/>
  <c r="D128" i="2"/>
  <c r="H127" i="2"/>
  <c r="E127" i="2"/>
  <c r="D127" i="2"/>
  <c r="H126" i="2"/>
  <c r="D126" i="2"/>
  <c r="H125" i="2"/>
  <c r="G125" i="2"/>
  <c r="F125" i="2"/>
  <c r="E125" i="2"/>
  <c r="D125" i="2"/>
  <c r="C125" i="2"/>
  <c r="H124" i="2"/>
  <c r="D124" i="2"/>
  <c r="H123" i="2"/>
  <c r="D123" i="2"/>
  <c r="H122" i="2"/>
  <c r="D122" i="2"/>
  <c r="H121" i="2"/>
  <c r="G121" i="2"/>
  <c r="F121" i="2"/>
  <c r="E121" i="2"/>
  <c r="D121" i="2"/>
  <c r="C121" i="2"/>
  <c r="H120" i="2"/>
  <c r="G120" i="2"/>
  <c r="F120" i="2"/>
  <c r="E120" i="2"/>
  <c r="D120" i="2"/>
  <c r="C120" i="2"/>
  <c r="H119" i="2"/>
  <c r="D119" i="2"/>
  <c r="H118" i="2"/>
  <c r="D118" i="2"/>
  <c r="H117" i="2"/>
  <c r="E117" i="2"/>
  <c r="D117" i="2"/>
  <c r="H116" i="2"/>
  <c r="D116" i="2"/>
  <c r="H115" i="2"/>
  <c r="D115" i="2"/>
  <c r="H114" i="2"/>
  <c r="E114" i="2"/>
  <c r="D114" i="2"/>
  <c r="H113" i="2"/>
  <c r="E113" i="2"/>
  <c r="D113" i="2"/>
  <c r="H112" i="2"/>
  <c r="E112" i="2"/>
  <c r="D112" i="2"/>
  <c r="H111" i="2"/>
  <c r="E111" i="2"/>
  <c r="D111" i="2"/>
  <c r="H110" i="2"/>
  <c r="E110" i="2"/>
  <c r="D110" i="2"/>
  <c r="H109" i="2"/>
  <c r="E109" i="2"/>
  <c r="D109" i="2"/>
  <c r="H108" i="2"/>
  <c r="E108" i="2"/>
  <c r="D108" i="2"/>
  <c r="H107" i="2"/>
  <c r="D107" i="2"/>
  <c r="H106" i="2"/>
  <c r="E106" i="2"/>
  <c r="D106" i="2"/>
  <c r="H105" i="2"/>
  <c r="D105" i="2"/>
  <c r="H104" i="2"/>
  <c r="D104" i="2"/>
  <c r="H103" i="2"/>
  <c r="E103" i="2"/>
  <c r="D103" i="2"/>
  <c r="H102" i="2"/>
  <c r="D102" i="2"/>
  <c r="H101" i="2"/>
  <c r="E101" i="2"/>
  <c r="D101" i="2"/>
  <c r="H100" i="2"/>
  <c r="D100" i="2"/>
  <c r="H99" i="2"/>
  <c r="D99" i="2"/>
  <c r="H98" i="2"/>
  <c r="D98" i="2"/>
  <c r="H97" i="2"/>
  <c r="G97" i="2"/>
  <c r="F97" i="2"/>
  <c r="E97" i="2"/>
  <c r="D97" i="2"/>
  <c r="C97" i="2"/>
  <c r="H96" i="2"/>
  <c r="D96" i="2"/>
  <c r="H95" i="2"/>
  <c r="H94" i="2"/>
  <c r="D94" i="2"/>
  <c r="H93" i="2"/>
  <c r="D93" i="2"/>
  <c r="H92" i="2"/>
  <c r="D92" i="2"/>
  <c r="H91" i="2"/>
  <c r="D91" i="2"/>
  <c r="H90" i="2"/>
  <c r="D90" i="2"/>
  <c r="H89" i="2"/>
  <c r="D89" i="2"/>
  <c r="H88" i="2"/>
  <c r="E88" i="2"/>
  <c r="D88" i="2"/>
  <c r="H87" i="2"/>
  <c r="D87" i="2"/>
  <c r="H86" i="2"/>
  <c r="D86" i="2"/>
  <c r="H85" i="2"/>
  <c r="D85" i="2"/>
  <c r="H84" i="2"/>
  <c r="D84" i="2"/>
  <c r="H83" i="2"/>
  <c r="D83" i="2"/>
  <c r="H82" i="2"/>
  <c r="D82" i="2"/>
  <c r="H81" i="2"/>
  <c r="E81" i="2"/>
  <c r="D81" i="2"/>
  <c r="H80" i="2"/>
  <c r="D80" i="2"/>
  <c r="H79" i="2"/>
  <c r="G79" i="2"/>
  <c r="D79" i="2"/>
  <c r="H78" i="2"/>
  <c r="F78" i="2"/>
  <c r="D78" i="2"/>
  <c r="H77" i="2"/>
  <c r="F77" i="2"/>
  <c r="D77" i="2"/>
  <c r="H76" i="2"/>
  <c r="F76" i="2"/>
  <c r="D76" i="2"/>
  <c r="H75" i="2"/>
  <c r="F75" i="2"/>
  <c r="D75" i="2"/>
  <c r="H74" i="2"/>
  <c r="F74" i="2"/>
  <c r="D74" i="2"/>
  <c r="H73" i="2"/>
  <c r="F73" i="2"/>
  <c r="D73" i="2"/>
  <c r="H72" i="2"/>
  <c r="F72" i="2"/>
  <c r="D72" i="2"/>
  <c r="H71" i="2"/>
  <c r="F71" i="2"/>
  <c r="D71" i="2"/>
  <c r="H70" i="2"/>
  <c r="F70" i="2"/>
  <c r="D70" i="2"/>
  <c r="H69" i="2"/>
  <c r="F69" i="2"/>
  <c r="D69" i="2"/>
  <c r="H68" i="2"/>
  <c r="F68" i="2"/>
  <c r="D68" i="2"/>
  <c r="H67" i="2"/>
  <c r="F67" i="2"/>
  <c r="D67" i="2"/>
  <c r="H66" i="2"/>
  <c r="F66" i="2"/>
  <c r="D66" i="2"/>
  <c r="H65" i="2"/>
  <c r="F65" i="2"/>
  <c r="D65" i="2"/>
  <c r="H64" i="2"/>
  <c r="F64" i="2"/>
  <c r="D64" i="2"/>
  <c r="H63" i="2"/>
  <c r="F63" i="2"/>
  <c r="D63" i="2"/>
  <c r="H62" i="2"/>
  <c r="F62" i="2"/>
  <c r="D62" i="2"/>
  <c r="H61" i="2"/>
  <c r="F61" i="2"/>
  <c r="D61" i="2"/>
  <c r="H60" i="2"/>
  <c r="F60" i="2"/>
  <c r="D60" i="2"/>
  <c r="H59" i="2"/>
  <c r="F59" i="2"/>
  <c r="D59" i="2"/>
  <c r="H58" i="2"/>
  <c r="F58" i="2"/>
  <c r="D58" i="2"/>
  <c r="H57" i="2"/>
  <c r="F57" i="2"/>
  <c r="D57" i="2"/>
  <c r="H56" i="2"/>
  <c r="F56" i="2"/>
  <c r="E56" i="2"/>
  <c r="D56" i="2"/>
  <c r="H55" i="2"/>
  <c r="E55" i="2"/>
  <c r="D55" i="2"/>
  <c r="H54" i="2"/>
  <c r="D54" i="2"/>
  <c r="H53" i="2"/>
  <c r="G53" i="2"/>
  <c r="F53" i="2"/>
  <c r="E53" i="2"/>
  <c r="D53" i="2"/>
  <c r="C53" i="2"/>
  <c r="H52" i="2"/>
  <c r="E52" i="2"/>
  <c r="D52" i="2"/>
  <c r="H51" i="2"/>
  <c r="E51" i="2"/>
  <c r="D51" i="2"/>
  <c r="H50" i="2"/>
  <c r="E50" i="2"/>
  <c r="D50" i="2"/>
  <c r="H49" i="2"/>
  <c r="G49" i="2"/>
  <c r="F49" i="2"/>
  <c r="E49" i="2"/>
  <c r="D49" i="2"/>
  <c r="C49" i="2"/>
  <c r="H48" i="2"/>
  <c r="D48" i="2"/>
  <c r="H47" i="2"/>
  <c r="D47" i="2"/>
  <c r="H46" i="2"/>
  <c r="D46" i="2"/>
  <c r="H45" i="2"/>
  <c r="D45" i="2"/>
  <c r="H44" i="2"/>
  <c r="F44" i="2"/>
  <c r="E44" i="2"/>
  <c r="D44" i="2"/>
  <c r="H43" i="2"/>
  <c r="D43" i="2"/>
  <c r="H42" i="2"/>
  <c r="D42" i="2"/>
  <c r="H41" i="2"/>
  <c r="E41" i="2"/>
  <c r="D41" i="2"/>
  <c r="H40" i="2"/>
  <c r="E40" i="2"/>
  <c r="D40" i="2"/>
  <c r="H39" i="2"/>
  <c r="E39" i="2"/>
  <c r="D39" i="2"/>
  <c r="H38" i="2"/>
  <c r="D38" i="2"/>
  <c r="H37" i="2"/>
  <c r="E37" i="2"/>
  <c r="D37" i="2"/>
  <c r="H36" i="2"/>
  <c r="D36" i="2"/>
  <c r="H35" i="2"/>
  <c r="D35" i="2"/>
  <c r="H34" i="2"/>
  <c r="E34" i="2"/>
  <c r="D34" i="2"/>
  <c r="H33" i="2"/>
  <c r="D33" i="2"/>
  <c r="H32" i="2"/>
  <c r="D32" i="2"/>
  <c r="H31" i="2"/>
  <c r="D31" i="2"/>
  <c r="H30" i="2"/>
  <c r="E30" i="2"/>
  <c r="D30" i="2"/>
  <c r="H29" i="2"/>
  <c r="E29" i="2"/>
  <c r="D29" i="2"/>
  <c r="H28" i="2"/>
  <c r="E28" i="2"/>
  <c r="D28" i="2"/>
  <c r="H27" i="2"/>
  <c r="D27" i="2"/>
  <c r="H26" i="2"/>
  <c r="E26" i="2"/>
  <c r="D26" i="2"/>
  <c r="H25" i="2"/>
  <c r="D25" i="2"/>
  <c r="H24" i="2"/>
  <c r="E24" i="2"/>
  <c r="D24" i="2"/>
  <c r="H23" i="2"/>
  <c r="D23" i="2"/>
  <c r="H22" i="2"/>
  <c r="G22" i="2"/>
  <c r="D22" i="2"/>
  <c r="H21" i="2"/>
  <c r="D21" i="2"/>
  <c r="H20" i="2"/>
  <c r="D20" i="2"/>
  <c r="H19" i="2"/>
  <c r="D19" i="2"/>
  <c r="H18" i="2"/>
  <c r="D18" i="2"/>
  <c r="H17" i="2"/>
  <c r="G17" i="2"/>
  <c r="F17" i="2"/>
  <c r="E17" i="2"/>
  <c r="D17" i="2"/>
  <c r="C17" i="2"/>
  <c r="H16" i="2"/>
  <c r="G16" i="2"/>
  <c r="F16" i="2"/>
  <c r="E16" i="2"/>
  <c r="D16" i="2"/>
  <c r="C16" i="2"/>
  <c r="E146" i="3"/>
  <c r="E145" i="3"/>
  <c r="E144" i="3"/>
  <c r="D144" i="3"/>
  <c r="C144" i="3"/>
  <c r="E143" i="3"/>
  <c r="E142" i="3"/>
  <c r="E141" i="3"/>
  <c r="E140" i="3"/>
  <c r="E139" i="3"/>
  <c r="E138" i="3"/>
  <c r="E137" i="3"/>
  <c r="E136" i="3"/>
  <c r="E135" i="3"/>
  <c r="E134" i="3"/>
  <c r="E133" i="3"/>
  <c r="E132" i="3"/>
  <c r="D132" i="3"/>
  <c r="C132" i="3"/>
  <c r="E131" i="3"/>
  <c r="E130" i="3"/>
  <c r="E129" i="3"/>
  <c r="E128" i="3"/>
  <c r="E127" i="3"/>
  <c r="D127" i="3"/>
  <c r="C127" i="3"/>
  <c r="E126" i="3"/>
  <c r="E125" i="3"/>
  <c r="E124" i="3"/>
  <c r="D124" i="3"/>
  <c r="E123" i="3"/>
  <c r="E122" i="3"/>
  <c r="D122" i="3"/>
  <c r="C122" i="3"/>
  <c r="E121" i="3"/>
  <c r="D121" i="3"/>
  <c r="C121" i="3"/>
  <c r="E120" i="3"/>
  <c r="D120" i="3"/>
  <c r="C120" i="3"/>
  <c r="E119" i="3"/>
  <c r="E118" i="3"/>
  <c r="E117" i="3"/>
  <c r="E116" i="3"/>
  <c r="D116" i="3"/>
  <c r="C116" i="3"/>
  <c r="E115" i="3"/>
  <c r="E114" i="3"/>
  <c r="E113" i="3"/>
  <c r="E112" i="3"/>
  <c r="E111" i="3"/>
  <c r="E110" i="3"/>
  <c r="E109" i="3"/>
  <c r="E108" i="3"/>
  <c r="E107" i="3"/>
  <c r="E106" i="3"/>
  <c r="E105" i="3"/>
  <c r="D105" i="3"/>
  <c r="E104" i="3"/>
  <c r="E103" i="3"/>
  <c r="E102" i="3"/>
  <c r="E101" i="3"/>
  <c r="E100" i="3"/>
  <c r="E99" i="3"/>
  <c r="E98" i="3"/>
  <c r="E97" i="3"/>
  <c r="E96" i="3"/>
  <c r="E95" i="3"/>
  <c r="E94" i="3"/>
  <c r="E93" i="3"/>
  <c r="E92" i="3"/>
  <c r="D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D68" i="3"/>
  <c r="C68" i="3"/>
  <c r="E67" i="3"/>
  <c r="D67" i="3"/>
  <c r="C67" i="3"/>
  <c r="E66" i="3"/>
  <c r="E65" i="3"/>
  <c r="E64" i="3"/>
  <c r="D64" i="3"/>
  <c r="C64" i="3"/>
  <c r="E63" i="3"/>
  <c r="E62" i="3"/>
  <c r="E61" i="3"/>
  <c r="D61" i="3"/>
  <c r="E60" i="3"/>
  <c r="E59" i="3"/>
  <c r="D59" i="3"/>
  <c r="C59" i="3"/>
  <c r="E58" i="3"/>
  <c r="E57" i="3"/>
  <c r="D57" i="3"/>
  <c r="C57" i="3"/>
  <c r="E56" i="3"/>
  <c r="E55" i="3"/>
  <c r="E54" i="3"/>
  <c r="C54" i="3"/>
  <c r="E53" i="3"/>
  <c r="E52" i="3"/>
  <c r="E51" i="3"/>
  <c r="E50" i="3"/>
  <c r="E49" i="3"/>
  <c r="E48" i="3"/>
  <c r="C48" i="3"/>
  <c r="E47" i="3"/>
  <c r="E46" i="3"/>
  <c r="E45" i="3"/>
  <c r="E44" i="3"/>
  <c r="C44" i="3"/>
  <c r="E43" i="3"/>
  <c r="C43" i="3"/>
  <c r="E42" i="3"/>
  <c r="E41" i="3"/>
  <c r="C41" i="3"/>
  <c r="E40" i="3"/>
  <c r="D40" i="3"/>
  <c r="C40" i="3"/>
  <c r="E39" i="3"/>
  <c r="E38" i="3"/>
  <c r="C38" i="3"/>
  <c r="E37" i="3"/>
  <c r="E36" i="3"/>
  <c r="C36" i="3"/>
  <c r="E35" i="3"/>
  <c r="C35" i="3"/>
  <c r="E34" i="3"/>
  <c r="E33" i="3"/>
  <c r="E32" i="3"/>
  <c r="C32" i="3"/>
  <c r="E31" i="3"/>
  <c r="E30" i="3"/>
  <c r="E29" i="3"/>
  <c r="E28" i="3"/>
  <c r="C28" i="3"/>
  <c r="E27" i="3"/>
  <c r="E26" i="3"/>
  <c r="E25" i="3"/>
  <c r="C25" i="3"/>
  <c r="E24" i="3"/>
  <c r="C24" i="3"/>
  <c r="E23" i="3"/>
  <c r="C23" i="3"/>
  <c r="E22" i="3"/>
  <c r="E21" i="3"/>
  <c r="D21" i="3"/>
  <c r="C21" i="3"/>
  <c r="E20" i="3"/>
  <c r="D20" i="3"/>
  <c r="C20" i="3"/>
  <c r="E19" i="3"/>
  <c r="C19" i="3"/>
  <c r="E18" i="3"/>
  <c r="D18" i="3"/>
  <c r="C18" i="3"/>
  <c r="E75" i="4"/>
  <c r="E74" i="4"/>
  <c r="E73" i="4"/>
  <c r="D73" i="4"/>
  <c r="C73" i="4"/>
  <c r="E72" i="4"/>
  <c r="E70" i="4"/>
  <c r="D70" i="4"/>
  <c r="C70" i="4"/>
  <c r="E68" i="4"/>
  <c r="D68" i="4"/>
  <c r="C68" i="4"/>
  <c r="E67" i="4"/>
  <c r="D67" i="4"/>
  <c r="C67" i="4"/>
  <c r="E66" i="4"/>
  <c r="D66" i="4"/>
  <c r="C66" i="4"/>
  <c r="E64" i="4"/>
  <c r="D64" i="4"/>
  <c r="E63" i="4"/>
  <c r="D63" i="4"/>
  <c r="E62" i="4"/>
  <c r="D62" i="4"/>
  <c r="E61" i="4"/>
  <c r="D61" i="4"/>
  <c r="E60" i="4"/>
  <c r="D60" i="4"/>
  <c r="E59" i="4"/>
  <c r="D59" i="4"/>
  <c r="E58" i="4"/>
  <c r="D58" i="4"/>
  <c r="E57" i="4"/>
  <c r="D57" i="4"/>
  <c r="C57" i="4"/>
  <c r="E56" i="4"/>
  <c r="D56" i="4"/>
  <c r="E55" i="4"/>
  <c r="D55" i="4"/>
  <c r="E54" i="4"/>
  <c r="D54" i="4"/>
  <c r="E53" i="4"/>
  <c r="D53" i="4"/>
  <c r="E52" i="4"/>
  <c r="D52" i="4"/>
  <c r="E51" i="4"/>
  <c r="D51" i="4"/>
  <c r="E50" i="4"/>
  <c r="D50" i="4"/>
  <c r="E49" i="4"/>
  <c r="D49" i="4"/>
  <c r="E48" i="4"/>
  <c r="D48" i="4"/>
  <c r="E47" i="4"/>
  <c r="D47" i="4"/>
  <c r="C47" i="4"/>
  <c r="E46" i="4"/>
  <c r="D46" i="4"/>
  <c r="C46" i="4"/>
  <c r="E45" i="4"/>
  <c r="D45" i="4"/>
  <c r="E44" i="4"/>
  <c r="D44" i="4"/>
  <c r="E43" i="4"/>
  <c r="D43" i="4"/>
  <c r="E42" i="4"/>
  <c r="D42" i="4"/>
  <c r="C42" i="4"/>
  <c r="E41" i="4"/>
  <c r="D41" i="4"/>
  <c r="E40" i="4"/>
  <c r="D40" i="4"/>
  <c r="C40" i="4"/>
  <c r="E39" i="4"/>
  <c r="D39" i="4"/>
  <c r="E38" i="4"/>
  <c r="D38" i="4"/>
  <c r="C38" i="4"/>
  <c r="E37" i="4"/>
  <c r="D37" i="4"/>
  <c r="E36" i="4"/>
  <c r="D36" i="4"/>
  <c r="C36" i="4"/>
  <c r="E35" i="4"/>
  <c r="D35" i="4"/>
  <c r="E34" i="4"/>
  <c r="D34" i="4"/>
  <c r="E33" i="4"/>
  <c r="E32" i="4"/>
  <c r="D32" i="4"/>
  <c r="C32" i="4"/>
  <c r="E31" i="4"/>
  <c r="D31" i="4"/>
  <c r="E30" i="4"/>
  <c r="D30" i="4"/>
  <c r="C30" i="4"/>
  <c r="E29" i="4"/>
  <c r="E28" i="4"/>
  <c r="C28" i="4"/>
  <c r="E27" i="4"/>
  <c r="E26" i="4"/>
  <c r="E25" i="4"/>
  <c r="C25" i="4"/>
  <c r="E24" i="4"/>
  <c r="E23" i="4"/>
  <c r="C23" i="4"/>
  <c r="E22" i="4"/>
  <c r="E21" i="4"/>
  <c r="C21" i="4"/>
  <c r="E20" i="4"/>
  <c r="E19" i="4"/>
  <c r="C19" i="4"/>
  <c r="E18" i="4"/>
  <c r="D18" i="4"/>
  <c r="E17" i="4"/>
  <c r="D17" i="4"/>
  <c r="C17" i="4"/>
  <c r="E16" i="4"/>
  <c r="D16" i="4"/>
  <c r="C16" i="4"/>
</calcChain>
</file>

<file path=xl/comments1.xml><?xml version="1.0" encoding="utf-8"?>
<comments xmlns="http://schemas.openxmlformats.org/spreadsheetml/2006/main">
  <authors>
    <author>Olga Sinica</author>
  </authors>
  <commentList>
    <comment ref="B319" authorId="0">
      <text>
        <r>
          <rPr>
            <b/>
            <sz val="9"/>
            <rFont val="Tahoma"/>
            <family val="2"/>
            <charset val="186"/>
          </rPr>
          <t>Olga Sinica:</t>
        </r>
        <r>
          <rPr>
            <sz val="9"/>
            <rFont val="Tahoma"/>
            <family val="2"/>
            <charset val="186"/>
          </rPr>
          <t xml:space="preserve">
pašvaldības finansējums</t>
        </r>
      </text>
    </comment>
  </commentList>
</comments>
</file>

<file path=xl/sharedStrings.xml><?xml version="1.0" encoding="utf-8"?>
<sst xmlns="http://schemas.openxmlformats.org/spreadsheetml/2006/main" count="1148" uniqueCount="699">
  <si>
    <t>Iestādes</t>
  </si>
  <si>
    <t>Balvu novada administrācija</t>
  </si>
  <si>
    <t>Deputātu darba samaksa</t>
  </si>
  <si>
    <t>Balvu pagasta pārvalde</t>
  </si>
  <si>
    <t>Bērzkalnes pagasta pārvalde</t>
  </si>
  <si>
    <t>Bērzpils pagasta pārvalde</t>
  </si>
  <si>
    <t>Briežuciema pagasta pārvalde</t>
  </si>
  <si>
    <t>Krišjāņu pagasta pārvalde</t>
  </si>
  <si>
    <t>Kubulu pagasta pārvalde</t>
  </si>
  <si>
    <t>Lazdulejas pagasta pārvalde</t>
  </si>
  <si>
    <t>Tilžas pagasta pārvalde</t>
  </si>
  <si>
    <t>Vectilžas pagasta pārvalde</t>
  </si>
  <si>
    <t>Vīksnas pagasta pārvalde</t>
  </si>
  <si>
    <t>Izdevumi neparedzētiem gadījumiem</t>
  </si>
  <si>
    <t>Biedru maksa</t>
  </si>
  <si>
    <t>Dzimtsarakstu nodaļa</t>
  </si>
  <si>
    <t>Pašvaldības policija</t>
  </si>
  <si>
    <t>Būvvalde</t>
  </si>
  <si>
    <t>Pārējā ekonomiskā darbība (PVN)</t>
  </si>
  <si>
    <t>Ielu apgaismojums Balvu pilsētā</t>
  </si>
  <si>
    <t>Balvu pagasta komunālā saimniecība</t>
  </si>
  <si>
    <t>Bērzpils pagasta komunālā saimniecība</t>
  </si>
  <si>
    <t>Briežuciema pagasta komunālā saimniecība</t>
  </si>
  <si>
    <t>Krišjāņu pagasta komunālā saimniecība</t>
  </si>
  <si>
    <t>Kubulu pagasta komunālā saimniecība</t>
  </si>
  <si>
    <t>Lazdulejas pagasta komunālā saimniecība</t>
  </si>
  <si>
    <t>Tilžas pagasta komunālā saimniecība</t>
  </si>
  <si>
    <t>Vectilžas pagasta komunālā saimniecība</t>
  </si>
  <si>
    <t>Vīksnas pagasta komunālā saimniecība</t>
  </si>
  <si>
    <t>Pašvaldības aģentūra SAN-TEX</t>
  </si>
  <si>
    <t xml:space="preserve">Sporta pasākumi novadā </t>
  </si>
  <si>
    <t>Balvu Centrālā bibliotēka</t>
  </si>
  <si>
    <t>KAC pasākumi</t>
  </si>
  <si>
    <t>Briežuciema Tautas nams</t>
  </si>
  <si>
    <t>Krišjāņu Tautas nams</t>
  </si>
  <si>
    <t>Vīksnas Tautas nams</t>
  </si>
  <si>
    <t>Pārējie pasākumi, sabiedriskās attiecības</t>
  </si>
  <si>
    <t>PII Pīlādzītis</t>
  </si>
  <si>
    <t>PII Sienāzītis</t>
  </si>
  <si>
    <t>Bērzkalnes PII</t>
  </si>
  <si>
    <t>PII Ieviņa</t>
  </si>
  <si>
    <t>Stacijas pamatskola</t>
  </si>
  <si>
    <t>Balvu Valsts ģimnāzija</t>
  </si>
  <si>
    <t>Balvu mūzikas skola</t>
  </si>
  <si>
    <t>Balvu mākslas skola</t>
  </si>
  <si>
    <t>Balvu sporta skola</t>
  </si>
  <si>
    <t>Transporta izdevumu kompensācija skolēniem</t>
  </si>
  <si>
    <t>Pansionāts "Balvi"</t>
  </si>
  <si>
    <t>Bāriņtiesa</t>
  </si>
  <si>
    <t>Sociālo māju uzturēšana</t>
  </si>
  <si>
    <t>Asisitenta pakalpojumi personām ar invaliditāti</t>
  </si>
  <si>
    <t>KOPĀ</t>
  </si>
  <si>
    <t>Balvu sporta skolas Peldbaseins</t>
  </si>
  <si>
    <t>Balvu Profesionālā un vispārizglītojošā vidusskola</t>
  </si>
  <si>
    <t>Atskurbtuves uzturēšana</t>
  </si>
  <si>
    <t>Profesionālā sociālā darba attīstība pašvaldībās</t>
  </si>
  <si>
    <t>Deinstitucionālizācijas pasākumu īstenošana Latgales reģionā</t>
  </si>
  <si>
    <t>Projekts "Pasākumi vietējās sabiedrības veselības veicināšanai Balvu novadā"</t>
  </si>
  <si>
    <t>Latgales speciālās ekonomiskās zonas atbalsts</t>
  </si>
  <si>
    <t>Projekts "Karjeras atbalsts vispārējās un profesionālās izglītības iestādēs"</t>
  </si>
  <si>
    <t>Ziemeļlatgales biznesa un tūrisma centrs</t>
  </si>
  <si>
    <t>Sociālie pakalpojumi</t>
  </si>
  <si>
    <t>Programma "Latvijas skolas soma"</t>
  </si>
  <si>
    <t>Balvu pilsētas autoceļu (ielu) uzturēšana</t>
  </si>
  <si>
    <t>Balvu pagasta autoceļu (ielu) uzturēšana</t>
  </si>
  <si>
    <t>Bērzkalnes pagasta autoceļu (ielu) uzturēšana</t>
  </si>
  <si>
    <t>Bērzpils pagasta autoceļu (ielu) uzturēšana</t>
  </si>
  <si>
    <t>Briežuciema pagasta autoceļu (ielu) uzturēšana</t>
  </si>
  <si>
    <t>Krišjāņu pagasta autoceļu (ielu) uzturēšana</t>
  </si>
  <si>
    <t>Kubulu pagasta autoceļu (ielu) uzturēšana</t>
  </si>
  <si>
    <t>Lazdulejas pagasta autoceļu (ielu) uzturēšana</t>
  </si>
  <si>
    <t>Tilžas pagasta autoceļu (ielu) uzturēšana</t>
  </si>
  <si>
    <t>Vectilžas pagasta autoceļu (ielu) uzturēšana</t>
  </si>
  <si>
    <t>Vīksnas pagasta autoceļu (ielu) uzturēšana</t>
  </si>
  <si>
    <t>Vides piesārņojuma novēršana un samazināšana (dabas resursu nodoklis)</t>
  </si>
  <si>
    <t>Balvu Kultūras un atpūtas centrs</t>
  </si>
  <si>
    <t>Norēķini ar citām pašvaldībām par izglītības pakalpojumiem</t>
  </si>
  <si>
    <t>Balvu Novada muzejs</t>
  </si>
  <si>
    <t>Balvu sākumskola</t>
  </si>
  <si>
    <t>Daudzfunkcionālais sociālo pakalpojumu centrs</t>
  </si>
  <si>
    <t>LV-LT pārrobežu sadarbības projekts "Amatu prasmes tūrisma telpā"</t>
  </si>
  <si>
    <t>Sociālā rakstura maksājumi un kompensācijas</t>
  </si>
  <si>
    <t>Transferti</t>
  </si>
  <si>
    <t xml:space="preserve"> Atlīdzība</t>
  </si>
  <si>
    <t>Preces un pakalpojumi</t>
  </si>
  <si>
    <t>Subsīdijas un dotācijas</t>
  </si>
  <si>
    <t>Procentu maksājumi</t>
  </si>
  <si>
    <t>Pamatkapitāla veidošana</t>
  </si>
  <si>
    <t>Izdevumi pa ekonomiskās klasifikācijas kodiem (EUR)</t>
  </si>
  <si>
    <t>Viļakas pilsētas pārvalde</t>
  </si>
  <si>
    <t>Valsts un pašvaldības vienotais klientu apkalpošanas centrs</t>
  </si>
  <si>
    <t>Baltinavas pagasta pārvalde</t>
  </si>
  <si>
    <t>Kupravas pagasta pārvalde</t>
  </si>
  <si>
    <t>Medņevas pagasta pārvalde</t>
  </si>
  <si>
    <t>Susāju pagasta pārvalde</t>
  </si>
  <si>
    <t>Šķilbēnu pagasta pārvalde</t>
  </si>
  <si>
    <t>Vecumu pagasta pārvalde</t>
  </si>
  <si>
    <t>Žīguru pagasta pārvalde</t>
  </si>
  <si>
    <t>Susāju pārvaldes teritorijas apsaimniekošana</t>
  </si>
  <si>
    <t>Viļakas pilsētas komunālā saimniecība - apkure</t>
  </si>
  <si>
    <t>Viļakas pilsētas komunālā saimniecība-ūdens</t>
  </si>
  <si>
    <t>Žīguru komunālā saimniecība - apkure</t>
  </si>
  <si>
    <t>Medņevas pagasta teritorijas apsaimniekošana</t>
  </si>
  <si>
    <t>Medņevas komunālā saimniecība - ūdens</t>
  </si>
  <si>
    <t>Šķilbēnu pagasta teritorijas apsaimniekošana</t>
  </si>
  <si>
    <t>Upītes komunālā saimniecība - ūdens</t>
  </si>
  <si>
    <t xml:space="preserve"> Rekavas komunālā saimniecība - apkure</t>
  </si>
  <si>
    <t>Rekavas komunālā saimniecība - ūdens</t>
  </si>
  <si>
    <t>Šķilbēnu komunālā saimniecība - ūdens</t>
  </si>
  <si>
    <t>Kupravas komunālā saimniecība - apkure</t>
  </si>
  <si>
    <t>Kupravas komunālā saimniecība - ūdens</t>
  </si>
  <si>
    <t>Vecumu komunālā saimniecība - apkure</t>
  </si>
  <si>
    <t xml:space="preserve"> Vecumu pagasta teritorijas apsaimniekošana</t>
  </si>
  <si>
    <t>Vecumu komunālā saimniecība - ūdens</t>
  </si>
  <si>
    <t>Žīguru pagasta teritorijas apsaimniekošana</t>
  </si>
  <si>
    <t xml:space="preserve"> Žīguru komunālā saimniecība - ūdens</t>
  </si>
  <si>
    <t>Kupravas pārvaldes pašvaldības dzīvokļu uzturēšana</t>
  </si>
  <si>
    <t>Viļakas pilsētas pašvaldības dzīvokļu uzturēšana</t>
  </si>
  <si>
    <t>Žīguru pārvaldes pašvaldības  dzīvokļu uzturēšana</t>
  </si>
  <si>
    <t>Viļakas pilsētas labiekārtošana</t>
  </si>
  <si>
    <t>Vecumu pārvaldes pašvaldības dzīvokļu uzturēšana</t>
  </si>
  <si>
    <t>Rugāju sociālās aprūpes centrs</t>
  </si>
  <si>
    <t>Viļakas sociālās aprūpes centrs</t>
  </si>
  <si>
    <t>Šķilbēnu sociālās aprūpes māja</t>
  </si>
  <si>
    <t>Kultūrvēsturiskā lauku sēta "Vēršukalns"</t>
  </si>
  <si>
    <t>Viļakas muzejs</t>
  </si>
  <si>
    <t xml:space="preserve">Rugāju muzejs  </t>
  </si>
  <si>
    <t>Lazdukalna pagasta pārvalde</t>
  </si>
  <si>
    <t>Rugāju pagasta pārvalde</t>
  </si>
  <si>
    <t>Algotie pagaidu sabiedriskie darbi</t>
  </si>
  <si>
    <t>Balkanu Dabas parks</t>
  </si>
  <si>
    <t>Viļakas pilsētas komunālā saimniecība - atkritumu apsaimniekošana</t>
  </si>
  <si>
    <t>Medņevas komunālā saimniecība -notekūdeņu apsaimniekošana</t>
  </si>
  <si>
    <t>Upītes komunālā saimniecība -notekūdeņu apsaimniekošana</t>
  </si>
  <si>
    <t>Rekavas komunālā saimniecība -notekūdeņu apsaimniekošana</t>
  </si>
  <si>
    <t>Kupravas komunālā saimniecība -notekūdeņu apsaimniekošana</t>
  </si>
  <si>
    <t>Vecumu komunālā saimniecība -notekūdeņu apsaimniekošana</t>
  </si>
  <si>
    <t>Žīguru komunālā saimniecība -notekūdeņu apsaimniekošana</t>
  </si>
  <si>
    <t xml:space="preserve">Ūdenssaimniecības attīstība Rugājos 2.kārta </t>
  </si>
  <si>
    <t>Lazdukalna pagasta komunālā saimniecība</t>
  </si>
  <si>
    <t>Rugāju pagasta komunālā saimniecība</t>
  </si>
  <si>
    <t>Lazdukalna pagasta ūdensapgāde</t>
  </si>
  <si>
    <t>Rugāju pagasta ūdensapgāde</t>
  </si>
  <si>
    <t>Projekts "Dzīvo aktīvs Baltinavā"</t>
  </si>
  <si>
    <t>Kupravas feldšeru punkts</t>
  </si>
  <si>
    <t>Baltinavas muzejs</t>
  </si>
  <si>
    <t>Nemateriālās kultūras mantojuma centrs "Upīte" - tautas nams</t>
  </si>
  <si>
    <t>Medņevas Tautas nams</t>
  </si>
  <si>
    <t>Šķilbēnu pagasta kultūras centrs "Rekova"</t>
  </si>
  <si>
    <t>Skolēnu pārvadāšana Šķilbēnu pārvalde</t>
  </si>
  <si>
    <t>Viļakas mūzikas un mākslas skola</t>
  </si>
  <si>
    <t>Rekavas vidusskola</t>
  </si>
  <si>
    <t>Viduču pamatskola</t>
  </si>
  <si>
    <t>Projekts "Atbalsts izglītojamo individuālo kompetenču attīstībai"</t>
  </si>
  <si>
    <t>Viļakas pirmsskolas izglītības iestāde "Namiņš"</t>
  </si>
  <si>
    <t>Medņevas pirmsskolas izglītības iestāde "Pasaciņa"</t>
  </si>
  <si>
    <t>Eglaines pamatskola</t>
  </si>
  <si>
    <t>Izglītības pārvalde</t>
  </si>
  <si>
    <t>Baltinavas mūzikas un mākslas skola</t>
  </si>
  <si>
    <t>Baltinavas vidusskola</t>
  </si>
  <si>
    <t>Veļas mazgāšanas pakalpojumi (Rugāji)</t>
  </si>
  <si>
    <t>Baltinavas kultūras pasākumi</t>
  </si>
  <si>
    <t>Bērzpils pamatskola</t>
  </si>
  <si>
    <t>Rugāju vidusskola</t>
  </si>
  <si>
    <t>Degradēto teritoriju revitalizācija Austrumu pierobežā</t>
  </si>
  <si>
    <t>Ziemeļlatgales sporta centrs</t>
  </si>
  <si>
    <t>Izglītības pārvaldes pasākumi</t>
  </si>
  <si>
    <t>Kultūras pārvalde</t>
  </si>
  <si>
    <t>Kultūras pārvaldes pasākumi</t>
  </si>
  <si>
    <t>Bijušo pagastu padomju un pilsētu domju vadītāju pabalsti</t>
  </si>
  <si>
    <t>Svētku un atceres dienu pabalsti</t>
  </si>
  <si>
    <t>Balvu novada pašvaldības dzīvojamā fonda atjaunošana</t>
  </si>
  <si>
    <t>Pašvaldības aizņēmumu apkalpošana un procentu maksa</t>
  </si>
  <si>
    <t xml:space="preserve">Lazdukalna pagasta apgaismojuma un ietvju uzturēšana </t>
  </si>
  <si>
    <t xml:space="preserve">Rugāju pagasta apgaismojuma un ietvju uzturēšana </t>
  </si>
  <si>
    <t>Tehniskās dokumentācijas izstrāde</t>
  </si>
  <si>
    <t>Sociālā pārvalde</t>
  </si>
  <si>
    <t>Dienas sociālas aprūpes centrs Benislavā</t>
  </si>
  <si>
    <t>Dienas aprūpes centrs un grupu dzīvokļi (māja) Viļakā</t>
  </si>
  <si>
    <t>Zobārstniecības kabinets  (Rugāju pagastā)</t>
  </si>
  <si>
    <t>Novada teritorijas īpašuma vadība</t>
  </si>
  <si>
    <t xml:space="preserve">Biznesa ideju konkurss </t>
  </si>
  <si>
    <t>Skolēnu pārvadājumi Krišjāņu pagastā</t>
  </si>
  <si>
    <t>Novada teritorijas apsaimniekošana</t>
  </si>
  <si>
    <t>Skolēnu pārvadājumi Lazdulejas pagastā</t>
  </si>
  <si>
    <t>Skolēnu pārvadājumi Bērzkalnes pagastā</t>
  </si>
  <si>
    <t>Skolēnu pārvadājumi Bērzpils pagastā</t>
  </si>
  <si>
    <t>Rubeņu Tautas nams</t>
  </si>
  <si>
    <t>Vecumu pagasta komunālā saimniecība</t>
  </si>
  <si>
    <t>Lazdulejas Saieta nams</t>
  </si>
  <si>
    <t>Bērzpils Saieta nams</t>
  </si>
  <si>
    <t>Skolēnu pārvadājumi Vīksnas pagastā</t>
  </si>
  <si>
    <t>Skolēnu pārvadājumi Rugāju pagastā</t>
  </si>
  <si>
    <t>Baltinavas pagasta ūdensapgāde</t>
  </si>
  <si>
    <t>Balvu pagasta ūdensapgāde</t>
  </si>
  <si>
    <t>Balvu pilsētas pārvalde</t>
  </si>
  <si>
    <t>Naudaskalna Tautas nams</t>
  </si>
  <si>
    <t>Ziemeļlatgales sporta centra pasākumi</t>
  </si>
  <si>
    <t>Vectilžas Sporta un atpūtas centrs</t>
  </si>
  <si>
    <t>Skolēnu pārvadājumi Vectilžas pagastā</t>
  </si>
  <si>
    <t>Skolēnu pārvadājumi Baltinavas pagastā</t>
  </si>
  <si>
    <t>Skolēnu pārvadāšana Viļakā</t>
  </si>
  <si>
    <t>Komisiju darba samaksa</t>
  </si>
  <si>
    <t>Skolēnu pārvadājumi Kubulu pagastā</t>
  </si>
  <si>
    <t>Projekts "Veselības veicināšanas un slimību profilakses pasākumi Viļakā un apkaimē"</t>
  </si>
  <si>
    <t>Skolēnu pārvadājumi Tilžas pagastā</t>
  </si>
  <si>
    <t xml:space="preserve">Nacionālo partizānu mītnes vietnes (pilsētiņas) Stompaku purvā atjaunošana </t>
  </si>
  <si>
    <t>Lazdukalna pagasta autoceļu (ielu) uzturēšana</t>
  </si>
  <si>
    <t>Medņevas pagasta autoceļu (ielu) uzturēšana</t>
  </si>
  <si>
    <t>Kupravas pagasta autoceļu (ielu) uzturēšana</t>
  </si>
  <si>
    <t>Rugāju pagasta autoceļu (ielu) uzturēšana</t>
  </si>
  <si>
    <t>Baltinavas pagasta autoceļu (ielu) uzturēšana</t>
  </si>
  <si>
    <t>Susāju pagasta autoceļu (ielu) uzturēšana</t>
  </si>
  <si>
    <t>Šķilbēnu pagasta autoceļu (ielu) uzturēšana</t>
  </si>
  <si>
    <t>Žīguru pagasta autoceļu (ielu) uzturēšana</t>
  </si>
  <si>
    <t>Viļakas pilsētas autoceļu (ielu) uzturēšana</t>
  </si>
  <si>
    <t>Vecumu pagasta autoceļu (ielu) uzturēšana</t>
  </si>
  <si>
    <t xml:space="preserve">Atbalsts priekšlaicīgas mācību pārtraukšanas samazināšanai </t>
  </si>
  <si>
    <t>Balvu pilsētas stadiona uzturēšana</t>
  </si>
  <si>
    <t>Politiski represēto apvienība Balvu nodaļa</t>
  </si>
  <si>
    <t>Balvu pensionāru biedrība</t>
  </si>
  <si>
    <t>Balvu Teritoriālā Invalīdu biedrība</t>
  </si>
  <si>
    <t>Bērzpils pamatskolas pirmsskolas izglītības grupa Krišjāņos</t>
  </si>
  <si>
    <t>Tilžas pamatskola</t>
  </si>
  <si>
    <t>Tilžas pamatskolas pirmsskolas izglītības grupa Vectilžā</t>
  </si>
  <si>
    <t>Balvu novada Bērnu un jauniešu centrs</t>
  </si>
  <si>
    <t>Sociālie pabalsti</t>
  </si>
  <si>
    <t>Baltinavas muzeja ēkas energoefektivitātes paaugstināšana</t>
  </si>
  <si>
    <t>Rugāju pagasta pārvaldes ēkas energoefektivitātes paaugstināšana</t>
  </si>
  <si>
    <t>Muižas apbūves kompleksa pārbūve 2.kārta</t>
  </si>
  <si>
    <t>t.sk. labiekārtošana</t>
  </si>
  <si>
    <t>Krišjāņu komunālā saimniecība -notekūdeņu apsaimniekošana</t>
  </si>
  <si>
    <t>Krišjāņu komunālā saimniecība - ūdens</t>
  </si>
  <si>
    <t>Krišjāņu komunālā saimniecība - apkure</t>
  </si>
  <si>
    <t>Kubulu komunālā saimniecība -notekūdeņu apsaimniekošana</t>
  </si>
  <si>
    <t>Kubulu komunālā saimniecība - ūdens</t>
  </si>
  <si>
    <t>"Par Balvu novada pašvaldības 2023.gada budžetu"</t>
  </si>
  <si>
    <t>Amatierkolektīvu tautu tērpu iegāde</t>
  </si>
  <si>
    <t>Erasmus + projekts Bērzpils pamatskola</t>
  </si>
  <si>
    <t>Es-Tu-Mēs, well-being Balvu novadā</t>
  </si>
  <si>
    <t>ERAF projekts Balvu mākslas skolas ēkas energoefektivitātes paaugstināšana</t>
  </si>
  <si>
    <t>Vides pieejamības veicināšana Balvu novada Nodarbinātības valsts aģentūrā</t>
  </si>
  <si>
    <t>Rekavas vidusskolas darbnīcu ēkas energoefektivitātes paaugstināšana</t>
  </si>
  <si>
    <t>Balvu sākumskolas pārbūve</t>
  </si>
  <si>
    <t>Bērzpils komunālā saimniecība -notekūdeņu apsaimniekošana</t>
  </si>
  <si>
    <t>Bērzpils komunālā saimniecība - ūdens</t>
  </si>
  <si>
    <t>Tilžas komunālā saimniecība -notekūdeņu apsaimniekošana</t>
  </si>
  <si>
    <t>Tilžas komunālā saimniecība - apkure</t>
  </si>
  <si>
    <t>Tilžas komunālā saimniecība - ūdens</t>
  </si>
  <si>
    <t>AS Balvu Enerģija akciju iegāde</t>
  </si>
  <si>
    <t>Viduču pamatskola Žīguros</t>
  </si>
  <si>
    <t>ERASMUS+ projekts Balvu profesionālā un vispārizglītojošā vidusskola (Pandemi Art)</t>
  </si>
  <si>
    <t>Erasmus + projekts Play, Learn, Act, Ensure Sustainable Development Viļakas Valsts ģimnāzija</t>
  </si>
  <si>
    <t>Klasifikācijas kods</t>
  </si>
  <si>
    <t>Iestādes un pasākumi</t>
  </si>
  <si>
    <t>Finansēšanas avots</t>
  </si>
  <si>
    <t xml:space="preserve">Kopā </t>
  </si>
  <si>
    <t>Vispārējie ieņēmumi</t>
  </si>
  <si>
    <t xml:space="preserve">Budžeta iestāžu ieņēmumi </t>
  </si>
  <si>
    <t>Valsts un pašvaldību transferti</t>
  </si>
  <si>
    <t>Aizņēmumi</t>
  </si>
  <si>
    <t>01.000</t>
  </si>
  <si>
    <t>Vispārējie valdības dienesti</t>
  </si>
  <si>
    <t>Rugāju  pagasta pārvalde</t>
  </si>
  <si>
    <t>03.000</t>
  </si>
  <si>
    <t>Sabiedriskā kārtība un drošība</t>
  </si>
  <si>
    <t>04.000</t>
  </si>
  <si>
    <t>Ekonomiskā darbība</t>
  </si>
  <si>
    <t>Algoti pagaidu sabiedriskie darbi</t>
  </si>
  <si>
    <t>Balvu novada Būvvalde</t>
  </si>
  <si>
    <t>Ziemeļlatgales biznesa  un tūrisma centrs</t>
  </si>
  <si>
    <t>Biznesa ideju konkurss</t>
  </si>
  <si>
    <t>05.000</t>
  </si>
  <si>
    <t>Vides aizsardzība</t>
  </si>
  <si>
    <t>06.000</t>
  </si>
  <si>
    <t>Pašvaldības teritoriju un mājokļu apsaimniekošana</t>
  </si>
  <si>
    <t>Ielu apgaismojums</t>
  </si>
  <si>
    <t xml:space="preserve">Pārējā citur neklasificētā teritoriju un mājokļu apsaimniekošanas darbība </t>
  </si>
  <si>
    <t>Bērzkalnes pagasta komunālā saimniecība</t>
  </si>
  <si>
    <t>P/A "SAN-TEX"</t>
  </si>
  <si>
    <t>07.000</t>
  </si>
  <si>
    <t>Veselība</t>
  </si>
  <si>
    <t>Briežuciema feldšeru veselības punkts</t>
  </si>
  <si>
    <t>Krišjāņu feldšeru veselības punkts</t>
  </si>
  <si>
    <t>Kubulu feldšeru veselības punkts</t>
  </si>
  <si>
    <t>Lazdulejas feldšeru veselības punkts</t>
  </si>
  <si>
    <t>Skujetnieku feldšeru veselības punkts</t>
  </si>
  <si>
    <t>Upītes feldšeru-vecmāšu punkts</t>
  </si>
  <si>
    <t>Vectilžas feldšeru veselības punkts</t>
  </si>
  <si>
    <t>Vīksnas feldšeru veselības punkts</t>
  </si>
  <si>
    <t>Zobārstniecības kabinets (Rugāji)</t>
  </si>
  <si>
    <t>08.000</t>
  </si>
  <si>
    <t>Atpūtas un sporta pasākumi</t>
  </si>
  <si>
    <t>Sporta pasākumi novadā</t>
  </si>
  <si>
    <t>Kultūra</t>
  </si>
  <si>
    <t>Bibliotēkas</t>
  </si>
  <si>
    <t>Muzeji</t>
  </si>
  <si>
    <t>Balvu novada muzejs</t>
  </si>
  <si>
    <t>Kultūras nami</t>
  </si>
  <si>
    <t>Nemateriālās kultūras mantojuma centrs "Upīte"</t>
  </si>
  <si>
    <t>Balvu kultūras un atpūtas centra pasākumi</t>
  </si>
  <si>
    <t>08.600</t>
  </si>
  <si>
    <t>Pārējā citur neklasificētā kultūra</t>
  </si>
  <si>
    <t>Nacionālo partizānu mītnes vietnes (pilsētiņas) Stompaku purvā atjaunošana</t>
  </si>
  <si>
    <t>09.000</t>
  </si>
  <si>
    <t>Izglītība</t>
  </si>
  <si>
    <t>Pirmsskolas izglītība</t>
  </si>
  <si>
    <t>Pamatizglītība, vispārējā un profesionālā izglītība</t>
  </si>
  <si>
    <t>Pamatskola</t>
  </si>
  <si>
    <t>Bērzpils pamatskolas Krišjāņu pirmsskolas grupa</t>
  </si>
  <si>
    <t>Vidusskolas</t>
  </si>
  <si>
    <t>Interešu un profesionālās ievirzes izglītība</t>
  </si>
  <si>
    <t>Peldbaseins</t>
  </si>
  <si>
    <t>Balvu Bērnu un jauniešu centrs</t>
  </si>
  <si>
    <t>Pārējā izglītības vadība</t>
  </si>
  <si>
    <t>Pārējie citur neklasificētie izglītības pakalpojumi</t>
  </si>
  <si>
    <t>10.000</t>
  </si>
  <si>
    <t>Sociālā aizsardzība</t>
  </si>
  <si>
    <t>Pārējais citur neklasificēts atbalsts sociāli atstumtām personām</t>
  </si>
  <si>
    <t>Dotācijas biedrībām aktivitāšu atbalstam</t>
  </si>
  <si>
    <t>Asistenta pakalpojumi personām ar invaliditāti</t>
  </si>
  <si>
    <t>Rugāju komunālā saimniecība - notekūdeņu apsaimniekošana</t>
  </si>
  <si>
    <t>Baltinavas komunālā saimniecība - notekūdeņu apsaimniekošana</t>
  </si>
  <si>
    <t>Lazdukalna komunālā saimniecība - notekūdeņu apsaimniekošana</t>
  </si>
  <si>
    <t>Kupravas pagasta komunālā saimniecība</t>
  </si>
  <si>
    <t>Medņevas pagasta komunālā saimniecība</t>
  </si>
  <si>
    <t>Šķilbēnu pagasta komunālā saimniecība</t>
  </si>
  <si>
    <t>Vecumu pagasta teritorijas apsaimniekošana</t>
  </si>
  <si>
    <t>Rekavas komunālā saimniecība - apkure</t>
  </si>
  <si>
    <t>Žīguru komunālā saimniecība - ūdens</t>
  </si>
  <si>
    <t>Ieņēmumi</t>
  </si>
  <si>
    <t>I</t>
  </si>
  <si>
    <t>IEŅĒMUMI KOPĀ</t>
  </si>
  <si>
    <t>Nodokļu ieņēmumi</t>
  </si>
  <si>
    <t>1.0.0.0.</t>
  </si>
  <si>
    <t>IENĀKUMA NODOKĻI</t>
  </si>
  <si>
    <t>1.1.1.0</t>
  </si>
  <si>
    <t>Iedzīvotāju ienākuma nodoklis</t>
  </si>
  <si>
    <t>1.1.1.2</t>
  </si>
  <si>
    <t>4.0.0.0.</t>
  </si>
  <si>
    <t>ĪPAŠUMA NODOKĻI</t>
  </si>
  <si>
    <t>4.1.0.0</t>
  </si>
  <si>
    <t>Nekustamā īpašuma nodoklis</t>
  </si>
  <si>
    <t>4.1.1.0</t>
  </si>
  <si>
    <t>Nekustamā īpašuma nodoklis par zemi</t>
  </si>
  <si>
    <t>4.1.1.1</t>
  </si>
  <si>
    <t>Nekustamā īpašuma nodokļa par zemi kārtējā saimnieciskā gada ieņēmumi</t>
  </si>
  <si>
    <t>4.1.1.2</t>
  </si>
  <si>
    <t>Nekustamā īpašuma nodoklis par zemi-iepriekšējo gadu parādi</t>
  </si>
  <si>
    <t>4.1.2.0</t>
  </si>
  <si>
    <t>Nekustamā īpašuma nodokļi par ēkām</t>
  </si>
  <si>
    <t>4.1.2.1</t>
  </si>
  <si>
    <t>Nekustamā īpašuma nodoklis par ēkām kārtējā  gada maksājumi</t>
  </si>
  <si>
    <t>t.sk. par inženierbūvēm</t>
  </si>
  <si>
    <t>4.1.2.2</t>
  </si>
  <si>
    <t>Nekustamā īpašuma nodoklis par ēkām-iepriekšējo gadu parādi</t>
  </si>
  <si>
    <t>4.1.3.0</t>
  </si>
  <si>
    <t>Nekustamā īpašuma nodokļi par mājokļiem</t>
  </si>
  <si>
    <t>4.1.3.1.</t>
  </si>
  <si>
    <t>Nekustamā īpašuma nodokļa par mājokļiem kārtējā saimnieciskā gada ieņēmumi</t>
  </si>
  <si>
    <t>4.1.3.2.</t>
  </si>
  <si>
    <t>5.0.0.0.</t>
  </si>
  <si>
    <t xml:space="preserve">NODOKĻI PAR PAKALPOJUMIEM UN PRECĒM </t>
  </si>
  <si>
    <t>5.4.0.0.</t>
  </si>
  <si>
    <t>Nodokļi par atsevišķām precēm un pakalpojumu veidiem</t>
  </si>
  <si>
    <t>5.4.1.0</t>
  </si>
  <si>
    <t>Azartspēļu nodoklis</t>
  </si>
  <si>
    <t>5.5.0.0.</t>
  </si>
  <si>
    <t>Nodokļi un maksājumi par tiesībām lietot atsevišķas preces</t>
  </si>
  <si>
    <t>5.5.3.0.</t>
  </si>
  <si>
    <t>Dabas resursu nodoklis</t>
  </si>
  <si>
    <t>Nenodokļu ieņēmumi</t>
  </si>
  <si>
    <t>8.0.0.0.</t>
  </si>
  <si>
    <t>Ieņēmumi no uzņēmējdarbības un īpašuma</t>
  </si>
  <si>
    <t>8.6.0.0.</t>
  </si>
  <si>
    <t>Procentu ieņēmumi par depozītiem, kontu atlikumiem, valsts parāda vērtspapīriem un atlikto maksājumu</t>
  </si>
  <si>
    <t>9.0.0.0.</t>
  </si>
  <si>
    <t>VALSTS (PAŠVALDĪBU) NODEVAS UN KANCELEJAS NODEVAS</t>
  </si>
  <si>
    <t>9.4.0.0.</t>
  </si>
  <si>
    <t>Valsts nodevas, kuras ieskaita valsts budžetā</t>
  </si>
  <si>
    <t>9.4.2.0.</t>
  </si>
  <si>
    <t>Valsts nodeva par apliecinājumiem un citu funkciju pildīšanu bāriņtiesās</t>
  </si>
  <si>
    <t>9.4.5.0.</t>
  </si>
  <si>
    <t>Valsts nodeva par civilstāvokļa aktu reģistrēšanu, grozīšanu un papildināšanu</t>
  </si>
  <si>
    <t>9.4.9.0.</t>
  </si>
  <si>
    <t>Pārējās valsts nodevas, kuras ieskaita pašvaldību budžetos</t>
  </si>
  <si>
    <t>9.5.0.0.</t>
  </si>
  <si>
    <t>Pašvaldības nodevas</t>
  </si>
  <si>
    <t>9.5.1.2.</t>
  </si>
  <si>
    <t>Pašvaldības nodeva par izklaidējoša rakstura pasākumu sarīkošanu publiskās vietās</t>
  </si>
  <si>
    <t>9.5.1.4.</t>
  </si>
  <si>
    <t>Pašvaldības nodeva par tirdzniecību publiskās vietās</t>
  </si>
  <si>
    <t>9.5.1.7.</t>
  </si>
  <si>
    <t>9.5.2.1.</t>
  </si>
  <si>
    <t>9.5.2.9.</t>
  </si>
  <si>
    <t>Pārējās nodevas, ko uzliek pašvaldības</t>
  </si>
  <si>
    <t>10.0.0.0.</t>
  </si>
  <si>
    <t>NAUDAS SODI UN SANKCIJAS</t>
  </si>
  <si>
    <t>10.1.4.0.</t>
  </si>
  <si>
    <t xml:space="preserve">Naudas sodi, ko uzliek pašvaldības </t>
  </si>
  <si>
    <t>10.1.5.0.</t>
  </si>
  <si>
    <t>Naudas sodi, ko uzliek pašvaldību institūcijas  par pārkāpumiem ceļu satiksmē</t>
  </si>
  <si>
    <t>12.0.0.0.</t>
  </si>
  <si>
    <t>PĀRĒJIE NENODOKĻU IEŅĒMUMI</t>
  </si>
  <si>
    <t>12.3.9.9.</t>
  </si>
  <si>
    <t>Pārējie dažādi nenodokļu ieņēmumi, kas nav iepriekš klasificēti šajā klasifikācijā</t>
  </si>
  <si>
    <t>13.0.0.0.</t>
  </si>
  <si>
    <t>IEŅĒMUMI NO VALSTS (PAŠVALDĪBAS) ĪPAŠUMA IZNOMĀŠANAS  PĀRDOŠANAS</t>
  </si>
  <si>
    <t>13.1.0.0.</t>
  </si>
  <si>
    <t>Ieņēmumi no ēku un būvju īpašuma pārdošanas</t>
  </si>
  <si>
    <t>13.2.0.0.</t>
  </si>
  <si>
    <t>Ieņēmumi no zemes, mežu īpašuma pārdošanas</t>
  </si>
  <si>
    <t>13.2.1.0.</t>
  </si>
  <si>
    <t>Ieņēmumi no zemes īpašuma pārdošanas</t>
  </si>
  <si>
    <t>17.0.0.0.</t>
  </si>
  <si>
    <t>NO VALSTS BUDŽETA DAĻĒJI FINANSĒTO PUBLISKO PERSONU UN BUDŽETA NEFINANSĒTO IESTĀŽU TRANSFERTI</t>
  </si>
  <si>
    <t>Latgales plānošanas reģiona finansējums projektam "Deinstitucionalizācijas pasākumu īstenošana Latgales reģionā"</t>
  </si>
  <si>
    <t>17.2.0.0.</t>
  </si>
  <si>
    <t>18.0.0.0.</t>
  </si>
  <si>
    <t>VALSTS BUDŽETA TRANSFERTI</t>
  </si>
  <si>
    <t>18.6.2.0.</t>
  </si>
  <si>
    <t>Pašvaldības saņemtie valsts budžeta transferti noteiktam mērķim</t>
  </si>
  <si>
    <t>Mērķdotācijas pašvaldību pamata un vispārējās izglītības iestāžu pedagogu darba samaksai un valsts sociālās apdrošināšanas obligātajām iemaksām</t>
  </si>
  <si>
    <t>Mērķdotācijas pašvaldību profesionālās pamatizglītības, arodizglītības un profesionālās vidējās izglītības programmu pedagogu darba samaksai un valsts sociālās apdrošināšanas obligātajām iemaksām</t>
  </si>
  <si>
    <t>Mērķdotācija interešu izglītības programmu pedagogu daļējai darba samaksai un valsts sociālās apdrošināšanas obligātajām iemaksām</t>
  </si>
  <si>
    <t>Mērķdotācija audžuģimenēm par bērna uzturnaudas palielināšanu</t>
  </si>
  <si>
    <t>Valsts dotācija autoceļu (ielu) uzturēšanai</t>
  </si>
  <si>
    <t>Valsts dotācija sporta skolai</t>
  </si>
  <si>
    <t>Valsts dotācija mūzikas un mākslas skolām</t>
  </si>
  <si>
    <t>Valsts dotācija 1.-4.klašu brīvpusdienu daļējai apmaksai</t>
  </si>
  <si>
    <t>MD māksliniecisko kolektīvu vadītāju darba samaksai un valsts sociālās apdrošināšanas obligātajām iemaksām</t>
  </si>
  <si>
    <t>Valsts un pašvaldības vienotā klientu apkalpošanas centra uzturēšana</t>
  </si>
  <si>
    <t>Latvijas Skolas soma</t>
  </si>
  <si>
    <t>Feldšerpunktu dotācija</t>
  </si>
  <si>
    <t>LM finansējums asistenta pakalpojumiem personām ar invaliditāti</t>
  </si>
  <si>
    <t>Valsts dotācija mājokļa pabalstam</t>
  </si>
  <si>
    <t>18.6.3.0.</t>
  </si>
  <si>
    <t>Pašvaldību no valsts budžeta iestādēm saņemtie transferti ES politiku instrumentu un pārējās ārvalstu finanšu palīdzības līdzfinansētajiem projektiem (pasākumiem)</t>
  </si>
  <si>
    <t>18.6.4.0.</t>
  </si>
  <si>
    <t>Pašvaldību budžetā saņemta dotācijas no pašvaldības finanšu izlīdzināšanas fonda</t>
  </si>
  <si>
    <t>Maksas pakalpojumi un citi pašu ieņēmumi</t>
  </si>
  <si>
    <t>21.3.0.0.</t>
  </si>
  <si>
    <t>Ieņēmumi no budžeta iestāžu sniegtajiem maksas pakalpojumiem un citi pašu ieņēmumi</t>
  </si>
  <si>
    <t>21.3.5.0.</t>
  </si>
  <si>
    <t>Maksa par izglītības pakalpojumiem</t>
  </si>
  <si>
    <t>21.3.7.0.</t>
  </si>
  <si>
    <t>Ieņēmumi par dokumentu izsniegšanu un kancelejas pakalpojumiem</t>
  </si>
  <si>
    <t>21.3.8.0.</t>
  </si>
  <si>
    <t>Ieņēmumi par nomu un īri</t>
  </si>
  <si>
    <t>21.3.8.1.</t>
  </si>
  <si>
    <t>21.3.8.3.</t>
  </si>
  <si>
    <t>Ieņēmumi no kustamā īpašuma iznomāšanas</t>
  </si>
  <si>
    <t>21.3.8.4.</t>
  </si>
  <si>
    <t>Ieņēmumi par zemes nomu</t>
  </si>
  <si>
    <t>21.3.8.9.</t>
  </si>
  <si>
    <t>Pārējie ieņēmumi par nomu un īri</t>
  </si>
  <si>
    <t>21.3.9.0.</t>
  </si>
  <si>
    <t>Ieņēmumi par pārējiem budžeta iestāžu sniegtajiem maksas pakalpojumiem</t>
  </si>
  <si>
    <t>21.3.9.1.</t>
  </si>
  <si>
    <t>Maksa par personu uzturēšanos sociālās aprūpes iestādēs</t>
  </si>
  <si>
    <t>21.3.9.2.</t>
  </si>
  <si>
    <t>Ieņēmumi no pacientu iemaksām un sniegtajiem rehabilitācijas un ārstniecības pakalpojumiem</t>
  </si>
  <si>
    <t>21.3.9.3.</t>
  </si>
  <si>
    <t>Ieņēmumi par biļešu realizāciju</t>
  </si>
  <si>
    <t>21.3.9.4.</t>
  </si>
  <si>
    <t>Ieņēmumi par dzīvokļu un komunālajiem pakalpojumiem</t>
  </si>
  <si>
    <t>21.3.9.4.2.</t>
  </si>
  <si>
    <t>21.3.9.4.3.</t>
  </si>
  <si>
    <t>Apsaimniekošanas maksa</t>
  </si>
  <si>
    <t xml:space="preserve">21.3.9.9. </t>
  </si>
  <si>
    <t>Citi ieņēmumi par maksas pakalpojumiem</t>
  </si>
  <si>
    <t>21.3.9.9.1.</t>
  </si>
  <si>
    <t>Ieņēmumi par skolēnu ēdināšanu</t>
  </si>
  <si>
    <t>21.3.9.9.2.</t>
  </si>
  <si>
    <t>Peldbaseina ieņēmumi</t>
  </si>
  <si>
    <t>21.3.9.9.4.</t>
  </si>
  <si>
    <t>Maksas pakalpojumi</t>
  </si>
  <si>
    <t>21.3.9.9.7.</t>
  </si>
  <si>
    <t>Ieņēmumi no darbinieku ēdināšanas</t>
  </si>
  <si>
    <t>21.4.0.0.</t>
  </si>
  <si>
    <t>21.4.2.9.</t>
  </si>
  <si>
    <t>Pārējie iepriekš neklasificētie īpašiem mērķiem noteiktie ieņēmumi</t>
  </si>
  <si>
    <t>21.4.9.0.</t>
  </si>
  <si>
    <t>Citi iepriekš neklasificētie pašu ieņēmumi</t>
  </si>
  <si>
    <t>1.pielikums</t>
  </si>
  <si>
    <t>Rādītāju nosaukumi</t>
  </si>
  <si>
    <t>Budžeta kategoriju kodi</t>
  </si>
  <si>
    <t>I IEŅĒMUMI - kopā</t>
  </si>
  <si>
    <t xml:space="preserve">  Ieņēmumi no iedzīvotāju ienākuma nodokļa</t>
  </si>
  <si>
    <t xml:space="preserve">  1.1.0.0.</t>
  </si>
  <si>
    <t xml:space="preserve">  Nekustamā īpašuma nodoklis</t>
  </si>
  <si>
    <t xml:space="preserve">  4.1.0.0.</t>
  </si>
  <si>
    <t>NODOKĻI PAR PAKALPOJUMIEM UN PRECĒM</t>
  </si>
  <si>
    <t xml:space="preserve">  Nodokļi un maksājumi par tiesībām lietot atsevišķas preces</t>
  </si>
  <si>
    <t xml:space="preserve">  5.5.0.0.</t>
  </si>
  <si>
    <t>IEŅĒMUMI NO UZŅĒMĒJDARBĪBAS UN ĪPAŠUMA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</si>
  <si>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</si>
  <si>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</si>
  <si>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</si>
  <si>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</si>
  <si>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 xml:space="preserve">  Naudas sodi</t>
  </si>
  <si>
    <t xml:space="preserve">  10.1.0.0.</t>
  </si>
  <si>
    <t xml:space="preserve">  Citi dažādi nenodokļu ieņēmumi</t>
  </si>
  <si>
    <t>12.3.0.0.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</si>
  <si>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</si>
  <si>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</si>
  <si>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</si>
  <si>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</si>
  <si>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</si>
  <si>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>No valsts budžeta daļēji finansēto atvasināto publisko personu un budžeta nefinansēto iestāžu transferti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</si>
  <si>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</si>
  <si>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</si>
  <si>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</si>
  <si>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 xml:space="preserve">  Pašvaldību saņemtie transferti no valsts budžeta</t>
  </si>
  <si>
    <t xml:space="preserve">  18.6.0.0.</t>
  </si>
  <si>
    <t>Budžeta iestāžu ieņēmumi</t>
  </si>
  <si>
    <t>21.0.0.0.</t>
  </si>
  <si>
    <t xml:space="preserve">  Ieņēmumi no budžeta iestāžu sniegtajiem maksas pakalpojumiem un citi pašu ieņēmumi</t>
  </si>
  <si>
    <t xml:space="preserve">  21.3.0.0.</t>
  </si>
  <si>
    <t xml:space="preserve">  21.4.0.0.</t>
  </si>
  <si>
    <t>II IZDEVUMI - kopā</t>
  </si>
  <si>
    <t/>
  </si>
  <si>
    <t>Izdevumi atbilstoši funkcionālajām kategorijām</t>
  </si>
  <si>
    <t>Teritoriju un mājokļu apsaimniekošana</t>
  </si>
  <si>
    <t>Atpūta, kultūra un reliģija</t>
  </si>
  <si>
    <t>Izdevumi atbilstoši ekonomiskajām kategorijām</t>
  </si>
  <si>
    <t>Atlīdzība</t>
  </si>
  <si>
    <t>1000</t>
  </si>
  <si>
    <t>2000</t>
  </si>
  <si>
    <t>3000</t>
  </si>
  <si>
    <t>Procentu izdevumi</t>
  </si>
  <si>
    <t>4000</t>
  </si>
  <si>
    <t>5000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</si>
  <si>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</si>
  <si>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</si>
  <si>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</si>
  <si>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</si>
  <si>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</si>
  <si>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</si>
  <si>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</si>
  <si>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</si>
  <si>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</si>
  <si>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</si>
  <si>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</si>
  <si>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</si>
  <si>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</si>
  <si>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</si>
  <si>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</si>
  <si>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>F40020000</t>
  </si>
  <si>
    <t xml:space="preserve">  Saņemtie aizņēmumi</t>
  </si>
  <si>
    <t xml:space="preserve">  Saņemto aizņēmumu atmaksa</t>
  </si>
  <si>
    <t xml:space="preserve">  F40020020</t>
  </si>
  <si>
    <t>Valsts dotācija sociālās aprūpes centru iemītniekiem</t>
  </si>
  <si>
    <t>Balvu muižas apbūves tematiskā plānojuma izstrāde</t>
  </si>
  <si>
    <t>F40020010</t>
  </si>
  <si>
    <t>Atlikums             uz gada sākumu</t>
  </si>
  <si>
    <t>Ģimenei draudzīgākā pašvaldība 2022</t>
  </si>
  <si>
    <t>Valsts dotācija Ukrainas civiliedzīvotāju izmitināšanas iespējām</t>
  </si>
  <si>
    <t>Ukrainas civiliedzīvotāju izmitināšanas iespējām</t>
  </si>
  <si>
    <t>Veļas mājas pakalpojumi iedzīvotājiem Baltinavā</t>
  </si>
  <si>
    <t>Projekts ERASMUS+ akreditācija
Nr. 2021-1-LV01-KA121-SCH-000006935 2 Rugāju vidusskola</t>
  </si>
  <si>
    <t>Atbalsts mājsaimniecībām apkures izdevumu kompensēšanai</t>
  </si>
  <si>
    <t>Valsts dotācija Ukrainas civiliedzīvotāju atbalstam</t>
  </si>
  <si>
    <t>Atbalsts Ukrainas civiliedzīvotājiem un izmitināšanas iespējām</t>
  </si>
  <si>
    <t>Dotācija asistentu pakalpojumu nodrošināšanai</t>
  </si>
  <si>
    <t>Ieņēmumi par nedzīvojamā nekustamā īpašuma nomu</t>
  </si>
  <si>
    <t>PAŠVALDĪBU BUDŽETU TRANSFERTI</t>
  </si>
  <si>
    <t>19.0.0.0.</t>
  </si>
  <si>
    <t>19.2.0.0.01.</t>
  </si>
  <si>
    <t>Pašvaldību budžetu transferti</t>
  </si>
  <si>
    <t>19.0.0.0</t>
  </si>
  <si>
    <t>Pašvaldību saņemtie transferti no citām pašvaldībām</t>
  </si>
  <si>
    <t>19.2.0.0.</t>
  </si>
  <si>
    <t>Apstiprināts 2023. gadam (EUR)</t>
  </si>
  <si>
    <t>Apstiprināts 2023.gadam (EUR)</t>
  </si>
  <si>
    <t>Vectilžas komunālā saimniecība - ūdens</t>
  </si>
  <si>
    <t>Vīksnas pagasta komunālā saimniecība-ūdens</t>
  </si>
  <si>
    <t>Bērzkalnes komunālā saimniecība - ūdens</t>
  </si>
  <si>
    <t>Briežuciema komunālā saimniecība - ūdens</t>
  </si>
  <si>
    <t>Lazdulejas komunālā saimniecība - ūdens</t>
  </si>
  <si>
    <t>Bērzkalnes komunālā saimniecība - notekūdeņu apsaimniekošana</t>
  </si>
  <si>
    <t>Briežuciema komunālā saimniecība - notekūdeņu apsaimniekošana</t>
  </si>
  <si>
    <t>Lazdulejas komunālā saimniecība - notekūdeņu apsaimniekošana</t>
  </si>
  <si>
    <t>Briežuciema komunālā saimniecība -notekūdeņu apsaimniekošana</t>
  </si>
  <si>
    <t>Vīksnas komunālā saimniecība -notekūdeņu apsaimniekošana</t>
  </si>
  <si>
    <t>Vīksnas komunālā saimniecība - ūdens</t>
  </si>
  <si>
    <t>Vidzemes ielas pārbūve</t>
  </si>
  <si>
    <t>Bērzkalnes komunālā saimniecība -notekūdeņu apsaimniekošana</t>
  </si>
  <si>
    <t>Autoceļu (ielu) uzturēšanas līdzekļu rezerves fonds</t>
  </si>
  <si>
    <t>Balvu pilsētas stadiona rekonstrukcija</t>
  </si>
  <si>
    <t>Projekts "Strengthening the entrepreneurial environment of the Balvi municipality"</t>
  </si>
  <si>
    <t>Baltinavas pagasta teritorijas apsaimniekošana</t>
  </si>
  <si>
    <t>Skolēnu pārvadāšana Susāju pārvalde</t>
  </si>
  <si>
    <t>Balvu novada domes</t>
  </si>
  <si>
    <t>Pašvaldības nodeva par būvatļaujas izdošanu vai būvniecības ieceres akceptu</t>
  </si>
  <si>
    <t>Rugāju Tautas nams</t>
  </si>
  <si>
    <t>Lazdukalna Saieta nams</t>
  </si>
  <si>
    <t>Pašvaldības infrastruktūras attīstība, uzlabojot pakalpojumu efektivitāti "Upītes Kultūrtelpā"</t>
  </si>
  <si>
    <t>Tilžas pamatskolas pirmsskolas izglītības grupa Tilžā</t>
  </si>
  <si>
    <t>Erasmus projekts "Bilimi T @kipteyiz" 2020-1-TR01-KA229-094355_2</t>
  </si>
  <si>
    <t>ERASMUS+ "My e story" projekts Balvu profesionālā un             vispārizglītojošā vidusskola 2020-1-ES01-KA229- 078654_2</t>
  </si>
  <si>
    <t>ERASMUS+ "Health For Body" projekts Balvu profesionālā un    vispārizglītojošā vidusskola 2020-1-BG01-KA229- 079124_4</t>
  </si>
  <si>
    <t>ERASMUS+ "Health For Body" projekts Balvu profesionālā    un vispārizglītojošā vidusskola 2020-1-BG01-KA229- 079124_4</t>
  </si>
  <si>
    <t>ERASMUS+ "My e story" projekts Balvu profesionālā un          vispārizglītojošā vidusskola 2020-1-ES01-KA229- 078654_2</t>
  </si>
  <si>
    <t>Žīguru Kultūras nams</t>
  </si>
  <si>
    <t>Viļakas Kultūras nams</t>
  </si>
  <si>
    <t>Tilžas Kultūras un vēstures nams</t>
  </si>
  <si>
    <t>Kubulu Kultūras nams</t>
  </si>
  <si>
    <t>Baltinavas Kultūras nams</t>
  </si>
  <si>
    <t>Latvijas neredzīgo biedrība</t>
  </si>
  <si>
    <t>Kubulu pagasta ielu pārbūve</t>
  </si>
  <si>
    <t>Dotācijas nevalstiskajām organizācijām, biedrībām projektu līdzfinansējumam, priekšfinansējumam</t>
  </si>
  <si>
    <t>Ekspozīcijas "Viļakas apkārtne vēstures līkločos" 1. posma realizācija. Viļakas muzejs.</t>
  </si>
  <si>
    <t>Ukrainas civiliedzīvotāju mērķdotācija pabalstu izmaksām</t>
  </si>
  <si>
    <t>Valsts atbalsts pašvaldībām sociālo darbinieku atlīdzības palielināšanai</t>
  </si>
  <si>
    <t>Nekustamā īpašuma nodoklis par mājokļiem-iepriekšējo gadu parādi</t>
  </si>
  <si>
    <t>Pašvaldības nodeva par reklāmas, afišu un sludinājumu izvietošanu publiskajās vietās</t>
  </si>
  <si>
    <t>Pašvaldību saņemtie transferti no valsts budžeta daļēji atvasinātām publiskām personām un no budžeta nefinansētām iestādēm</t>
  </si>
  <si>
    <t>Mērķdotācijas pašvaldības izglītības iestāžu piecgadīgo un sešgadīgo bērnu apmācības pedagogu darba samaksai un valsts soc.apdrošināšanas obligātajām iemaksām</t>
  </si>
  <si>
    <t>Valsts dotācija projektam "Pašvaldības infrastruktūras attīstība, uzlabojot pakalpojumu efektivitāti "Upītes Kultūrtelpā""</t>
  </si>
  <si>
    <t>Dotācija no līdzekļiem neparedzētiem gadījumiem atskurbtuves uzturēšanai</t>
  </si>
  <si>
    <t>Ieņēmumi izglītības funkciju nodrošināšanai</t>
  </si>
  <si>
    <t>Ieņēmumi par komunāliem pakalpojumiem</t>
  </si>
  <si>
    <t>Viļakas pilsētas komunālā saimniecība-notekūdeņu apsaimniekošana</t>
  </si>
  <si>
    <t>Vīksnas komunālā saimniecība-notekūdeņu apsaimniekošana</t>
  </si>
  <si>
    <t>Balvu profesionālā un vispārizglītojošā vidusskola</t>
  </si>
  <si>
    <t>Balvu profesionālās un vispārizglītojošās vidusskolas tālākizglītības centrs</t>
  </si>
  <si>
    <t>7.Starptautiskais mākslas plenērs Valdis Bušs 2023</t>
  </si>
  <si>
    <t>Projekts "Lasītāji satiek rakstniekus 2023" Balvu Centrālā bibliotēka</t>
  </si>
  <si>
    <t>Projekts "Akordeona iegāde Viļakas mūzikas un mākslas skolai"</t>
  </si>
  <si>
    <t>XXVII Vispārējie latviešu Dziesmu un XVII Deju svētki</t>
  </si>
  <si>
    <t>Apstiprināts ar grozījumiem 2023. gadam (EUR)</t>
  </si>
  <si>
    <t>Grozījumi (EUR)</t>
  </si>
  <si>
    <t>Grozījumi</t>
  </si>
  <si>
    <t>Projekts Erasmus+ "Demokrātijas formula" Balvu Bērnu un jauniešu centrs</t>
  </si>
  <si>
    <t>19.2.0.0.06.</t>
  </si>
  <si>
    <t>Pārrobežu sadarbības programmas projekts "Not just Books"</t>
  </si>
  <si>
    <t>Pārrobežu sadarbības programmas projekts "Hobby-business"</t>
  </si>
  <si>
    <t>Pārrobežu sadarbības programmas projekts "Strengthening traditional crafts of Latgale"</t>
  </si>
  <si>
    <t>Pārrobežu sadarbības programmas projekts "Green Palette v2.0"</t>
  </si>
  <si>
    <t>Projektrs Nr. CERV-2022-CITIZENS-TOWN-NT "Green youth empowerment"</t>
  </si>
  <si>
    <t>Latvijas Bērnu fonds</t>
  </si>
  <si>
    <t>Pārrobežu sadarbības programmas projekts "Greenways of Latvia"</t>
  </si>
  <si>
    <t>Sporta, kultūras biedrību atbalsts</t>
  </si>
  <si>
    <t xml:space="preserve">  Kapitāldaļu iegāde līdzdalībai radniecīgo komersantu kapitālā</t>
  </si>
  <si>
    <t xml:space="preserve">  F55010012</t>
  </si>
  <si>
    <t>Skolēnu nodarbinātība vasarā</t>
  </si>
  <si>
    <t>Nodarbinātības valsts aģentūra - skolēnu nodarbinātība vasarā</t>
  </si>
  <si>
    <t>Projekts Nr. CERV-2022-CITIZENS-TOWN-NT "Green youth empowerment"</t>
  </si>
  <si>
    <t>Viļakas vidusskola</t>
  </si>
  <si>
    <t>Valsts budžeta dotācija pašvaldībām ar zemākajiem ienākumiem</t>
  </si>
  <si>
    <t>Projekts "Interešu izglītības programmu ieviešana Latgales reģiona izglītības iestādēs"</t>
  </si>
  <si>
    <t>Operatīvā līzingā ņemto automašīnu iegāde</t>
  </si>
  <si>
    <t>XVII Latgales senioru dziesmu un deju festivāls</t>
  </si>
  <si>
    <t>Baltinavas pagasta zūdošie ciemi</t>
  </si>
  <si>
    <t>Dzīšmu skreine - Baļtinovas etnogrāfisko ansambļa dzīdotos dzīsmes</t>
  </si>
  <si>
    <t>Latgales grāmatniecības īpašas lappuses</t>
  </si>
  <si>
    <t>ERAF projekta (Nr.5.6.2.0/20/I/017) "Degradēto teritoriju revitalizācija Austrumu pierobežā" īstenošanai</t>
  </si>
  <si>
    <t>Palīdzība iedzīvotājiem nelaimes gadījumā</t>
  </si>
  <si>
    <t>13.4.0.0.</t>
  </si>
  <si>
    <t>Ieņēmumi no kustamās mantas pārdošanas</t>
  </si>
  <si>
    <t>Industriālās teritorijas attīstība, revitalizējot īpašumus Balvu novadā</t>
  </si>
  <si>
    <t>Valsts finansējums Vispārējiem latviešu Dziesmu un Dēju svētkiem</t>
  </si>
  <si>
    <t>Valsts dotācija mācību grāmatu un mācību līdzekļu iegādei</t>
  </si>
  <si>
    <t>Ieņēmumi sociālo funkciju nodrošināšanai no citām pašvaldībām</t>
  </si>
  <si>
    <t>19.2.0.0.05.</t>
  </si>
  <si>
    <t>Valsts dotācija sociālo darbinieku atalgojuma palielināšanai</t>
  </si>
  <si>
    <t xml:space="preserve">Mērķdotācija latgaliešu rakstu valodas apguves nodrošināšanai 
</t>
  </si>
  <si>
    <t>21.1.0.0.</t>
  </si>
  <si>
    <t>21.1.9.0.</t>
  </si>
  <si>
    <t>21.1.9.4.</t>
  </si>
  <si>
    <t>Iestādes ieņēmumi no ārvalstu finanšu palīdzības</t>
  </si>
  <si>
    <t>Ieņēmumi no citu Eiropas Savienības politiku instrumentu līdzfinansēto projektu un pasākumu īstenošanas un citu valstu finanšu palīdzības programmu īstenošanas</t>
  </si>
  <si>
    <t xml:space="preserve"> Ieņēmumi no vadošā partnera partneru grupas īstenotajiem ārvalstu finanšu palīdzības projektiem</t>
  </si>
  <si>
    <t>Dotācijas reliģisko organizāciju aktivitātēm</t>
  </si>
  <si>
    <t>Valsts ģimnāziju dotācija metodiskā centra uzturēšanai</t>
  </si>
  <si>
    <t>Zivju resursu pavairošana Balvu novada ezeros 2023.gadā</t>
  </si>
  <si>
    <t>Uzņēmējdarbības atbalsta pasākumi Latgales plānošanas reģionā</t>
  </si>
  <si>
    <t>Atbalsts trīnīšu ģimenei</t>
  </si>
  <si>
    <t>"Par Balvu novada pašvaldības budžetu 2023. gadam""</t>
  </si>
  <si>
    <t>4. pielikums</t>
  </si>
  <si>
    <t>"Grozījumi 2023. gada 23. marta saistošajos noteikumos Nr. 4/2023</t>
  </si>
  <si>
    <t>2023. gada 28. decembra saistošajiem noteikumiem Nr. 25/2023</t>
  </si>
  <si>
    <t>2023. gada 23. marta saistošajiem noteikumiem Nr. 4/2023</t>
  </si>
  <si>
    <t>"Par Balvu novada pašvaldības 2023. gada budžetu"</t>
  </si>
  <si>
    <t>Balvu novada pašvaldības 2023. gada  pamatbudžeta izdevumi atbilstoši ekonomiskajām kategorijām (EUR)</t>
  </si>
  <si>
    <r>
      <rPr>
        <sz val="11"/>
        <rFont val="Times New Roman"/>
        <family val="1"/>
        <charset val="186"/>
      </rPr>
      <t xml:space="preserve">Balvu novada domes priekšsēdētājs </t>
    </r>
    <r>
      <rPr>
        <i/>
        <sz val="11"/>
        <rFont val="Times New Roman"/>
        <family val="1"/>
        <charset val="186"/>
      </rPr>
      <t>S. Maksimovs</t>
    </r>
  </si>
  <si>
    <t>3. pielikums</t>
  </si>
  <si>
    <t>Balvu novada pašvaldības pamatbudžeta izdevumi 2023. gadam (EUR)</t>
  </si>
  <si>
    <r>
      <t xml:space="preserve">Balvu novada domes priekšsēdētājs </t>
    </r>
    <r>
      <rPr>
        <i/>
        <sz val="12"/>
        <rFont val="Times New Roman"/>
        <family val="1"/>
        <charset val="186"/>
      </rPr>
      <t>S. Maksimovs</t>
    </r>
  </si>
  <si>
    <t>Projekts "Dzīvo vesels" - veselīga dzīvesveida un  profilakses veicināšanas pasākumi Rugāju un Lazdukalna pagastu iedzīvotājiem</t>
  </si>
  <si>
    <t>Viļakas pilsētas komunālā saimniecība - ūdens</t>
  </si>
  <si>
    <t>2. pielikums</t>
  </si>
  <si>
    <t>Balvu novada pašvaldības pamatbudžeta ieņēmumi 2023. gadam (EUR)</t>
  </si>
  <si>
    <t>Pārējie 2.3.0.0.0. grupā neklasificētie budžeta iestāžu ieņēmumi par budžeta iestāžu sniegtajiem maksas pakalpojumiem un citi pašu ieņēmumi</t>
  </si>
  <si>
    <t>Transferti no citām pašvaldībām - projektiem</t>
  </si>
  <si>
    <t>1. pielikums</t>
  </si>
  <si>
    <t>Balvu novada pašvaldības pamatbudžets 2023. gadam ( EUR)</t>
  </si>
  <si>
    <t xml:space="preserve">  Pārējie 21.3.0.0. grupā neklasificētie budžeta iestāžu ieņēmumi par budžeta iestāžu sniegtajiem maksas pakalpojumiem un citi pašu ieņēmumi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</si>
</sst>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20" x14ac:knownFonts="1">
    <font>
      <sz val="11"/>
      <color theme="1"/>
      <name val="Calibri"/>
      <family val="2"/>
      <charset val="186"/>
      <scheme val="minor"/>
    </font>
    <font>
      <b/>
      <i/>
      <sz val="11"/>
      <name val="Times New Roman"/>
      <family val="1"/>
      <charset val="186"/>
    </font>
    <font>
      <sz val="9"/>
      <name val="Tahoma"/>
      <family val="2"/>
      <charset val="186"/>
    </font>
    <font>
      <b/>
      <sz val="9"/>
      <name val="Tahoma"/>
      <family val="2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Calibri"/>
      <family val="2"/>
      <charset val="186"/>
      <scheme val="minor"/>
    </font>
    <font>
      <sz val="13"/>
      <name val="Times New Roman"/>
      <family val="1"/>
      <charset val="186"/>
    </font>
    <font>
      <sz val="12"/>
      <name val="Calibri"/>
      <family val="2"/>
      <charset val="186"/>
      <scheme val="minor"/>
    </font>
    <font>
      <b/>
      <sz val="14"/>
      <name val="Times New Roman"/>
      <family val="1"/>
      <charset val="186"/>
    </font>
    <font>
      <b/>
      <sz val="16"/>
      <name val="Times New Roman"/>
      <family val="1"/>
      <charset val="186"/>
    </font>
    <font>
      <i/>
      <sz val="11"/>
      <name val="Times New Roman"/>
      <family val="1"/>
      <charset val="186"/>
    </font>
    <font>
      <sz val="14"/>
      <name val="Times New Roman"/>
      <family val="1"/>
      <charset val="186"/>
    </font>
    <font>
      <b/>
      <u/>
      <sz val="12"/>
      <name val="Times New Roman"/>
      <family val="1"/>
      <charset val="186"/>
    </font>
    <font>
      <b/>
      <i/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2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</cellStyleXfs>
  <cellXfs count="135">
    <xf numFmtId="0" fontId="0" fillId="0" borderId="0" xfId="0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wrapText="1"/>
      <protection locked="0"/>
    </xf>
    <xf numFmtId="0" fontId="7" fillId="0" borderId="1" xfId="0" applyFont="1" applyBorder="1" applyAlignment="1" applyProtection="1">
      <alignment horizontal="left" wrapText="1"/>
      <protection locked="0"/>
    </xf>
    <xf numFmtId="3" fontId="7" fillId="0" borderId="1" xfId="0" applyNumberFormat="1" applyFont="1" applyBorder="1" applyAlignment="1" applyProtection="1">
      <alignment horizontal="center" wrapText="1"/>
      <protection locked="0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 applyProtection="1">
      <alignment horizontal="left" wrapText="1"/>
      <protection locked="0"/>
    </xf>
    <xf numFmtId="0" fontId="6" fillId="0" borderId="1" xfId="0" applyFont="1" applyBorder="1" applyAlignment="1" applyProtection="1">
      <alignment horizontal="center" wrapText="1"/>
      <protection locked="0"/>
    </xf>
    <xf numFmtId="3" fontId="6" fillId="0" borderId="1" xfId="0" applyNumberFormat="1" applyFont="1" applyBorder="1" applyAlignment="1" applyProtection="1">
      <alignment horizontal="center" wrapText="1"/>
      <protection locked="0"/>
    </xf>
    <xf numFmtId="0" fontId="7" fillId="0" borderId="1" xfId="0" applyFont="1" applyBorder="1" applyAlignment="1">
      <alignment horizontal="left" wrapText="1"/>
    </xf>
    <xf numFmtId="3" fontId="7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3" fontId="6" fillId="0" borderId="1" xfId="0" applyNumberFormat="1" applyFont="1" applyBorder="1" applyAlignment="1">
      <alignment horizontal="center" wrapText="1"/>
    </xf>
    <xf numFmtId="49" fontId="6" fillId="0" borderId="2" xfId="0" applyNumberFormat="1" applyFont="1" applyBorder="1" applyAlignment="1">
      <alignment horizontal="left" wrapText="1"/>
    </xf>
    <xf numFmtId="0" fontId="6" fillId="0" borderId="1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6" fillId="0" borderId="1" xfId="0" applyFont="1" applyBorder="1"/>
    <xf numFmtId="3" fontId="6" fillId="0" borderId="1" xfId="0" applyNumberFormat="1" applyFont="1" applyBorder="1" applyAlignment="1">
      <alignment horizontal="center"/>
    </xf>
    <xf numFmtId="0" fontId="7" fillId="0" borderId="0" xfId="0" applyFont="1"/>
    <xf numFmtId="0" fontId="5" fillId="0" borderId="0" xfId="0" applyFont="1"/>
    <xf numFmtId="0" fontId="7" fillId="0" borderId="1" xfId="0" applyFont="1" applyBorder="1"/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top"/>
    </xf>
    <xf numFmtId="0" fontId="1" fillId="0" borderId="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top"/>
    </xf>
    <xf numFmtId="0" fontId="14" fillId="0" borderId="0" xfId="0" applyFont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horizontal="left" wrapText="1"/>
    </xf>
    <xf numFmtId="3" fontId="6" fillId="0" borderId="0" xfId="0" applyNumberFormat="1" applyFont="1"/>
    <xf numFmtId="3" fontId="6" fillId="0" borderId="1" xfId="0" applyNumberFormat="1" applyFont="1" applyBorder="1" applyAlignment="1">
      <alignment horizontal="center" vertical="center" wrapText="1"/>
    </xf>
    <xf numFmtId="3" fontId="5" fillId="0" borderId="0" xfId="0" applyNumberFormat="1" applyFont="1"/>
    <xf numFmtId="0" fontId="6" fillId="0" borderId="0" xfId="0" applyFont="1" applyAlignment="1">
      <alignment horizontal="center"/>
    </xf>
    <xf numFmtId="0" fontId="5" fillId="2" borderId="0" xfId="0" applyFont="1" applyFill="1"/>
    <xf numFmtId="0" fontId="9" fillId="2" borderId="0" xfId="0" applyFont="1" applyFill="1"/>
    <xf numFmtId="0" fontId="7" fillId="2" borderId="0" xfId="0" applyFont="1" applyFill="1" applyAlignment="1">
      <alignment horizontal="right"/>
    </xf>
    <xf numFmtId="0" fontId="6" fillId="2" borderId="0" xfId="0" applyFont="1" applyFill="1" applyAlignment="1">
      <alignment horizontal="right"/>
    </xf>
    <xf numFmtId="0" fontId="9" fillId="2" borderId="0" xfId="0" applyFont="1" applyFill="1" applyAlignment="1">
      <alignment horizontal="right"/>
    </xf>
    <xf numFmtId="0" fontId="9" fillId="2" borderId="0" xfId="0" applyFont="1" applyFill="1" applyAlignment="1">
      <alignment horizontal="center"/>
    </xf>
    <xf numFmtId="0" fontId="7" fillId="2" borderId="1" xfId="0" applyFont="1" applyFill="1" applyBorder="1"/>
    <xf numFmtId="3" fontId="7" fillId="2" borderId="1" xfId="0" applyNumberFormat="1" applyFont="1" applyFill="1" applyBorder="1"/>
    <xf numFmtId="0" fontId="4" fillId="2" borderId="0" xfId="0" applyFont="1" applyFill="1"/>
    <xf numFmtId="0" fontId="6" fillId="2" borderId="1" xfId="0" applyFont="1" applyFill="1" applyBorder="1" applyAlignment="1">
      <alignment horizontal="right"/>
    </xf>
    <xf numFmtId="0" fontId="6" fillId="2" borderId="1" xfId="0" applyFont="1" applyFill="1" applyBorder="1"/>
    <xf numFmtId="3" fontId="6" fillId="2" borderId="1" xfId="0" applyNumberFormat="1" applyFont="1" applyFill="1" applyBorder="1"/>
    <xf numFmtId="0" fontId="7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vertical="top" wrapText="1"/>
    </xf>
    <xf numFmtId="0" fontId="6" fillId="2" borderId="0" xfId="0" applyFont="1" applyFill="1"/>
    <xf numFmtId="0" fontId="8" fillId="2" borderId="0" xfId="0" applyFont="1" applyFill="1"/>
    <xf numFmtId="0" fontId="10" fillId="2" borderId="0" xfId="0" applyFont="1" applyFill="1"/>
    <xf numFmtId="0" fontId="7" fillId="2" borderId="0" xfId="0" applyFont="1" applyFill="1" applyAlignment="1">
      <alignment horizontal="center"/>
    </xf>
    <xf numFmtId="1" fontId="7" fillId="2" borderId="0" xfId="0" applyNumberFormat="1" applyFont="1" applyFill="1" applyAlignment="1">
      <alignment horizontal="center"/>
    </xf>
    <xf numFmtId="1" fontId="6" fillId="2" borderId="0" xfId="0" applyNumberFormat="1" applyFont="1" applyFill="1"/>
    <xf numFmtId="3" fontId="7" fillId="2" borderId="1" xfId="0" applyNumberFormat="1" applyFont="1" applyFill="1" applyBorder="1" applyAlignment="1">
      <alignment horizontal="right" wrapText="1"/>
    </xf>
    <xf numFmtId="3" fontId="7" fillId="2" borderId="1" xfId="0" applyNumberFormat="1" applyFont="1" applyFill="1" applyBorder="1" applyAlignment="1">
      <alignment horizontal="center"/>
    </xf>
    <xf numFmtId="3" fontId="8" fillId="2" borderId="0" xfId="0" applyNumberFormat="1" applyFont="1" applyFill="1"/>
    <xf numFmtId="0" fontId="6" fillId="2" borderId="1" xfId="0" applyFont="1" applyFill="1" applyBorder="1" applyAlignment="1">
      <alignment horizontal="center"/>
    </xf>
    <xf numFmtId="3" fontId="6" fillId="2" borderId="1" xfId="0" applyNumberFormat="1" applyFont="1" applyFill="1" applyBorder="1" applyAlignment="1">
      <alignment horizontal="right"/>
    </xf>
    <xf numFmtId="3" fontId="6" fillId="2" borderId="1" xfId="0" applyNumberFormat="1" applyFont="1" applyFill="1" applyBorder="1" applyAlignment="1">
      <alignment horizontal="right" wrapText="1"/>
    </xf>
    <xf numFmtId="0" fontId="6" fillId="2" borderId="1" xfId="0" applyFont="1" applyFill="1" applyBorder="1" applyAlignment="1">
      <alignment horizontal="left" wrapText="1"/>
    </xf>
    <xf numFmtId="0" fontId="8" fillId="2" borderId="1" xfId="0" applyFont="1" applyFill="1" applyBorder="1"/>
    <xf numFmtId="3" fontId="7" fillId="2" borderId="1" xfId="0" applyNumberFormat="1" applyFont="1" applyFill="1" applyBorder="1" applyAlignment="1">
      <alignment horizontal="right"/>
    </xf>
    <xf numFmtId="2" fontId="6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vertical="top" wrapText="1"/>
    </xf>
    <xf numFmtId="164" fontId="7" fillId="2" borderId="1" xfId="1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vertical="center" wrapText="1"/>
    </xf>
    <xf numFmtId="0" fontId="5" fillId="2" borderId="0" xfId="0" applyFont="1" applyFill="1" applyAlignment="1">
      <alignment horizontal="right"/>
    </xf>
    <xf numFmtId="1" fontId="6" fillId="2" borderId="1" xfId="0" applyNumberFormat="1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left" wrapText="1"/>
    </xf>
    <xf numFmtId="3" fontId="5" fillId="2" borderId="1" xfId="0" applyNumberFormat="1" applyFont="1" applyFill="1" applyBorder="1"/>
    <xf numFmtId="3" fontId="13" fillId="2" borderId="3" xfId="0" applyNumberFormat="1" applyFont="1" applyFill="1" applyBorder="1" applyAlignment="1">
      <alignment wrapText="1"/>
    </xf>
    <xf numFmtId="3" fontId="13" fillId="2" borderId="4" xfId="0" applyNumberFormat="1" applyFont="1" applyFill="1" applyBorder="1" applyAlignment="1">
      <alignment wrapText="1"/>
    </xf>
    <xf numFmtId="3" fontId="5" fillId="2" borderId="3" xfId="0" applyNumberFormat="1" applyFont="1" applyFill="1" applyBorder="1" applyAlignment="1">
      <alignment horizontal="right" wrapText="1"/>
    </xf>
    <xf numFmtId="3" fontId="5" fillId="2" borderId="3" xfId="0" applyNumberFormat="1" applyFont="1" applyFill="1" applyBorder="1" applyAlignment="1">
      <alignment wrapText="1"/>
    </xf>
    <xf numFmtId="3" fontId="5" fillId="2" borderId="0" xfId="0" applyNumberFormat="1" applyFont="1" applyFill="1" applyAlignment="1">
      <alignment wrapText="1"/>
    </xf>
    <xf numFmtId="3" fontId="5" fillId="2" borderId="5" xfId="0" applyNumberFormat="1" applyFont="1" applyFill="1" applyBorder="1" applyAlignment="1">
      <alignment horizontal="right" wrapText="1"/>
    </xf>
    <xf numFmtId="3" fontId="5" fillId="2" borderId="5" xfId="0" applyNumberFormat="1" applyFont="1" applyFill="1" applyBorder="1" applyAlignment="1">
      <alignment wrapText="1"/>
    </xf>
    <xf numFmtId="3" fontId="5" fillId="2" borderId="1" xfId="0" applyNumberFormat="1" applyFont="1" applyFill="1" applyBorder="1" applyAlignment="1">
      <alignment horizontal="right" wrapText="1"/>
    </xf>
    <xf numFmtId="3" fontId="5" fillId="2" borderId="1" xfId="0" applyNumberFormat="1" applyFont="1" applyFill="1" applyBorder="1" applyAlignment="1">
      <alignment wrapText="1"/>
    </xf>
    <xf numFmtId="3" fontId="4" fillId="2" borderId="1" xfId="0" applyNumberFormat="1" applyFont="1" applyFill="1" applyBorder="1"/>
    <xf numFmtId="3" fontId="5" fillId="2" borderId="6" xfId="0" applyNumberFormat="1" applyFont="1" applyFill="1" applyBorder="1" applyAlignment="1">
      <alignment horizontal="right" wrapText="1"/>
    </xf>
    <xf numFmtId="3" fontId="5" fillId="2" borderId="6" xfId="0" applyNumberFormat="1" applyFont="1" applyFill="1" applyBorder="1" applyAlignment="1">
      <alignment wrapText="1"/>
    </xf>
    <xf numFmtId="3" fontId="5" fillId="2" borderId="4" xfId="0" applyNumberFormat="1" applyFont="1" applyFill="1" applyBorder="1" applyAlignment="1">
      <alignment horizontal="right" wrapText="1"/>
    </xf>
    <xf numFmtId="3" fontId="5" fillId="2" borderId="4" xfId="0" applyNumberFormat="1" applyFont="1" applyFill="1" applyBorder="1" applyAlignment="1">
      <alignment wrapText="1"/>
    </xf>
    <xf numFmtId="1" fontId="4" fillId="2" borderId="0" xfId="0" applyNumberFormat="1" applyFont="1" applyFill="1" applyAlignment="1">
      <alignment vertical="top"/>
    </xf>
    <xf numFmtId="3" fontId="4" fillId="2" borderId="0" xfId="0" applyNumberFormat="1" applyFont="1" applyFill="1" applyAlignment="1">
      <alignment vertical="top"/>
    </xf>
    <xf numFmtId="0" fontId="14" fillId="2" borderId="0" xfId="0" applyFont="1" applyFill="1"/>
    <xf numFmtId="1" fontId="5" fillId="2" borderId="0" xfId="0" applyNumberFormat="1" applyFont="1" applyFill="1"/>
    <xf numFmtId="3" fontId="5" fillId="2" borderId="0" xfId="0" applyNumberFormat="1" applyFont="1" applyFill="1"/>
    <xf numFmtId="3" fontId="4" fillId="2" borderId="0" xfId="0" applyNumberFormat="1" applyFont="1" applyFill="1"/>
    <xf numFmtId="0" fontId="17" fillId="0" borderId="0" xfId="0" applyFont="1" applyAlignment="1">
      <alignment wrapText="1"/>
    </xf>
    <xf numFmtId="0" fontId="1" fillId="3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vertical="center" wrapText="1"/>
    </xf>
    <xf numFmtId="3" fontId="4" fillId="2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 wrapText="1"/>
    </xf>
    <xf numFmtId="3" fontId="4" fillId="0" borderId="0" xfId="0" applyNumberFormat="1" applyFont="1" applyAlignment="1">
      <alignment vertical="top"/>
    </xf>
    <xf numFmtId="0" fontId="7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wrapText="1"/>
    </xf>
    <xf numFmtId="0" fontId="11" fillId="2" borderId="0" xfId="0" applyFont="1" applyFill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right" vertical="top"/>
    </xf>
    <xf numFmtId="0" fontId="4" fillId="0" borderId="0" xfId="0" applyFont="1" applyAlignment="1">
      <alignment horizontal="right" vertical="top"/>
    </xf>
    <xf numFmtId="0" fontId="6" fillId="2" borderId="0" xfId="0" applyFont="1" applyFill="1" applyAlignment="1">
      <alignment horizontal="right"/>
    </xf>
    <xf numFmtId="0" fontId="6" fillId="0" borderId="0" xfId="0" applyFont="1" applyAlignment="1">
      <alignment horizontal="right"/>
    </xf>
  </cellXfs>
  <cellStyles count="3">
    <cellStyle name="Comma" xfId="1" builtinId="3"/>
    <cellStyle name="Komats 2" xfId="2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"/>
  <sheetViews>
    <sheetView topLeftCell="A16" zoomScale="93" zoomScaleNormal="93" workbookViewId="0">
      <selection activeCell="J77" sqref="J77"/>
    </sheetView>
  </sheetViews>
  <sheetFormatPr defaultColWidth="9.140625" defaultRowHeight="15.75" x14ac:dyDescent="0.25"/>
  <cols>
    <col min="1" max="1" width="65.7109375" style="6" customWidth="1"/>
    <col min="2" max="5" width="13.85546875" style="6" customWidth="1"/>
    <col min="6" max="6" width="11.28515625" style="6" bestFit="1" customWidth="1"/>
    <col min="7" max="16384" width="9.140625" style="6"/>
  </cols>
  <sheetData>
    <row r="1" spans="1:6" x14ac:dyDescent="0.25">
      <c r="E1" s="7" t="s">
        <v>696</v>
      </c>
      <c r="F1" s="28"/>
    </row>
    <row r="2" spans="1:6" x14ac:dyDescent="0.25">
      <c r="E2" s="7" t="s">
        <v>593</v>
      </c>
    </row>
    <row r="3" spans="1:6" x14ac:dyDescent="0.25">
      <c r="E3" s="7" t="s">
        <v>682</v>
      </c>
    </row>
    <row r="4" spans="1:6" x14ac:dyDescent="0.25">
      <c r="E4" s="7" t="s">
        <v>681</v>
      </c>
    </row>
    <row r="5" spans="1:6" x14ac:dyDescent="0.25">
      <c r="E5" s="7" t="s">
        <v>679</v>
      </c>
    </row>
    <row r="7" spans="1:6" x14ac:dyDescent="0.25">
      <c r="E7" s="7" t="s">
        <v>484</v>
      </c>
    </row>
    <row r="8" spans="1:6" x14ac:dyDescent="0.25">
      <c r="E8" s="7" t="s">
        <v>593</v>
      </c>
    </row>
    <row r="9" spans="1:6" x14ac:dyDescent="0.25">
      <c r="E9" s="7" t="s">
        <v>683</v>
      </c>
    </row>
    <row r="10" spans="1:6" x14ac:dyDescent="0.25">
      <c r="B10" s="7"/>
      <c r="C10" s="7"/>
      <c r="D10" s="7"/>
      <c r="E10" s="7" t="s">
        <v>236</v>
      </c>
    </row>
    <row r="11" spans="1:6" ht="14.25" customHeight="1" x14ac:dyDescent="0.25"/>
    <row r="12" spans="1:6" ht="15" customHeight="1" x14ac:dyDescent="0.25"/>
    <row r="13" spans="1:6" ht="15" customHeight="1" x14ac:dyDescent="0.25">
      <c r="A13" s="122" t="s">
        <v>697</v>
      </c>
      <c r="B13" s="122"/>
      <c r="C13" s="122"/>
      <c r="D13" s="122"/>
      <c r="E13" s="122"/>
    </row>
    <row r="14" spans="1:6" ht="15" customHeight="1" x14ac:dyDescent="0.25"/>
    <row r="15" spans="1:6" ht="82.5" customHeight="1" x14ac:dyDescent="0.25">
      <c r="A15" s="8" t="s">
        <v>485</v>
      </c>
      <c r="B15" s="8" t="s">
        <v>486</v>
      </c>
      <c r="C15" s="8" t="s">
        <v>573</v>
      </c>
      <c r="D15" s="8" t="s">
        <v>632</v>
      </c>
      <c r="E15" s="8" t="s">
        <v>631</v>
      </c>
    </row>
    <row r="16" spans="1:6" ht="36.75" customHeight="1" x14ac:dyDescent="0.25">
      <c r="A16" s="9" t="s">
        <v>487</v>
      </c>
      <c r="B16" s="10"/>
      <c r="C16" s="11">
        <f>C17+C19+C21+C25+C28+C30+C32+C36+C38+C40+C42+C23</f>
        <v>35342432</v>
      </c>
      <c r="D16" s="11">
        <f>D17+D19+D21+D25+D28+D30+D32+D36+D38+D40+D42+D23</f>
        <v>315316</v>
      </c>
      <c r="E16" s="11">
        <f>E17+E19+E21+E25+E28+E30+E32+E36+E38+E40+E42+E23</f>
        <v>35657748</v>
      </c>
      <c r="F16" s="44"/>
    </row>
    <row r="17" spans="1:5" s="12" customFormat="1" ht="36.75" customHeight="1" x14ac:dyDescent="0.25">
      <c r="A17" s="10" t="s">
        <v>335</v>
      </c>
      <c r="B17" s="10" t="s">
        <v>334</v>
      </c>
      <c r="C17" s="11">
        <f t="shared" ref="C17" si="0">C18</f>
        <v>9921221</v>
      </c>
      <c r="D17" s="11">
        <f>D18</f>
        <v>0</v>
      </c>
      <c r="E17" s="11">
        <f>E18</f>
        <v>9921221</v>
      </c>
    </row>
    <row r="18" spans="1:5" ht="20.25" customHeight="1" x14ac:dyDescent="0.25">
      <c r="A18" s="13" t="s">
        <v>488</v>
      </c>
      <c r="B18" s="14" t="s">
        <v>489</v>
      </c>
      <c r="C18" s="15">
        <v>9921221</v>
      </c>
      <c r="D18" s="20">
        <f>E18-C18</f>
        <v>0</v>
      </c>
      <c r="E18" s="15">
        <f>'2.pielikums'!E22</f>
        <v>9921221</v>
      </c>
    </row>
    <row r="19" spans="1:5" ht="21" customHeight="1" x14ac:dyDescent="0.25">
      <c r="A19" s="16" t="s">
        <v>340</v>
      </c>
      <c r="B19" s="16" t="s">
        <v>339</v>
      </c>
      <c r="C19" s="17">
        <f t="shared" ref="C19" si="1">C20</f>
        <v>1245954</v>
      </c>
      <c r="D19" s="17"/>
      <c r="E19" s="17">
        <f>E20</f>
        <v>1245954</v>
      </c>
    </row>
    <row r="20" spans="1:5" ht="20.25" customHeight="1" x14ac:dyDescent="0.25">
      <c r="A20" s="18" t="s">
        <v>490</v>
      </c>
      <c r="B20" s="19" t="s">
        <v>491</v>
      </c>
      <c r="C20" s="20">
        <v>1245954</v>
      </c>
      <c r="D20" s="20"/>
      <c r="E20" s="20">
        <f>'2.pielikums'!E24</f>
        <v>1245954</v>
      </c>
    </row>
    <row r="21" spans="1:5" ht="15.75" customHeight="1" x14ac:dyDescent="0.25">
      <c r="A21" s="16" t="s">
        <v>492</v>
      </c>
      <c r="B21" s="16" t="s">
        <v>361</v>
      </c>
      <c r="C21" s="17">
        <f t="shared" ref="C21" si="2">C22</f>
        <v>46000</v>
      </c>
      <c r="D21" s="17"/>
      <c r="E21" s="17">
        <f>E22</f>
        <v>46000</v>
      </c>
    </row>
    <row r="22" spans="1:5" ht="20.25" customHeight="1" x14ac:dyDescent="0.25">
      <c r="A22" s="18" t="s">
        <v>493</v>
      </c>
      <c r="B22" s="19" t="s">
        <v>494</v>
      </c>
      <c r="C22" s="20">
        <v>46000</v>
      </c>
      <c r="D22" s="20"/>
      <c r="E22" s="20">
        <f>'2.pielikums'!E35</f>
        <v>46000</v>
      </c>
    </row>
    <row r="23" spans="1:5" ht="24.75" customHeight="1" x14ac:dyDescent="0.25">
      <c r="A23" s="16" t="s">
        <v>495</v>
      </c>
      <c r="B23" s="16" t="s">
        <v>372</v>
      </c>
      <c r="C23" s="17">
        <f t="shared" ref="C23" si="3">C24</f>
        <v>7080</v>
      </c>
      <c r="D23" s="17"/>
      <c r="E23" s="17">
        <f>E24</f>
        <v>7080</v>
      </c>
    </row>
    <row r="24" spans="1:5" ht="36.75" customHeight="1" x14ac:dyDescent="0.25">
      <c r="A24" s="18" t="s">
        <v>375</v>
      </c>
      <c r="B24" s="19" t="s">
        <v>374</v>
      </c>
      <c r="C24" s="20">
        <v>7080</v>
      </c>
      <c r="D24" s="20"/>
      <c r="E24" s="20">
        <f>'2.pielikums'!E42</f>
        <v>7080</v>
      </c>
    </row>
    <row r="25" spans="1:5" ht="36.75" customHeight="1" x14ac:dyDescent="0.25">
      <c r="A25" s="16" t="s">
        <v>377</v>
      </c>
      <c r="B25" s="16" t="s">
        <v>376</v>
      </c>
      <c r="C25" s="17">
        <f t="shared" ref="C25" si="4">C26+C27</f>
        <v>24840</v>
      </c>
      <c r="D25" s="17"/>
      <c r="E25" s="17">
        <f>E26+E27</f>
        <v>24840</v>
      </c>
    </row>
    <row r="26" spans="1:5" ht="21" customHeight="1" x14ac:dyDescent="0.25">
      <c r="A26" s="18" t="s">
        <v>496</v>
      </c>
      <c r="B26" s="19" t="s">
        <v>497</v>
      </c>
      <c r="C26" s="20">
        <v>12690</v>
      </c>
      <c r="D26" s="20"/>
      <c r="E26" s="20">
        <f>'2.pielikums'!E44</f>
        <v>12690</v>
      </c>
    </row>
    <row r="27" spans="1:5" ht="22.5" customHeight="1" x14ac:dyDescent="0.25">
      <c r="A27" s="18" t="s">
        <v>498</v>
      </c>
      <c r="B27" s="19" t="s">
        <v>499</v>
      </c>
      <c r="C27" s="20">
        <v>12150</v>
      </c>
      <c r="D27" s="20"/>
      <c r="E27" s="20">
        <f>'2.pielikums'!E48</f>
        <v>12150</v>
      </c>
    </row>
    <row r="28" spans="1:5" ht="19.5" customHeight="1" x14ac:dyDescent="0.25">
      <c r="A28" s="16" t="s">
        <v>397</v>
      </c>
      <c r="B28" s="16" t="s">
        <v>396</v>
      </c>
      <c r="C28" s="17">
        <f t="shared" ref="C28" si="5">C29</f>
        <v>4000</v>
      </c>
      <c r="D28" s="17"/>
      <c r="E28" s="17">
        <f>E29</f>
        <v>4000</v>
      </c>
    </row>
    <row r="29" spans="1:5" ht="20.25" customHeight="1" x14ac:dyDescent="0.25">
      <c r="A29" s="18" t="s">
        <v>500</v>
      </c>
      <c r="B29" s="19" t="s">
        <v>501</v>
      </c>
      <c r="C29" s="20">
        <v>4000</v>
      </c>
      <c r="D29" s="20"/>
      <c r="E29" s="20">
        <f>'2.pielikums'!E54</f>
        <v>4000</v>
      </c>
    </row>
    <row r="30" spans="1:5" ht="21" customHeight="1" x14ac:dyDescent="0.25">
      <c r="A30" s="16" t="s">
        <v>403</v>
      </c>
      <c r="B30" s="16" t="s">
        <v>402</v>
      </c>
      <c r="C30" s="17">
        <f t="shared" ref="C30" si="6">C31</f>
        <v>152517</v>
      </c>
      <c r="D30" s="17">
        <f>D31</f>
        <v>0</v>
      </c>
      <c r="E30" s="17">
        <f>E31</f>
        <v>152517</v>
      </c>
    </row>
    <row r="31" spans="1:5" ht="21" customHeight="1" x14ac:dyDescent="0.25">
      <c r="A31" s="21" t="s">
        <v>502</v>
      </c>
      <c r="B31" s="19" t="s">
        <v>503</v>
      </c>
      <c r="C31" s="20">
        <v>152517</v>
      </c>
      <c r="D31" s="20">
        <f>E31-C31</f>
        <v>0</v>
      </c>
      <c r="E31" s="20">
        <f>'2.pielikums'!E57</f>
        <v>152517</v>
      </c>
    </row>
    <row r="32" spans="1:5" ht="36.75" customHeight="1" x14ac:dyDescent="0.25">
      <c r="A32" s="16" t="s">
        <v>504</v>
      </c>
      <c r="B32" s="16" t="s">
        <v>406</v>
      </c>
      <c r="C32" s="17">
        <f>C33+C34+C35</f>
        <v>505420</v>
      </c>
      <c r="D32" s="17">
        <f>D33+D34+D35</f>
        <v>114000</v>
      </c>
      <c r="E32" s="17">
        <f>E33+E34+E35</f>
        <v>619420</v>
      </c>
    </row>
    <row r="33" spans="1:6" ht="21.75" customHeight="1" x14ac:dyDescent="0.25">
      <c r="A33" s="18" t="s">
        <v>505</v>
      </c>
      <c r="B33" s="22" t="s">
        <v>506</v>
      </c>
      <c r="C33" s="45">
        <v>20000</v>
      </c>
      <c r="D33" s="45"/>
      <c r="E33" s="20">
        <f>'2.pielikums'!E60</f>
        <v>20000</v>
      </c>
    </row>
    <row r="34" spans="1:6" ht="21" customHeight="1" x14ac:dyDescent="0.25">
      <c r="A34" s="18" t="s">
        <v>507</v>
      </c>
      <c r="B34" s="22" t="s">
        <v>508</v>
      </c>
      <c r="C34" s="45">
        <v>433520</v>
      </c>
      <c r="D34" s="20">
        <f>E34-C34</f>
        <v>100000</v>
      </c>
      <c r="E34" s="20">
        <f>'2.pielikums'!E61</f>
        <v>533520</v>
      </c>
    </row>
    <row r="35" spans="1:6" ht="21" customHeight="1" x14ac:dyDescent="0.25">
      <c r="A35" s="18" t="s">
        <v>660</v>
      </c>
      <c r="B35" s="22" t="s">
        <v>659</v>
      </c>
      <c r="C35" s="45">
        <v>51900</v>
      </c>
      <c r="D35" s="20">
        <f>E35-C35</f>
        <v>14000</v>
      </c>
      <c r="E35" s="20">
        <f>'2.pielikums'!E63</f>
        <v>65900</v>
      </c>
    </row>
    <row r="36" spans="1:6" ht="36.75" customHeight="1" x14ac:dyDescent="0.25">
      <c r="A36" s="16" t="s">
        <v>509</v>
      </c>
      <c r="B36" s="16" t="s">
        <v>414</v>
      </c>
      <c r="C36" s="17">
        <f t="shared" ref="C36" si="7">C37</f>
        <v>912778</v>
      </c>
      <c r="D36" s="20">
        <f>E36-C36</f>
        <v>5513</v>
      </c>
      <c r="E36" s="17">
        <f>E37</f>
        <v>918291</v>
      </c>
    </row>
    <row r="37" spans="1:6" ht="36.75" customHeight="1" x14ac:dyDescent="0.25">
      <c r="A37" s="18" t="s">
        <v>510</v>
      </c>
      <c r="B37" s="19" t="s">
        <v>511</v>
      </c>
      <c r="C37" s="20">
        <v>912778</v>
      </c>
      <c r="D37" s="20">
        <f>E37-C37</f>
        <v>5513</v>
      </c>
      <c r="E37" s="20">
        <f>'2.pielikums'!E64</f>
        <v>918291</v>
      </c>
    </row>
    <row r="38" spans="1:6" ht="24" customHeight="1" x14ac:dyDescent="0.25">
      <c r="A38" s="16" t="s">
        <v>512</v>
      </c>
      <c r="B38" s="16" t="s">
        <v>418</v>
      </c>
      <c r="C38" s="17">
        <f>C39</f>
        <v>17171440</v>
      </c>
      <c r="D38" s="17">
        <f t="shared" ref="D38" si="8">D39</f>
        <v>115667</v>
      </c>
      <c r="E38" s="17">
        <f>E39</f>
        <v>17287107</v>
      </c>
    </row>
    <row r="39" spans="1:6" ht="21" customHeight="1" x14ac:dyDescent="0.25">
      <c r="A39" s="18" t="s">
        <v>513</v>
      </c>
      <c r="B39" s="19" t="s">
        <v>514</v>
      </c>
      <c r="C39" s="20">
        <v>17171440</v>
      </c>
      <c r="D39" s="20">
        <f>E39-C39</f>
        <v>115667</v>
      </c>
      <c r="E39" s="20">
        <f>'2.pielikums'!E67</f>
        <v>17287107</v>
      </c>
    </row>
    <row r="40" spans="1:6" ht="21.75" customHeight="1" x14ac:dyDescent="0.25">
      <c r="A40" s="16" t="s">
        <v>569</v>
      </c>
      <c r="B40" s="16" t="s">
        <v>570</v>
      </c>
      <c r="C40" s="17">
        <f>C41</f>
        <v>162500</v>
      </c>
      <c r="D40" s="17">
        <f>D41</f>
        <v>29000</v>
      </c>
      <c r="E40" s="17">
        <f>E41</f>
        <v>191500</v>
      </c>
    </row>
    <row r="41" spans="1:6" ht="21" customHeight="1" x14ac:dyDescent="0.25">
      <c r="A41" s="18" t="s">
        <v>571</v>
      </c>
      <c r="B41" s="19" t="s">
        <v>572</v>
      </c>
      <c r="C41" s="20">
        <v>162500</v>
      </c>
      <c r="D41" s="20">
        <f>E41-C41</f>
        <v>29000</v>
      </c>
      <c r="E41" s="20">
        <f>'2.pielikums'!E116</f>
        <v>191500</v>
      </c>
    </row>
    <row r="42" spans="1:6" ht="21" customHeight="1" x14ac:dyDescent="0.25">
      <c r="A42" s="16" t="s">
        <v>515</v>
      </c>
      <c r="B42" s="16" t="s">
        <v>516</v>
      </c>
      <c r="C42" s="17">
        <f>SUM(C43:C45)</f>
        <v>5188682</v>
      </c>
      <c r="D42" s="17">
        <f>SUM(D43:D45)</f>
        <v>51136</v>
      </c>
      <c r="E42" s="17">
        <f>SUM(E43:E45)</f>
        <v>5239818</v>
      </c>
    </row>
    <row r="43" spans="1:6" ht="21" customHeight="1" x14ac:dyDescent="0.25">
      <c r="A43" s="58" t="s">
        <v>671</v>
      </c>
      <c r="B43" s="19" t="s">
        <v>668</v>
      </c>
      <c r="C43" s="20">
        <v>0</v>
      </c>
      <c r="D43" s="20">
        <f>E43-C43</f>
        <v>47719</v>
      </c>
      <c r="E43" s="20">
        <f>'2.pielikums'!E121</f>
        <v>47719</v>
      </c>
    </row>
    <row r="44" spans="1:6" ht="36.75" customHeight="1" x14ac:dyDescent="0.25">
      <c r="A44" s="18" t="s">
        <v>517</v>
      </c>
      <c r="B44" s="19" t="s">
        <v>518</v>
      </c>
      <c r="C44" s="20">
        <v>4528800</v>
      </c>
      <c r="D44" s="20">
        <f>E44-C44</f>
        <v>3417</v>
      </c>
      <c r="E44" s="20">
        <f>'2.pielikums'!E124</f>
        <v>4532217</v>
      </c>
    </row>
    <row r="45" spans="1:6" ht="54" customHeight="1" x14ac:dyDescent="0.25">
      <c r="A45" s="18" t="s">
        <v>698</v>
      </c>
      <c r="B45" s="19" t="s">
        <v>519</v>
      </c>
      <c r="C45" s="20">
        <v>659882</v>
      </c>
      <c r="D45" s="20">
        <f>E45-C45</f>
        <v>0</v>
      </c>
      <c r="E45" s="20">
        <f>'2.pielikums'!E144</f>
        <v>659882</v>
      </c>
    </row>
    <row r="46" spans="1:6" ht="36.75" customHeight="1" x14ac:dyDescent="0.25">
      <c r="A46" s="5" t="s">
        <v>520</v>
      </c>
      <c r="B46" s="16" t="s">
        <v>521</v>
      </c>
      <c r="C46" s="23">
        <f t="shared" ref="C46:D46" si="9">C47</f>
        <v>39756735</v>
      </c>
      <c r="D46" s="23">
        <f t="shared" si="9"/>
        <v>466518</v>
      </c>
      <c r="E46" s="23">
        <f>E47</f>
        <v>40223253</v>
      </c>
      <c r="F46" s="44"/>
    </row>
    <row r="47" spans="1:6" ht="36.75" customHeight="1" x14ac:dyDescent="0.25">
      <c r="A47" s="24" t="s">
        <v>522</v>
      </c>
      <c r="B47" s="25"/>
      <c r="C47" s="23">
        <f>SUM(C48:C56)</f>
        <v>39756735</v>
      </c>
      <c r="D47" s="23">
        <f>SUM(D48:D56)</f>
        <v>466518</v>
      </c>
      <c r="E47" s="23">
        <f>SUM(E48:E56)</f>
        <v>40223253</v>
      </c>
      <c r="F47" s="44"/>
    </row>
    <row r="48" spans="1:6" ht="18.75" customHeight="1" x14ac:dyDescent="0.25">
      <c r="A48" s="16" t="s">
        <v>262</v>
      </c>
      <c r="B48" s="16" t="s">
        <v>261</v>
      </c>
      <c r="C48" s="17">
        <v>4460562</v>
      </c>
      <c r="D48" s="17">
        <f>E48-C48</f>
        <v>70868</v>
      </c>
      <c r="E48" s="23">
        <f>'3.pielikums'!H17</f>
        <v>4531430</v>
      </c>
      <c r="F48" s="44"/>
    </row>
    <row r="49" spans="1:6" ht="19.5" customHeight="1" x14ac:dyDescent="0.25">
      <c r="A49" s="16" t="s">
        <v>265</v>
      </c>
      <c r="B49" s="16" t="s">
        <v>264</v>
      </c>
      <c r="C49" s="17">
        <v>315668</v>
      </c>
      <c r="D49" s="17">
        <f t="shared" ref="D49:D55" si="10">E49-C49</f>
        <v>0</v>
      </c>
      <c r="E49" s="23">
        <f>'3.pielikums'!H49</f>
        <v>315668</v>
      </c>
      <c r="F49" s="44"/>
    </row>
    <row r="50" spans="1:6" ht="15" customHeight="1" x14ac:dyDescent="0.25">
      <c r="A50" s="16" t="s">
        <v>267</v>
      </c>
      <c r="B50" s="16" t="s">
        <v>266</v>
      </c>
      <c r="C50" s="17">
        <v>3323908</v>
      </c>
      <c r="D50" s="17">
        <f t="shared" si="10"/>
        <v>12438</v>
      </c>
      <c r="E50" s="23">
        <f>'3.pielikums'!H53</f>
        <v>3336346</v>
      </c>
      <c r="F50" s="44"/>
    </row>
    <row r="51" spans="1:6" ht="15" customHeight="1" x14ac:dyDescent="0.25">
      <c r="A51" s="16" t="s">
        <v>273</v>
      </c>
      <c r="B51" s="16" t="s">
        <v>272</v>
      </c>
      <c r="C51" s="17">
        <v>278308</v>
      </c>
      <c r="D51" s="17">
        <f t="shared" si="10"/>
        <v>12532</v>
      </c>
      <c r="E51" s="23">
        <f>'3.pielikums'!H97</f>
        <v>290840</v>
      </c>
      <c r="F51" s="44"/>
    </row>
    <row r="52" spans="1:6" ht="15" customHeight="1" x14ac:dyDescent="0.25">
      <c r="A52" s="16" t="s">
        <v>523</v>
      </c>
      <c r="B52" s="16" t="s">
        <v>274</v>
      </c>
      <c r="C52" s="17">
        <v>4306164</v>
      </c>
      <c r="D52" s="17">
        <f t="shared" si="10"/>
        <v>146749</v>
      </c>
      <c r="E52" s="23">
        <f>'3.pielikums'!H120</f>
        <v>4452913</v>
      </c>
      <c r="F52" s="44"/>
    </row>
    <row r="53" spans="1:6" ht="15" customHeight="1" x14ac:dyDescent="0.25">
      <c r="A53" s="16" t="s">
        <v>281</v>
      </c>
      <c r="B53" s="16" t="s">
        <v>280</v>
      </c>
      <c r="C53" s="17">
        <v>230215</v>
      </c>
      <c r="D53" s="17">
        <f t="shared" si="10"/>
        <v>0</v>
      </c>
      <c r="E53" s="23">
        <f>'3.pielikums'!H188</f>
        <v>230215</v>
      </c>
      <c r="F53" s="44"/>
    </row>
    <row r="54" spans="1:6" ht="15" customHeight="1" x14ac:dyDescent="0.25">
      <c r="A54" s="16" t="s">
        <v>524</v>
      </c>
      <c r="B54" s="16" t="s">
        <v>291</v>
      </c>
      <c r="C54" s="17">
        <v>4458523</v>
      </c>
      <c r="D54" s="17">
        <f t="shared" si="10"/>
        <v>3046</v>
      </c>
      <c r="E54" s="23">
        <f>'3.pielikums'!H203</f>
        <v>4461569</v>
      </c>
      <c r="F54" s="44"/>
    </row>
    <row r="55" spans="1:6" ht="15" customHeight="1" x14ac:dyDescent="0.25">
      <c r="A55" s="16" t="s">
        <v>305</v>
      </c>
      <c r="B55" s="16" t="s">
        <v>304</v>
      </c>
      <c r="C55" s="17">
        <v>16321383</v>
      </c>
      <c r="D55" s="17">
        <f t="shared" si="10"/>
        <v>25060</v>
      </c>
      <c r="E55" s="23">
        <f>'3.pielikums'!H260</f>
        <v>16346443</v>
      </c>
      <c r="F55" s="44"/>
    </row>
    <row r="56" spans="1:6" ht="15" customHeight="1" x14ac:dyDescent="0.25">
      <c r="A56" s="16" t="s">
        <v>317</v>
      </c>
      <c r="B56" s="16" t="s">
        <v>316</v>
      </c>
      <c r="C56" s="17">
        <v>6062004</v>
      </c>
      <c r="D56" s="17">
        <f>E56-C56</f>
        <v>195825</v>
      </c>
      <c r="E56" s="23">
        <f>'3.pielikums'!H336</f>
        <v>6257829</v>
      </c>
      <c r="F56" s="44"/>
    </row>
    <row r="57" spans="1:6" ht="30" customHeight="1" x14ac:dyDescent="0.25">
      <c r="A57" s="24" t="s">
        <v>525</v>
      </c>
      <c r="B57" s="25"/>
      <c r="C57" s="17">
        <f t="shared" ref="C57" si="11">C58+C59+C60+C61+C62+C63+C64</f>
        <v>39756735</v>
      </c>
      <c r="D57" s="17">
        <f>D58+D59+D60+D61+D62+D63+D64</f>
        <v>466518</v>
      </c>
      <c r="E57" s="17">
        <f>E58+E59+E60+E61+E62+E63+E64</f>
        <v>40223253</v>
      </c>
      <c r="F57" s="44"/>
    </row>
    <row r="58" spans="1:6" ht="15" customHeight="1" x14ac:dyDescent="0.25">
      <c r="A58" s="16" t="s">
        <v>526</v>
      </c>
      <c r="B58" s="16" t="s">
        <v>527</v>
      </c>
      <c r="C58" s="17">
        <v>22477696</v>
      </c>
      <c r="D58" s="17">
        <f>E58-C58</f>
        <v>-225304</v>
      </c>
      <c r="E58" s="17">
        <f>'4.pielikums'!C377</f>
        <v>22252392</v>
      </c>
      <c r="F58" s="44"/>
    </row>
    <row r="59" spans="1:6" ht="15" customHeight="1" x14ac:dyDescent="0.25">
      <c r="A59" s="16" t="s">
        <v>84</v>
      </c>
      <c r="B59" s="16" t="s">
        <v>528</v>
      </c>
      <c r="C59" s="17">
        <v>8954272</v>
      </c>
      <c r="D59" s="17">
        <f t="shared" ref="D59:D62" si="12">E59-C59</f>
        <v>226240</v>
      </c>
      <c r="E59" s="17">
        <f>'4.pielikums'!D377</f>
        <v>9180512</v>
      </c>
      <c r="F59" s="44"/>
    </row>
    <row r="60" spans="1:6" ht="15" customHeight="1" x14ac:dyDescent="0.25">
      <c r="A60" s="16" t="s">
        <v>85</v>
      </c>
      <c r="B60" s="16" t="s">
        <v>529</v>
      </c>
      <c r="C60" s="17">
        <v>68819</v>
      </c>
      <c r="D60" s="17">
        <f t="shared" si="12"/>
        <v>500</v>
      </c>
      <c r="E60" s="17">
        <f>'4.pielikums'!E377</f>
        <v>69319</v>
      </c>
      <c r="F60" s="44"/>
    </row>
    <row r="61" spans="1:6" ht="15" customHeight="1" x14ac:dyDescent="0.25">
      <c r="A61" s="16" t="s">
        <v>530</v>
      </c>
      <c r="B61" s="16" t="s">
        <v>531</v>
      </c>
      <c r="C61" s="17">
        <v>417830</v>
      </c>
      <c r="D61" s="17">
        <f>E61-C61</f>
        <v>48441</v>
      </c>
      <c r="E61" s="17">
        <f>'4.pielikums'!F377</f>
        <v>466271</v>
      </c>
      <c r="F61" s="44"/>
    </row>
    <row r="62" spans="1:6" ht="15" customHeight="1" x14ac:dyDescent="0.25">
      <c r="A62" s="16" t="s">
        <v>87</v>
      </c>
      <c r="B62" s="16" t="s">
        <v>532</v>
      </c>
      <c r="C62" s="17">
        <v>5989730</v>
      </c>
      <c r="D62" s="17">
        <f t="shared" si="12"/>
        <v>57886</v>
      </c>
      <c r="E62" s="17">
        <f>'4.pielikums'!G377</f>
        <v>6047616</v>
      </c>
      <c r="F62" s="44"/>
    </row>
    <row r="63" spans="1:6" ht="15" customHeight="1" x14ac:dyDescent="0.25">
      <c r="A63" s="16" t="s">
        <v>226</v>
      </c>
      <c r="B63" s="16" t="s">
        <v>533</v>
      </c>
      <c r="C63" s="17">
        <v>1640876</v>
      </c>
      <c r="D63" s="17">
        <f>E63-C63</f>
        <v>358755</v>
      </c>
      <c r="E63" s="17">
        <f>'4.pielikums'!H377</f>
        <v>1999631</v>
      </c>
      <c r="F63" s="44"/>
    </row>
    <row r="64" spans="1:6" ht="30" customHeight="1" x14ac:dyDescent="0.25">
      <c r="A64" s="16" t="s">
        <v>534</v>
      </c>
      <c r="B64" s="16" t="s">
        <v>535</v>
      </c>
      <c r="C64" s="17">
        <v>207512</v>
      </c>
      <c r="D64" s="17">
        <f>E64-C64</f>
        <v>0</v>
      </c>
      <c r="E64" s="17">
        <f>'4.pielikums'!I377</f>
        <v>207512</v>
      </c>
      <c r="F64" s="44"/>
    </row>
    <row r="65" spans="1:6" ht="30" customHeight="1" x14ac:dyDescent="0.25">
      <c r="A65" s="26"/>
      <c r="B65" s="26"/>
      <c r="C65" s="27"/>
      <c r="D65" s="17"/>
      <c r="E65" s="27"/>
    </row>
    <row r="66" spans="1:6" ht="15" customHeight="1" x14ac:dyDescent="0.25">
      <c r="A66" s="5" t="s">
        <v>536</v>
      </c>
      <c r="B66" s="16" t="s">
        <v>521</v>
      </c>
      <c r="C66" s="17">
        <f>C16-C46</f>
        <v>-4414303</v>
      </c>
      <c r="D66" s="17">
        <f>D16-D46</f>
        <v>-151202</v>
      </c>
      <c r="E66" s="17">
        <f>E16-E46</f>
        <v>-4565505</v>
      </c>
      <c r="F66" s="44"/>
    </row>
    <row r="67" spans="1:6" ht="30" customHeight="1" x14ac:dyDescent="0.25">
      <c r="A67" s="5" t="s">
        <v>537</v>
      </c>
      <c r="B67" s="16" t="s">
        <v>521</v>
      </c>
      <c r="C67" s="23">
        <f>C68+C73+C76</f>
        <v>4414303</v>
      </c>
      <c r="D67" s="23">
        <f>D68+D73+D76</f>
        <v>151202</v>
      </c>
      <c r="E67" s="23">
        <f>E68+E73+E76</f>
        <v>4565504.5652173916</v>
      </c>
      <c r="F67" s="44"/>
    </row>
    <row r="68" spans="1:6" s="28" customFormat="1" ht="15" customHeight="1" x14ac:dyDescent="0.25">
      <c r="A68" s="16" t="s">
        <v>538</v>
      </c>
      <c r="B68" s="16" t="s">
        <v>539</v>
      </c>
      <c r="C68" s="23">
        <f>C69+C70</f>
        <v>2919378</v>
      </c>
      <c r="D68" s="23">
        <f t="shared" ref="D68" si="13">D69+D70</f>
        <v>151202</v>
      </c>
      <c r="E68" s="23">
        <f>E69+E70</f>
        <v>3070580</v>
      </c>
      <c r="F68" s="44"/>
    </row>
    <row r="69" spans="1:6" s="28" customFormat="1" ht="15" customHeight="1" x14ac:dyDescent="0.25">
      <c r="A69" s="16" t="s">
        <v>540</v>
      </c>
      <c r="B69" s="16" t="s">
        <v>541</v>
      </c>
      <c r="C69" s="17">
        <v>5214</v>
      </c>
      <c r="D69" s="17"/>
      <c r="E69" s="23">
        <v>5214</v>
      </c>
      <c r="F69" s="44"/>
    </row>
    <row r="70" spans="1:6" s="28" customFormat="1" ht="15" customHeight="1" x14ac:dyDescent="0.25">
      <c r="A70" s="16" t="s">
        <v>542</v>
      </c>
      <c r="B70" s="16" t="s">
        <v>543</v>
      </c>
      <c r="C70" s="23">
        <f>C71-C72</f>
        <v>2914164</v>
      </c>
      <c r="D70" s="23">
        <f>D71-D72</f>
        <v>151202</v>
      </c>
      <c r="E70" s="23">
        <f>E71-E72</f>
        <v>3065366</v>
      </c>
      <c r="F70" s="44"/>
    </row>
    <row r="71" spans="1:6" ht="15" customHeight="1" x14ac:dyDescent="0.25">
      <c r="A71" s="16" t="s">
        <v>544</v>
      </c>
      <c r="B71" s="16" t="s">
        <v>545</v>
      </c>
      <c r="C71" s="17">
        <v>3385839</v>
      </c>
      <c r="D71" s="17"/>
      <c r="E71" s="23">
        <v>3385839</v>
      </c>
      <c r="F71" s="44"/>
    </row>
    <row r="72" spans="1:6" ht="30" customHeight="1" x14ac:dyDescent="0.25">
      <c r="A72" s="16" t="s">
        <v>546</v>
      </c>
      <c r="B72" s="16" t="s">
        <v>547</v>
      </c>
      <c r="C72" s="17">
        <v>471675</v>
      </c>
      <c r="D72" s="17">
        <v>-151202</v>
      </c>
      <c r="E72" s="23">
        <f>C72+D72</f>
        <v>320473</v>
      </c>
      <c r="F72" s="44"/>
    </row>
    <row r="73" spans="1:6" ht="15" customHeight="1" x14ac:dyDescent="0.25">
      <c r="A73" s="16" t="s">
        <v>260</v>
      </c>
      <c r="B73" s="16" t="s">
        <v>548</v>
      </c>
      <c r="C73" s="23">
        <f t="shared" ref="C73" si="14">C74-C75</f>
        <v>1570417</v>
      </c>
      <c r="D73" s="23">
        <f>D74-D75</f>
        <v>0</v>
      </c>
      <c r="E73" s="23">
        <f>E74-E75</f>
        <v>1570416.5652173916</v>
      </c>
      <c r="F73" s="44"/>
    </row>
    <row r="74" spans="1:6" ht="15" customHeight="1" x14ac:dyDescent="0.25">
      <c r="A74" s="16" t="s">
        <v>549</v>
      </c>
      <c r="B74" s="16" t="s">
        <v>554</v>
      </c>
      <c r="C74" s="17">
        <v>3343085</v>
      </c>
      <c r="D74" s="17">
        <v>0</v>
      </c>
      <c r="E74" s="23">
        <f>'3.pielikums'!G16</f>
        <v>3343084.5652173916</v>
      </c>
      <c r="F74" s="44"/>
    </row>
    <row r="75" spans="1:6" ht="15" customHeight="1" x14ac:dyDescent="0.25">
      <c r="A75" s="16" t="s">
        <v>550</v>
      </c>
      <c r="B75" s="16" t="s">
        <v>551</v>
      </c>
      <c r="C75" s="17">
        <v>1772668</v>
      </c>
      <c r="D75" s="17">
        <v>0</v>
      </c>
      <c r="E75" s="23">
        <f>C75+D75</f>
        <v>1772668</v>
      </c>
      <c r="F75" s="44"/>
    </row>
    <row r="76" spans="1:6" x14ac:dyDescent="0.25">
      <c r="A76" s="30" t="s">
        <v>644</v>
      </c>
      <c r="B76" s="30" t="s">
        <v>645</v>
      </c>
      <c r="C76" s="23">
        <v>-75492</v>
      </c>
      <c r="D76" s="23">
        <v>0</v>
      </c>
      <c r="E76" s="23">
        <f>D76+C76</f>
        <v>-75492</v>
      </c>
      <c r="F76" s="44"/>
    </row>
    <row r="77" spans="1:6" x14ac:dyDescent="0.25">
      <c r="A77" s="28"/>
      <c r="B77" s="28"/>
      <c r="C77" s="47"/>
      <c r="D77" s="4"/>
      <c r="E77" s="47"/>
    </row>
    <row r="78" spans="1:6" x14ac:dyDescent="0.25">
      <c r="A78" s="134" t="s">
        <v>689</v>
      </c>
      <c r="B78" s="134"/>
      <c r="C78" s="134"/>
      <c r="D78" s="134"/>
      <c r="E78" s="134"/>
    </row>
  </sheetData>
  <mergeCells count="2">
    <mergeCell ref="A13:E13"/>
    <mergeCell ref="A78:E78"/>
  </mergeCells>
  <pageMargins left="0.7" right="0.7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8"/>
  <sheetViews>
    <sheetView workbookViewId="0">
      <selection activeCell="B111" sqref="B111"/>
    </sheetView>
  </sheetViews>
  <sheetFormatPr defaultRowHeight="15" x14ac:dyDescent="0.25"/>
  <cols>
    <col min="1" max="1" width="16.140625" style="48" customWidth="1"/>
    <col min="2" max="2" width="47.140625" style="48" customWidth="1"/>
    <col min="3" max="5" width="15.7109375" style="48" customWidth="1"/>
    <col min="6" max="6" width="11.28515625" style="48" bestFit="1" customWidth="1"/>
    <col min="7" max="16384" width="9.140625" style="48"/>
  </cols>
  <sheetData>
    <row r="1" spans="1:5" ht="15.75" x14ac:dyDescent="0.25">
      <c r="E1" s="51" t="s">
        <v>692</v>
      </c>
    </row>
    <row r="2" spans="1:5" ht="15.75" x14ac:dyDescent="0.25">
      <c r="E2" s="51" t="s">
        <v>593</v>
      </c>
    </row>
    <row r="3" spans="1:5" ht="15.75" x14ac:dyDescent="0.25">
      <c r="E3" s="51" t="s">
        <v>682</v>
      </c>
    </row>
    <row r="4" spans="1:5" ht="15.75" x14ac:dyDescent="0.25">
      <c r="E4" s="51" t="s">
        <v>681</v>
      </c>
    </row>
    <row r="5" spans="1:5" ht="15.75" x14ac:dyDescent="0.25">
      <c r="E5" s="51" t="s">
        <v>679</v>
      </c>
    </row>
    <row r="6" spans="1:5" ht="15" customHeight="1" x14ac:dyDescent="0.25"/>
    <row r="7" spans="1:5" ht="15" customHeight="1" x14ac:dyDescent="0.25">
      <c r="A7" s="49"/>
      <c r="B7" s="49"/>
      <c r="C7" s="50"/>
      <c r="E7" s="51" t="s">
        <v>692</v>
      </c>
    </row>
    <row r="8" spans="1:5" ht="15" customHeight="1" x14ac:dyDescent="0.25">
      <c r="A8" s="49"/>
      <c r="B8" s="49"/>
      <c r="C8" s="51"/>
      <c r="E8" s="51" t="s">
        <v>593</v>
      </c>
    </row>
    <row r="9" spans="1:5" ht="15" customHeight="1" x14ac:dyDescent="0.25">
      <c r="A9" s="49"/>
      <c r="C9" s="51"/>
      <c r="E9" s="51" t="s">
        <v>683</v>
      </c>
    </row>
    <row r="10" spans="1:5" ht="15" customHeight="1" x14ac:dyDescent="0.25">
      <c r="A10" s="49"/>
      <c r="B10" s="52"/>
      <c r="C10" s="51"/>
      <c r="E10" s="51" t="s">
        <v>684</v>
      </c>
    </row>
    <row r="11" spans="1:5" ht="15" customHeight="1" x14ac:dyDescent="0.25">
      <c r="A11" s="49"/>
      <c r="B11" s="52"/>
      <c r="C11" s="49"/>
    </row>
    <row r="12" spans="1:5" ht="15" customHeight="1" x14ac:dyDescent="0.25">
      <c r="A12" s="49"/>
      <c r="B12" s="52"/>
      <c r="C12" s="49"/>
    </row>
    <row r="13" spans="1:5" ht="15" customHeight="1" x14ac:dyDescent="0.25">
      <c r="A13" s="49"/>
      <c r="B13" s="53"/>
      <c r="C13" s="49"/>
    </row>
    <row r="14" spans="1:5" ht="15" customHeight="1" x14ac:dyDescent="0.3">
      <c r="A14" s="125" t="s">
        <v>693</v>
      </c>
      <c r="B14" s="125"/>
      <c r="C14" s="125"/>
      <c r="D14" s="125"/>
      <c r="E14" s="125"/>
    </row>
    <row r="15" spans="1:5" ht="15" customHeight="1" x14ac:dyDescent="0.25">
      <c r="A15" s="49"/>
      <c r="B15" s="49"/>
      <c r="C15" s="49"/>
    </row>
    <row r="16" spans="1:5" ht="15" customHeight="1" x14ac:dyDescent="0.25">
      <c r="A16" s="123" t="s">
        <v>253</v>
      </c>
      <c r="B16" s="126" t="s">
        <v>330</v>
      </c>
      <c r="C16" s="123" t="s">
        <v>573</v>
      </c>
      <c r="D16" s="123" t="s">
        <v>632</v>
      </c>
      <c r="E16" s="124" t="s">
        <v>631</v>
      </c>
    </row>
    <row r="17" spans="1:6" ht="44.25" customHeight="1" x14ac:dyDescent="0.25">
      <c r="A17" s="123"/>
      <c r="B17" s="126"/>
      <c r="C17" s="123"/>
      <c r="D17" s="123"/>
      <c r="E17" s="124"/>
    </row>
    <row r="18" spans="1:6" s="56" customFormat="1" ht="15" customHeight="1" x14ac:dyDescent="0.25">
      <c r="A18" s="1" t="s">
        <v>331</v>
      </c>
      <c r="B18" s="54" t="s">
        <v>332</v>
      </c>
      <c r="C18" s="55">
        <f>C20+C23+C35+C43+C54+C57+C59+C115+C116+C120+C68+C64+C105+C41</f>
        <v>35342432</v>
      </c>
      <c r="D18" s="55">
        <f>D20+D23+D35+D43+D54+D57+D59+D115+D116+D120+D68+D64+D105+D41</f>
        <v>315316</v>
      </c>
      <c r="E18" s="55">
        <f>C18+D18</f>
        <v>35657748</v>
      </c>
      <c r="F18" s="113"/>
    </row>
    <row r="19" spans="1:6" s="56" customFormat="1" ht="15" customHeight="1" x14ac:dyDescent="0.25">
      <c r="A19" s="54">
        <v>1</v>
      </c>
      <c r="B19" s="54" t="s">
        <v>333</v>
      </c>
      <c r="C19" s="55">
        <f>C20+C23+C35</f>
        <v>11213175</v>
      </c>
      <c r="D19" s="55"/>
      <c r="E19" s="55">
        <f t="shared" ref="E19:E86" si="0">C19+D19</f>
        <v>11213175</v>
      </c>
    </row>
    <row r="20" spans="1:6" s="56" customFormat="1" ht="15" customHeight="1" x14ac:dyDescent="0.25">
      <c r="A20" s="54" t="s">
        <v>334</v>
      </c>
      <c r="B20" s="54" t="s">
        <v>335</v>
      </c>
      <c r="C20" s="55">
        <f>C21</f>
        <v>9921221</v>
      </c>
      <c r="D20" s="55">
        <f>D21</f>
        <v>0</v>
      </c>
      <c r="E20" s="55">
        <f t="shared" si="0"/>
        <v>9921221</v>
      </c>
    </row>
    <row r="21" spans="1:6" s="56" customFormat="1" ht="15" customHeight="1" x14ac:dyDescent="0.25">
      <c r="A21" s="54" t="s">
        <v>336</v>
      </c>
      <c r="B21" s="54" t="s">
        <v>337</v>
      </c>
      <c r="C21" s="55">
        <f>C22</f>
        <v>9921221</v>
      </c>
      <c r="D21" s="55">
        <f>D22</f>
        <v>0</v>
      </c>
      <c r="E21" s="55">
        <f>C21+D21</f>
        <v>9921221</v>
      </c>
    </row>
    <row r="22" spans="1:6" ht="15" customHeight="1" x14ac:dyDescent="0.25">
      <c r="A22" s="57" t="s">
        <v>338</v>
      </c>
      <c r="B22" s="58" t="s">
        <v>337</v>
      </c>
      <c r="C22" s="59">
        <v>9921221</v>
      </c>
      <c r="D22" s="59">
        <v>0</v>
      </c>
      <c r="E22" s="55">
        <f t="shared" si="0"/>
        <v>9921221</v>
      </c>
    </row>
    <row r="23" spans="1:6" s="56" customFormat="1" ht="15" customHeight="1" x14ac:dyDescent="0.25">
      <c r="A23" s="60" t="s">
        <v>339</v>
      </c>
      <c r="B23" s="54" t="s">
        <v>340</v>
      </c>
      <c r="C23" s="55">
        <f>C24</f>
        <v>1245954</v>
      </c>
      <c r="D23" s="55"/>
      <c r="E23" s="55">
        <f t="shared" si="0"/>
        <v>1245954</v>
      </c>
    </row>
    <row r="24" spans="1:6" s="56" customFormat="1" ht="15" customHeight="1" x14ac:dyDescent="0.25">
      <c r="A24" s="54" t="s">
        <v>341</v>
      </c>
      <c r="B24" s="54" t="s">
        <v>342</v>
      </c>
      <c r="C24" s="55">
        <f>C25+C28+C32</f>
        <v>1245954</v>
      </c>
      <c r="D24" s="55"/>
      <c r="E24" s="55">
        <f t="shared" si="0"/>
        <v>1245954</v>
      </c>
    </row>
    <row r="25" spans="1:6" s="56" customFormat="1" ht="15" customHeight="1" x14ac:dyDescent="0.25">
      <c r="A25" s="54" t="s">
        <v>343</v>
      </c>
      <c r="B25" s="54" t="s">
        <v>344</v>
      </c>
      <c r="C25" s="55">
        <f>C26+C27</f>
        <v>1114475</v>
      </c>
      <c r="D25" s="55"/>
      <c r="E25" s="55">
        <f t="shared" si="0"/>
        <v>1114475</v>
      </c>
    </row>
    <row r="26" spans="1:6" ht="30" customHeight="1" x14ac:dyDescent="0.25">
      <c r="A26" s="58" t="s">
        <v>345</v>
      </c>
      <c r="B26" s="61" t="s">
        <v>346</v>
      </c>
      <c r="C26" s="59">
        <v>1047119</v>
      </c>
      <c r="D26" s="59"/>
      <c r="E26" s="59">
        <f t="shared" si="0"/>
        <v>1047119</v>
      </c>
    </row>
    <row r="27" spans="1:6" ht="30" customHeight="1" x14ac:dyDescent="0.25">
      <c r="A27" s="58" t="s">
        <v>347</v>
      </c>
      <c r="B27" s="61" t="s">
        <v>348</v>
      </c>
      <c r="C27" s="59">
        <v>67356</v>
      </c>
      <c r="D27" s="59"/>
      <c r="E27" s="59">
        <f t="shared" si="0"/>
        <v>67356</v>
      </c>
    </row>
    <row r="28" spans="1:6" s="56" customFormat="1" ht="15" customHeight="1" x14ac:dyDescent="0.25">
      <c r="A28" s="54" t="s">
        <v>349</v>
      </c>
      <c r="B28" s="54" t="s">
        <v>350</v>
      </c>
      <c r="C28" s="55">
        <f>C29+C31</f>
        <v>81363</v>
      </c>
      <c r="D28" s="55"/>
      <c r="E28" s="55">
        <f t="shared" si="0"/>
        <v>81363</v>
      </c>
    </row>
    <row r="29" spans="1:6" ht="30" customHeight="1" x14ac:dyDescent="0.25">
      <c r="A29" s="58" t="s">
        <v>351</v>
      </c>
      <c r="B29" s="61" t="s">
        <v>352</v>
      </c>
      <c r="C29" s="59">
        <v>76097</v>
      </c>
      <c r="D29" s="59"/>
      <c r="E29" s="59">
        <f t="shared" si="0"/>
        <v>76097</v>
      </c>
    </row>
    <row r="30" spans="1:6" ht="15" customHeight="1" x14ac:dyDescent="0.25">
      <c r="A30" s="58"/>
      <c r="B30" s="61" t="s">
        <v>353</v>
      </c>
      <c r="C30" s="59">
        <v>4954</v>
      </c>
      <c r="D30" s="59"/>
      <c r="E30" s="59">
        <f t="shared" si="0"/>
        <v>4954</v>
      </c>
    </row>
    <row r="31" spans="1:6" ht="30" customHeight="1" x14ac:dyDescent="0.25">
      <c r="A31" s="58" t="s">
        <v>354</v>
      </c>
      <c r="B31" s="61" t="s">
        <v>355</v>
      </c>
      <c r="C31" s="59">
        <v>5266</v>
      </c>
      <c r="D31" s="59"/>
      <c r="E31" s="59">
        <f t="shared" si="0"/>
        <v>5266</v>
      </c>
    </row>
    <row r="32" spans="1:6" s="56" customFormat="1" ht="15" customHeight="1" x14ac:dyDescent="0.25">
      <c r="A32" s="54" t="s">
        <v>356</v>
      </c>
      <c r="B32" s="62" t="s">
        <v>357</v>
      </c>
      <c r="C32" s="55">
        <f>C33+C34</f>
        <v>50116</v>
      </c>
      <c r="D32" s="55"/>
      <c r="E32" s="55">
        <f t="shared" si="0"/>
        <v>50116</v>
      </c>
    </row>
    <row r="33" spans="1:5" ht="30" customHeight="1" x14ac:dyDescent="0.25">
      <c r="A33" s="58" t="s">
        <v>358</v>
      </c>
      <c r="B33" s="61" t="s">
        <v>359</v>
      </c>
      <c r="C33" s="59">
        <v>41969</v>
      </c>
      <c r="D33" s="59"/>
      <c r="E33" s="59">
        <f t="shared" si="0"/>
        <v>41969</v>
      </c>
    </row>
    <row r="34" spans="1:5" ht="30" customHeight="1" x14ac:dyDescent="0.25">
      <c r="A34" s="58" t="s">
        <v>360</v>
      </c>
      <c r="B34" s="61" t="s">
        <v>615</v>
      </c>
      <c r="C34" s="59">
        <v>8147</v>
      </c>
      <c r="D34" s="59"/>
      <c r="E34" s="59">
        <f t="shared" si="0"/>
        <v>8147</v>
      </c>
    </row>
    <row r="35" spans="1:5" s="56" customFormat="1" ht="30" customHeight="1" x14ac:dyDescent="0.25">
      <c r="A35" s="54" t="s">
        <v>361</v>
      </c>
      <c r="B35" s="62" t="s">
        <v>362</v>
      </c>
      <c r="C35" s="55">
        <f>C36+C38</f>
        <v>46000</v>
      </c>
      <c r="D35" s="55"/>
      <c r="E35" s="55">
        <f t="shared" si="0"/>
        <v>46000</v>
      </c>
    </row>
    <row r="36" spans="1:5" s="56" customFormat="1" ht="30" customHeight="1" x14ac:dyDescent="0.25">
      <c r="A36" s="54" t="s">
        <v>363</v>
      </c>
      <c r="B36" s="62" t="s">
        <v>364</v>
      </c>
      <c r="C36" s="55">
        <f>C37</f>
        <v>9000</v>
      </c>
      <c r="D36" s="55"/>
      <c r="E36" s="55">
        <f t="shared" si="0"/>
        <v>9000</v>
      </c>
    </row>
    <row r="37" spans="1:5" ht="15" customHeight="1" x14ac:dyDescent="0.25">
      <c r="A37" s="58" t="s">
        <v>365</v>
      </c>
      <c r="B37" s="58" t="s">
        <v>366</v>
      </c>
      <c r="C37" s="59">
        <v>9000</v>
      </c>
      <c r="D37" s="59"/>
      <c r="E37" s="59">
        <f t="shared" si="0"/>
        <v>9000</v>
      </c>
    </row>
    <row r="38" spans="1:5" s="56" customFormat="1" ht="30" customHeight="1" x14ac:dyDescent="0.25">
      <c r="A38" s="54" t="s">
        <v>367</v>
      </c>
      <c r="B38" s="62" t="s">
        <v>368</v>
      </c>
      <c r="C38" s="55">
        <f>C39</f>
        <v>37000</v>
      </c>
      <c r="D38" s="55"/>
      <c r="E38" s="55">
        <f t="shared" si="0"/>
        <v>37000</v>
      </c>
    </row>
    <row r="39" spans="1:5" ht="15" customHeight="1" x14ac:dyDescent="0.25">
      <c r="A39" s="58" t="s">
        <v>369</v>
      </c>
      <c r="B39" s="58" t="s">
        <v>370</v>
      </c>
      <c r="C39" s="59">
        <v>37000</v>
      </c>
      <c r="D39" s="59"/>
      <c r="E39" s="59">
        <f t="shared" si="0"/>
        <v>37000</v>
      </c>
    </row>
    <row r="40" spans="1:5" ht="15" customHeight="1" x14ac:dyDescent="0.25">
      <c r="A40" s="54">
        <v>2</v>
      </c>
      <c r="B40" s="54" t="s">
        <v>371</v>
      </c>
      <c r="C40" s="55">
        <f>C41+C43+C54+C57+C59</f>
        <v>693857</v>
      </c>
      <c r="D40" s="55">
        <f>D41+D43+D54+D57+D59</f>
        <v>114000</v>
      </c>
      <c r="E40" s="55">
        <f t="shared" si="0"/>
        <v>807857</v>
      </c>
    </row>
    <row r="41" spans="1:5" s="56" customFormat="1" ht="15" customHeight="1" x14ac:dyDescent="0.25">
      <c r="A41" s="54" t="s">
        <v>372</v>
      </c>
      <c r="B41" s="54" t="s">
        <v>373</v>
      </c>
      <c r="C41" s="55">
        <f>C42</f>
        <v>7080</v>
      </c>
      <c r="D41" s="55"/>
      <c r="E41" s="55">
        <f t="shared" si="0"/>
        <v>7080</v>
      </c>
    </row>
    <row r="42" spans="1:5" ht="30" customHeight="1" x14ac:dyDescent="0.25">
      <c r="A42" s="58" t="s">
        <v>374</v>
      </c>
      <c r="B42" s="61" t="s">
        <v>375</v>
      </c>
      <c r="C42" s="59">
        <v>7080</v>
      </c>
      <c r="D42" s="59"/>
      <c r="E42" s="59">
        <f t="shared" si="0"/>
        <v>7080</v>
      </c>
    </row>
    <row r="43" spans="1:5" s="56" customFormat="1" ht="30" customHeight="1" x14ac:dyDescent="0.25">
      <c r="A43" s="54" t="s">
        <v>376</v>
      </c>
      <c r="B43" s="62" t="s">
        <v>377</v>
      </c>
      <c r="C43" s="55">
        <f>C44+C48</f>
        <v>24840</v>
      </c>
      <c r="D43" s="55"/>
      <c r="E43" s="55">
        <f t="shared" si="0"/>
        <v>24840</v>
      </c>
    </row>
    <row r="44" spans="1:5" s="56" customFormat="1" ht="15" customHeight="1" x14ac:dyDescent="0.25">
      <c r="A44" s="54" t="s">
        <v>378</v>
      </c>
      <c r="B44" s="62" t="s">
        <v>379</v>
      </c>
      <c r="C44" s="55">
        <f>C45+C46+C47</f>
        <v>12690</v>
      </c>
      <c r="D44" s="55"/>
      <c r="E44" s="55">
        <f t="shared" si="0"/>
        <v>12690</v>
      </c>
    </row>
    <row r="45" spans="1:5" ht="30" customHeight="1" x14ac:dyDescent="0.25">
      <c r="A45" s="58" t="s">
        <v>380</v>
      </c>
      <c r="B45" s="61" t="s">
        <v>381</v>
      </c>
      <c r="C45" s="59">
        <v>11000</v>
      </c>
      <c r="D45" s="59"/>
      <c r="E45" s="59">
        <f t="shared" si="0"/>
        <v>11000</v>
      </c>
    </row>
    <row r="46" spans="1:5" ht="30" customHeight="1" x14ac:dyDescent="0.25">
      <c r="A46" s="58" t="s">
        <v>382</v>
      </c>
      <c r="B46" s="61" t="s">
        <v>383</v>
      </c>
      <c r="C46" s="59">
        <v>1400</v>
      </c>
      <c r="D46" s="59"/>
      <c r="E46" s="59">
        <f t="shared" si="0"/>
        <v>1400</v>
      </c>
    </row>
    <row r="47" spans="1:5" ht="30" customHeight="1" x14ac:dyDescent="0.25">
      <c r="A47" s="58" t="s">
        <v>384</v>
      </c>
      <c r="B47" s="61" t="s">
        <v>385</v>
      </c>
      <c r="C47" s="59">
        <v>290</v>
      </c>
      <c r="D47" s="59"/>
      <c r="E47" s="59">
        <f t="shared" si="0"/>
        <v>290</v>
      </c>
    </row>
    <row r="48" spans="1:5" s="56" customFormat="1" ht="15" customHeight="1" x14ac:dyDescent="0.25">
      <c r="A48" s="54" t="s">
        <v>386</v>
      </c>
      <c r="B48" s="54" t="s">
        <v>387</v>
      </c>
      <c r="C48" s="55">
        <f>C49+C50+C51+C52+C53</f>
        <v>12150</v>
      </c>
      <c r="D48" s="55"/>
      <c r="E48" s="55">
        <f t="shared" si="0"/>
        <v>12150</v>
      </c>
    </row>
    <row r="49" spans="1:5" ht="28.5" customHeight="1" x14ac:dyDescent="0.25">
      <c r="A49" s="58" t="s">
        <v>388</v>
      </c>
      <c r="B49" s="61" t="s">
        <v>389</v>
      </c>
      <c r="C49" s="59">
        <v>1000</v>
      </c>
      <c r="D49" s="59"/>
      <c r="E49" s="59">
        <f t="shared" si="0"/>
        <v>1000</v>
      </c>
    </row>
    <row r="50" spans="1:5" ht="15" customHeight="1" x14ac:dyDescent="0.25">
      <c r="A50" s="58" t="s">
        <v>390</v>
      </c>
      <c r="B50" s="61" t="s">
        <v>391</v>
      </c>
      <c r="C50" s="59">
        <v>1000</v>
      </c>
      <c r="D50" s="59"/>
      <c r="E50" s="59">
        <f t="shared" si="0"/>
        <v>1000</v>
      </c>
    </row>
    <row r="51" spans="1:5" ht="30" customHeight="1" x14ac:dyDescent="0.25">
      <c r="A51" s="58" t="s">
        <v>392</v>
      </c>
      <c r="B51" s="61" t="s">
        <v>616</v>
      </c>
      <c r="C51" s="59">
        <v>50</v>
      </c>
      <c r="D51" s="59"/>
      <c r="E51" s="59">
        <f t="shared" si="0"/>
        <v>50</v>
      </c>
    </row>
    <row r="52" spans="1:5" ht="30" customHeight="1" x14ac:dyDescent="0.25">
      <c r="A52" s="58" t="s">
        <v>393</v>
      </c>
      <c r="B52" s="61" t="s">
        <v>594</v>
      </c>
      <c r="C52" s="59">
        <v>10000</v>
      </c>
      <c r="D52" s="59"/>
      <c r="E52" s="59">
        <f t="shared" si="0"/>
        <v>10000</v>
      </c>
    </row>
    <row r="53" spans="1:5" ht="15" customHeight="1" x14ac:dyDescent="0.25">
      <c r="A53" s="58" t="s">
        <v>394</v>
      </c>
      <c r="B53" s="61" t="s">
        <v>395</v>
      </c>
      <c r="C53" s="59">
        <v>100</v>
      </c>
      <c r="D53" s="59"/>
      <c r="E53" s="59">
        <f t="shared" si="0"/>
        <v>100</v>
      </c>
    </row>
    <row r="54" spans="1:5" s="56" customFormat="1" ht="15" customHeight="1" x14ac:dyDescent="0.25">
      <c r="A54" s="54" t="s">
        <v>396</v>
      </c>
      <c r="B54" s="54" t="s">
        <v>397</v>
      </c>
      <c r="C54" s="55">
        <f>C55+C56</f>
        <v>4000</v>
      </c>
      <c r="D54" s="55"/>
      <c r="E54" s="55">
        <f t="shared" si="0"/>
        <v>4000</v>
      </c>
    </row>
    <row r="55" spans="1:5" ht="15" customHeight="1" x14ac:dyDescent="0.25">
      <c r="A55" s="58" t="s">
        <v>398</v>
      </c>
      <c r="B55" s="61" t="s">
        <v>399</v>
      </c>
      <c r="C55" s="59">
        <v>3500</v>
      </c>
      <c r="D55" s="59"/>
      <c r="E55" s="59">
        <f t="shared" si="0"/>
        <v>3500</v>
      </c>
    </row>
    <row r="56" spans="1:5" ht="30" customHeight="1" x14ac:dyDescent="0.25">
      <c r="A56" s="58" t="s">
        <v>400</v>
      </c>
      <c r="B56" s="61" t="s">
        <v>401</v>
      </c>
      <c r="C56" s="59">
        <v>500</v>
      </c>
      <c r="D56" s="59"/>
      <c r="E56" s="59">
        <f t="shared" si="0"/>
        <v>500</v>
      </c>
    </row>
    <row r="57" spans="1:5" s="56" customFormat="1" ht="15" customHeight="1" x14ac:dyDescent="0.25">
      <c r="A57" s="54" t="s">
        <v>402</v>
      </c>
      <c r="B57" s="62" t="s">
        <v>403</v>
      </c>
      <c r="C57" s="55">
        <f>C58</f>
        <v>152517</v>
      </c>
      <c r="D57" s="55">
        <f>D58</f>
        <v>0</v>
      </c>
      <c r="E57" s="55">
        <f t="shared" si="0"/>
        <v>152517</v>
      </c>
    </row>
    <row r="58" spans="1:5" ht="30" customHeight="1" x14ac:dyDescent="0.25">
      <c r="A58" s="58" t="s">
        <v>404</v>
      </c>
      <c r="B58" s="61" t="s">
        <v>405</v>
      </c>
      <c r="C58" s="59">
        <v>152517</v>
      </c>
      <c r="D58" s="59"/>
      <c r="E58" s="59">
        <f t="shared" si="0"/>
        <v>152517</v>
      </c>
    </row>
    <row r="59" spans="1:5" s="56" customFormat="1" ht="30" customHeight="1" x14ac:dyDescent="0.25">
      <c r="A59" s="54" t="s">
        <v>406</v>
      </c>
      <c r="B59" s="62" t="s">
        <v>407</v>
      </c>
      <c r="C59" s="55">
        <f>C60+C61+C63</f>
        <v>505420</v>
      </c>
      <c r="D59" s="55">
        <f>D60+D61+D63</f>
        <v>114000</v>
      </c>
      <c r="E59" s="55">
        <f t="shared" si="0"/>
        <v>619420</v>
      </c>
    </row>
    <row r="60" spans="1:5" ht="15" customHeight="1" x14ac:dyDescent="0.25">
      <c r="A60" s="58" t="s">
        <v>408</v>
      </c>
      <c r="B60" s="61" t="s">
        <v>409</v>
      </c>
      <c r="C60" s="59">
        <v>20000</v>
      </c>
      <c r="D60" s="59"/>
      <c r="E60" s="59">
        <f t="shared" si="0"/>
        <v>20000</v>
      </c>
    </row>
    <row r="61" spans="1:5" ht="15" customHeight="1" x14ac:dyDescent="0.25">
      <c r="A61" s="58" t="s">
        <v>410</v>
      </c>
      <c r="B61" s="58" t="s">
        <v>411</v>
      </c>
      <c r="C61" s="59">
        <v>433520</v>
      </c>
      <c r="D61" s="59">
        <f>D62</f>
        <v>100000</v>
      </c>
      <c r="E61" s="59">
        <f t="shared" si="0"/>
        <v>533520</v>
      </c>
    </row>
    <row r="62" spans="1:5" ht="15" customHeight="1" x14ac:dyDescent="0.25">
      <c r="A62" s="58" t="s">
        <v>412</v>
      </c>
      <c r="B62" s="58" t="s">
        <v>413</v>
      </c>
      <c r="C62" s="59">
        <v>433520</v>
      </c>
      <c r="D62" s="59">
        <v>100000</v>
      </c>
      <c r="E62" s="59">
        <f t="shared" si="0"/>
        <v>533520</v>
      </c>
    </row>
    <row r="63" spans="1:5" ht="15" customHeight="1" x14ac:dyDescent="0.25">
      <c r="A63" s="58" t="s">
        <v>659</v>
      </c>
      <c r="B63" s="58" t="s">
        <v>660</v>
      </c>
      <c r="C63" s="59">
        <v>51900</v>
      </c>
      <c r="D63" s="59">
        <v>14000</v>
      </c>
      <c r="E63" s="59">
        <f t="shared" si="0"/>
        <v>65900</v>
      </c>
    </row>
    <row r="64" spans="1:5" s="56" customFormat="1" ht="47.1" customHeight="1" x14ac:dyDescent="0.25">
      <c r="A64" s="54" t="s">
        <v>414</v>
      </c>
      <c r="B64" s="62" t="s">
        <v>415</v>
      </c>
      <c r="C64" s="55">
        <f>C65+C66</f>
        <v>912778</v>
      </c>
      <c r="D64" s="55">
        <f>D65+D66</f>
        <v>5513</v>
      </c>
      <c r="E64" s="55">
        <f t="shared" si="0"/>
        <v>918291</v>
      </c>
    </row>
    <row r="65" spans="1:5" ht="47.1" customHeight="1" x14ac:dyDescent="0.25">
      <c r="A65" s="58" t="s">
        <v>417</v>
      </c>
      <c r="B65" s="63" t="s">
        <v>416</v>
      </c>
      <c r="C65" s="59">
        <v>462678</v>
      </c>
      <c r="D65" s="59"/>
      <c r="E65" s="59">
        <f t="shared" si="0"/>
        <v>462678</v>
      </c>
    </row>
    <row r="66" spans="1:5" ht="47.1" customHeight="1" x14ac:dyDescent="0.25">
      <c r="A66" s="58" t="s">
        <v>417</v>
      </c>
      <c r="B66" s="63" t="s">
        <v>617</v>
      </c>
      <c r="C66" s="59">
        <v>450100</v>
      </c>
      <c r="D66" s="59">
        <v>5513</v>
      </c>
      <c r="E66" s="59">
        <f t="shared" si="0"/>
        <v>455613</v>
      </c>
    </row>
    <row r="67" spans="1:5" s="56" customFormat="1" ht="15" customHeight="1" x14ac:dyDescent="0.25">
      <c r="A67" s="54" t="s">
        <v>418</v>
      </c>
      <c r="B67" s="54" t="s">
        <v>419</v>
      </c>
      <c r="C67" s="55">
        <f>C68+C105+C115</f>
        <v>17171440</v>
      </c>
      <c r="D67" s="55">
        <f>D68+D105+D115</f>
        <v>115667</v>
      </c>
      <c r="E67" s="55">
        <f t="shared" si="0"/>
        <v>17287107</v>
      </c>
    </row>
    <row r="68" spans="1:5" s="56" customFormat="1" ht="30" customHeight="1" x14ac:dyDescent="0.25">
      <c r="A68" s="54" t="s">
        <v>420</v>
      </c>
      <c r="B68" s="62" t="s">
        <v>421</v>
      </c>
      <c r="C68" s="55">
        <f>SUM(C69:C104)</f>
        <v>9369711</v>
      </c>
      <c r="D68" s="55">
        <f>SUM(D69:D104)</f>
        <v>115327</v>
      </c>
      <c r="E68" s="55">
        <f>C68+D68</f>
        <v>9485038</v>
      </c>
    </row>
    <row r="69" spans="1:5" ht="45" customHeight="1" x14ac:dyDescent="0.25">
      <c r="A69" s="58" t="s">
        <v>420</v>
      </c>
      <c r="B69" s="61" t="s">
        <v>422</v>
      </c>
      <c r="C69" s="59">
        <v>4251868</v>
      </c>
      <c r="D69" s="59"/>
      <c r="E69" s="59">
        <f t="shared" si="0"/>
        <v>4251868</v>
      </c>
    </row>
    <row r="70" spans="1:5" ht="60" customHeight="1" x14ac:dyDescent="0.25">
      <c r="A70" s="58" t="s">
        <v>420</v>
      </c>
      <c r="B70" s="61" t="s">
        <v>423</v>
      </c>
      <c r="C70" s="59">
        <v>233544</v>
      </c>
      <c r="D70" s="59"/>
      <c r="E70" s="59">
        <f t="shared" si="0"/>
        <v>233544</v>
      </c>
    </row>
    <row r="71" spans="1:5" ht="45" customHeight="1" x14ac:dyDescent="0.25">
      <c r="A71" s="58" t="s">
        <v>420</v>
      </c>
      <c r="B71" s="61" t="s">
        <v>424</v>
      </c>
      <c r="C71" s="59">
        <v>198589</v>
      </c>
      <c r="D71" s="59"/>
      <c r="E71" s="59">
        <f t="shared" si="0"/>
        <v>198589</v>
      </c>
    </row>
    <row r="72" spans="1:5" ht="60" customHeight="1" x14ac:dyDescent="0.25">
      <c r="A72" s="58" t="s">
        <v>420</v>
      </c>
      <c r="B72" s="61" t="s">
        <v>618</v>
      </c>
      <c r="C72" s="59">
        <v>616832</v>
      </c>
      <c r="D72" s="59"/>
      <c r="E72" s="59">
        <f>C72+D72</f>
        <v>616832</v>
      </c>
    </row>
    <row r="73" spans="1:5" ht="32.25" customHeight="1" x14ac:dyDescent="0.25">
      <c r="A73" s="58" t="s">
        <v>420</v>
      </c>
      <c r="B73" s="63" t="s">
        <v>667</v>
      </c>
      <c r="C73" s="59"/>
      <c r="D73" s="59">
        <v>759</v>
      </c>
      <c r="E73" s="59">
        <f>C73+D73</f>
        <v>759</v>
      </c>
    </row>
    <row r="74" spans="1:5" ht="30" customHeight="1" x14ac:dyDescent="0.25">
      <c r="A74" s="58" t="s">
        <v>420</v>
      </c>
      <c r="B74" s="61" t="s">
        <v>425</v>
      </c>
      <c r="C74" s="59">
        <v>25441</v>
      </c>
      <c r="D74" s="59"/>
      <c r="E74" s="59">
        <f t="shared" si="0"/>
        <v>25441</v>
      </c>
    </row>
    <row r="75" spans="1:5" ht="15" customHeight="1" x14ac:dyDescent="0.25">
      <c r="A75" s="58" t="s">
        <v>420</v>
      </c>
      <c r="B75" s="61" t="s">
        <v>426</v>
      </c>
      <c r="C75" s="59">
        <v>943732</v>
      </c>
      <c r="D75" s="59"/>
      <c r="E75" s="59">
        <f t="shared" si="0"/>
        <v>943732</v>
      </c>
    </row>
    <row r="76" spans="1:5" ht="15" customHeight="1" x14ac:dyDescent="0.25">
      <c r="A76" s="58" t="s">
        <v>420</v>
      </c>
      <c r="B76" s="58" t="s">
        <v>427</v>
      </c>
      <c r="C76" s="59">
        <v>289876</v>
      </c>
      <c r="D76" s="59"/>
      <c r="E76" s="59">
        <f t="shared" si="0"/>
        <v>289876</v>
      </c>
    </row>
    <row r="77" spans="1:5" ht="15" customHeight="1" x14ac:dyDescent="0.25">
      <c r="A77" s="58" t="s">
        <v>420</v>
      </c>
      <c r="B77" s="58" t="s">
        <v>428</v>
      </c>
      <c r="C77" s="59">
        <v>678172</v>
      </c>
      <c r="D77" s="59"/>
      <c r="E77" s="59">
        <f t="shared" si="0"/>
        <v>678172</v>
      </c>
    </row>
    <row r="78" spans="1:5" ht="30" customHeight="1" x14ac:dyDescent="0.25">
      <c r="A78" s="58" t="s">
        <v>420</v>
      </c>
      <c r="B78" s="61" t="s">
        <v>429</v>
      </c>
      <c r="C78" s="59">
        <v>134651</v>
      </c>
      <c r="D78" s="59"/>
      <c r="E78" s="59">
        <f t="shared" si="0"/>
        <v>134651</v>
      </c>
    </row>
    <row r="79" spans="1:5" ht="30" customHeight="1" x14ac:dyDescent="0.25">
      <c r="A79" s="58" t="s">
        <v>420</v>
      </c>
      <c r="B79" s="61" t="s">
        <v>663</v>
      </c>
      <c r="C79" s="59">
        <v>46152</v>
      </c>
      <c r="D79" s="59"/>
      <c r="E79" s="59">
        <f t="shared" si="0"/>
        <v>46152</v>
      </c>
    </row>
    <row r="80" spans="1:5" ht="30" customHeight="1" x14ac:dyDescent="0.25">
      <c r="A80" s="58" t="s">
        <v>420</v>
      </c>
      <c r="B80" s="61" t="s">
        <v>675</v>
      </c>
      <c r="C80" s="59">
        <v>0</v>
      </c>
      <c r="D80" s="59">
        <v>2701</v>
      </c>
      <c r="E80" s="59">
        <f t="shared" si="0"/>
        <v>2701</v>
      </c>
    </row>
    <row r="81" spans="1:5" ht="45" customHeight="1" x14ac:dyDescent="0.25">
      <c r="A81" s="58" t="s">
        <v>420</v>
      </c>
      <c r="B81" s="61" t="s">
        <v>619</v>
      </c>
      <c r="C81" s="59">
        <v>142073</v>
      </c>
      <c r="D81" s="59"/>
      <c r="E81" s="59">
        <f t="shared" si="0"/>
        <v>142073</v>
      </c>
    </row>
    <row r="82" spans="1:5" ht="45" customHeight="1" x14ac:dyDescent="0.25">
      <c r="A82" s="58" t="s">
        <v>420</v>
      </c>
      <c r="B82" s="61" t="s">
        <v>430</v>
      </c>
      <c r="C82" s="59">
        <v>23722</v>
      </c>
      <c r="D82" s="59"/>
      <c r="E82" s="59">
        <f t="shared" si="0"/>
        <v>23722</v>
      </c>
    </row>
    <row r="83" spans="1:5" ht="30" customHeight="1" x14ac:dyDescent="0.25">
      <c r="A83" s="58" t="s">
        <v>420</v>
      </c>
      <c r="B83" s="61" t="s">
        <v>431</v>
      </c>
      <c r="C83" s="59">
        <v>55580</v>
      </c>
      <c r="D83" s="59"/>
      <c r="E83" s="59">
        <f t="shared" si="0"/>
        <v>55580</v>
      </c>
    </row>
    <row r="84" spans="1:5" ht="15" customHeight="1" x14ac:dyDescent="0.25">
      <c r="A84" s="58" t="s">
        <v>420</v>
      </c>
      <c r="B84" s="61" t="s">
        <v>432</v>
      </c>
      <c r="C84" s="59">
        <v>24650</v>
      </c>
      <c r="D84" s="59"/>
      <c r="E84" s="59">
        <f t="shared" si="0"/>
        <v>24650</v>
      </c>
    </row>
    <row r="85" spans="1:5" ht="30" customHeight="1" x14ac:dyDescent="0.25">
      <c r="A85" s="58" t="s">
        <v>420</v>
      </c>
      <c r="B85" s="61" t="s">
        <v>620</v>
      </c>
      <c r="C85" s="59">
        <v>3690</v>
      </c>
      <c r="D85" s="59"/>
      <c r="E85" s="59">
        <f t="shared" si="0"/>
        <v>3690</v>
      </c>
    </row>
    <row r="86" spans="1:5" ht="15" customHeight="1" x14ac:dyDescent="0.25">
      <c r="A86" s="58" t="s">
        <v>420</v>
      </c>
      <c r="B86" s="58" t="s">
        <v>433</v>
      </c>
      <c r="C86" s="59">
        <v>100386</v>
      </c>
      <c r="D86" s="59"/>
      <c r="E86" s="59">
        <f t="shared" si="0"/>
        <v>100386</v>
      </c>
    </row>
    <row r="87" spans="1:5" ht="15" customHeight="1" x14ac:dyDescent="0.25">
      <c r="A87" s="58" t="s">
        <v>420</v>
      </c>
      <c r="B87" s="58" t="s">
        <v>179</v>
      </c>
      <c r="C87" s="59">
        <v>34886</v>
      </c>
      <c r="D87" s="59"/>
      <c r="E87" s="59">
        <f t="shared" ref="E87:E146" si="1">C87+D87</f>
        <v>34886</v>
      </c>
    </row>
    <row r="88" spans="1:5" ht="30" customHeight="1" x14ac:dyDescent="0.25">
      <c r="A88" s="58" t="s">
        <v>420</v>
      </c>
      <c r="B88" s="61" t="s">
        <v>434</v>
      </c>
      <c r="C88" s="59">
        <v>484637</v>
      </c>
      <c r="D88" s="59">
        <v>8165</v>
      </c>
      <c r="E88" s="59">
        <f t="shared" si="1"/>
        <v>492802</v>
      </c>
    </row>
    <row r="89" spans="1:5" ht="30" customHeight="1" x14ac:dyDescent="0.25">
      <c r="A89" s="58" t="s">
        <v>420</v>
      </c>
      <c r="B89" s="61" t="s">
        <v>241</v>
      </c>
      <c r="C89" s="59">
        <v>111000</v>
      </c>
      <c r="D89" s="59"/>
      <c r="E89" s="59">
        <f t="shared" si="1"/>
        <v>111000</v>
      </c>
    </row>
    <row r="90" spans="1:5" ht="30" customHeight="1" x14ac:dyDescent="0.25">
      <c r="A90" s="58" t="s">
        <v>420</v>
      </c>
      <c r="B90" s="61" t="s">
        <v>647</v>
      </c>
      <c r="C90" s="59">
        <v>38098</v>
      </c>
      <c r="D90" s="59"/>
      <c r="E90" s="59">
        <f t="shared" si="1"/>
        <v>38098</v>
      </c>
    </row>
    <row r="91" spans="1:5" ht="15" customHeight="1" x14ac:dyDescent="0.25">
      <c r="A91" s="58" t="s">
        <v>420</v>
      </c>
      <c r="B91" s="61" t="s">
        <v>556</v>
      </c>
      <c r="C91" s="59">
        <v>5000</v>
      </c>
      <c r="D91" s="59"/>
      <c r="E91" s="59">
        <f t="shared" si="1"/>
        <v>5000</v>
      </c>
    </row>
    <row r="92" spans="1:5" ht="15" customHeight="1" x14ac:dyDescent="0.25">
      <c r="A92" s="58" t="s">
        <v>420</v>
      </c>
      <c r="B92" s="61" t="s">
        <v>564</v>
      </c>
      <c r="C92" s="59">
        <v>96548</v>
      </c>
      <c r="D92" s="59">
        <f>2013+4729</f>
        <v>6742</v>
      </c>
      <c r="E92" s="59">
        <f t="shared" si="1"/>
        <v>103290</v>
      </c>
    </row>
    <row r="93" spans="1:5" ht="15" customHeight="1" x14ac:dyDescent="0.25">
      <c r="A93" s="58" t="s">
        <v>420</v>
      </c>
      <c r="B93" s="63" t="s">
        <v>268</v>
      </c>
      <c r="C93" s="59">
        <v>172800</v>
      </c>
      <c r="D93" s="59"/>
      <c r="E93" s="59">
        <f t="shared" si="1"/>
        <v>172800</v>
      </c>
    </row>
    <row r="94" spans="1:5" ht="15" customHeight="1" x14ac:dyDescent="0.25">
      <c r="A94" s="58" t="s">
        <v>420</v>
      </c>
      <c r="B94" s="63" t="s">
        <v>552</v>
      </c>
      <c r="C94" s="59">
        <v>31392</v>
      </c>
      <c r="D94" s="59"/>
      <c r="E94" s="59">
        <f t="shared" si="1"/>
        <v>31392</v>
      </c>
    </row>
    <row r="95" spans="1:5" ht="32.1" customHeight="1" x14ac:dyDescent="0.25">
      <c r="A95" s="58" t="s">
        <v>420</v>
      </c>
      <c r="B95" s="63" t="s">
        <v>561</v>
      </c>
      <c r="C95" s="59">
        <v>25701</v>
      </c>
      <c r="D95" s="59"/>
      <c r="E95" s="59">
        <f t="shared" si="1"/>
        <v>25701</v>
      </c>
    </row>
    <row r="96" spans="1:5" ht="15" customHeight="1" x14ac:dyDescent="0.25">
      <c r="A96" s="58" t="s">
        <v>420</v>
      </c>
      <c r="B96" s="63" t="s">
        <v>562</v>
      </c>
      <c r="C96" s="59">
        <v>45466</v>
      </c>
      <c r="D96" s="59">
        <v>48436</v>
      </c>
      <c r="E96" s="59">
        <f t="shared" si="1"/>
        <v>93902</v>
      </c>
    </row>
    <row r="97" spans="1:5" ht="30" customHeight="1" x14ac:dyDescent="0.25">
      <c r="A97" s="58" t="s">
        <v>420</v>
      </c>
      <c r="B97" s="63" t="s">
        <v>557</v>
      </c>
      <c r="C97" s="59">
        <v>42157</v>
      </c>
      <c r="D97" s="59"/>
      <c r="E97" s="59">
        <f t="shared" si="1"/>
        <v>42157</v>
      </c>
    </row>
    <row r="98" spans="1:5" ht="30" customHeight="1" x14ac:dyDescent="0.25">
      <c r="A98" s="58" t="s">
        <v>420</v>
      </c>
      <c r="B98" s="63" t="s">
        <v>613</v>
      </c>
      <c r="C98" s="59">
        <v>53978</v>
      </c>
      <c r="D98" s="59"/>
      <c r="E98" s="59">
        <f t="shared" si="1"/>
        <v>53978</v>
      </c>
    </row>
    <row r="99" spans="1:5" ht="30" customHeight="1" x14ac:dyDescent="0.25">
      <c r="A99" s="58" t="s">
        <v>420</v>
      </c>
      <c r="B99" s="63" t="s">
        <v>614</v>
      </c>
      <c r="C99" s="59">
        <v>44978</v>
      </c>
      <c r="D99" s="59"/>
      <c r="E99" s="59">
        <f t="shared" si="1"/>
        <v>44978</v>
      </c>
    </row>
    <row r="100" spans="1:5" ht="15" customHeight="1" x14ac:dyDescent="0.25">
      <c r="A100" s="58" t="s">
        <v>420</v>
      </c>
      <c r="B100" s="63" t="s">
        <v>435</v>
      </c>
      <c r="C100" s="59">
        <v>231715</v>
      </c>
      <c r="D100" s="59"/>
      <c r="E100" s="59">
        <f t="shared" si="1"/>
        <v>231715</v>
      </c>
    </row>
    <row r="101" spans="1:5" ht="35.25" customHeight="1" x14ac:dyDescent="0.25">
      <c r="A101" s="58" t="s">
        <v>420</v>
      </c>
      <c r="B101" s="63" t="s">
        <v>666</v>
      </c>
      <c r="C101" s="59">
        <v>0</v>
      </c>
      <c r="D101" s="59">
        <v>40524</v>
      </c>
      <c r="E101" s="59">
        <f t="shared" si="1"/>
        <v>40524</v>
      </c>
    </row>
    <row r="102" spans="1:5" ht="35.25" customHeight="1" x14ac:dyDescent="0.25">
      <c r="A102" s="58" t="s">
        <v>420</v>
      </c>
      <c r="B102" s="63" t="s">
        <v>676</v>
      </c>
      <c r="C102" s="59"/>
      <c r="D102" s="59">
        <v>8000</v>
      </c>
      <c r="E102" s="59">
        <f t="shared" si="1"/>
        <v>8000</v>
      </c>
    </row>
    <row r="103" spans="1:5" ht="33" customHeight="1" x14ac:dyDescent="0.25">
      <c r="A103" s="58" t="s">
        <v>420</v>
      </c>
      <c r="B103" s="63" t="s">
        <v>662</v>
      </c>
      <c r="C103" s="59">
        <v>67306</v>
      </c>
      <c r="D103" s="59"/>
      <c r="E103" s="59">
        <f t="shared" si="1"/>
        <v>67306</v>
      </c>
    </row>
    <row r="104" spans="1:5" ht="30" customHeight="1" x14ac:dyDescent="0.25">
      <c r="A104" s="58" t="s">
        <v>420</v>
      </c>
      <c r="B104" s="63" t="s">
        <v>650</v>
      </c>
      <c r="C104" s="59">
        <v>115091</v>
      </c>
      <c r="D104" s="59"/>
      <c r="E104" s="59">
        <f t="shared" si="1"/>
        <v>115091</v>
      </c>
    </row>
    <row r="105" spans="1:5" s="56" customFormat="1" ht="60" customHeight="1" x14ac:dyDescent="0.25">
      <c r="A105" s="54" t="s">
        <v>436</v>
      </c>
      <c r="B105" s="62" t="s">
        <v>437</v>
      </c>
      <c r="C105" s="55">
        <v>953089</v>
      </c>
      <c r="D105" s="55">
        <f>D112+D114+D113+D110+D111</f>
        <v>340</v>
      </c>
      <c r="E105" s="55">
        <f>C105+D105</f>
        <v>953429</v>
      </c>
    </row>
    <row r="106" spans="1:5" s="56" customFormat="1" ht="30" customHeight="1" x14ac:dyDescent="0.25">
      <c r="A106" s="54"/>
      <c r="B106" s="61" t="s">
        <v>636</v>
      </c>
      <c r="C106" s="59">
        <v>72000</v>
      </c>
      <c r="D106" s="59"/>
      <c r="E106" s="55">
        <f>C106+D106</f>
        <v>72000</v>
      </c>
    </row>
    <row r="107" spans="1:5" s="56" customFormat="1" ht="30" customHeight="1" x14ac:dyDescent="0.25">
      <c r="A107" s="54"/>
      <c r="B107" s="61" t="s">
        <v>637</v>
      </c>
      <c r="C107" s="59">
        <v>36000</v>
      </c>
      <c r="D107" s="59"/>
      <c r="E107" s="55">
        <f t="shared" ref="E107:E114" si="2">C107+D107</f>
        <v>36000</v>
      </c>
    </row>
    <row r="108" spans="1:5" s="56" customFormat="1" ht="30" customHeight="1" x14ac:dyDescent="0.25">
      <c r="A108" s="54"/>
      <c r="B108" s="61" t="s">
        <v>638</v>
      </c>
      <c r="C108" s="59">
        <v>18000</v>
      </c>
      <c r="D108" s="59"/>
      <c r="E108" s="55">
        <f t="shared" si="2"/>
        <v>18000</v>
      </c>
    </row>
    <row r="109" spans="1:5" s="56" customFormat="1" ht="30" customHeight="1" x14ac:dyDescent="0.25">
      <c r="A109" s="54"/>
      <c r="B109" s="61" t="s">
        <v>642</v>
      </c>
      <c r="C109" s="59">
        <v>32207</v>
      </c>
      <c r="D109" s="59"/>
      <c r="E109" s="55">
        <f t="shared" si="2"/>
        <v>32207</v>
      </c>
    </row>
    <row r="110" spans="1:5" s="56" customFormat="1" ht="30" customHeight="1" x14ac:dyDescent="0.25">
      <c r="A110" s="54"/>
      <c r="B110" s="61" t="s">
        <v>639</v>
      </c>
      <c r="C110" s="59">
        <v>60300</v>
      </c>
      <c r="D110" s="59">
        <v>340</v>
      </c>
      <c r="E110" s="55">
        <f t="shared" si="2"/>
        <v>60640</v>
      </c>
    </row>
    <row r="111" spans="1:5" s="56" customFormat="1" ht="30" customHeight="1" x14ac:dyDescent="0.25">
      <c r="A111" s="54"/>
      <c r="B111" s="61" t="s">
        <v>640</v>
      </c>
      <c r="C111" s="59">
        <v>9000</v>
      </c>
      <c r="D111" s="59"/>
      <c r="E111" s="55">
        <f t="shared" si="2"/>
        <v>9000</v>
      </c>
    </row>
    <row r="112" spans="1:5" s="56" customFormat="1" ht="30" customHeight="1" x14ac:dyDescent="0.25">
      <c r="A112" s="54"/>
      <c r="B112" s="61" t="s">
        <v>651</v>
      </c>
      <c r="C112" s="59">
        <v>7056</v>
      </c>
      <c r="D112" s="59"/>
      <c r="E112" s="55">
        <f t="shared" si="2"/>
        <v>7056</v>
      </c>
    </row>
    <row r="113" spans="1:5" s="56" customFormat="1" ht="30" customHeight="1" x14ac:dyDescent="0.25">
      <c r="A113" s="54"/>
      <c r="B113" s="61" t="s">
        <v>661</v>
      </c>
      <c r="C113" s="59">
        <v>36978</v>
      </c>
      <c r="D113" s="59"/>
      <c r="E113" s="55">
        <f t="shared" si="2"/>
        <v>36978</v>
      </c>
    </row>
    <row r="114" spans="1:5" s="56" customFormat="1" ht="30" customHeight="1" x14ac:dyDescent="0.25">
      <c r="A114" s="54"/>
      <c r="B114" s="61" t="s">
        <v>657</v>
      </c>
      <c r="C114" s="59">
        <v>51529</v>
      </c>
      <c r="D114" s="59"/>
      <c r="E114" s="55">
        <f t="shared" si="2"/>
        <v>51529</v>
      </c>
    </row>
    <row r="115" spans="1:5" s="56" customFormat="1" ht="30" customHeight="1" x14ac:dyDescent="0.25">
      <c r="A115" s="54" t="s">
        <v>438</v>
      </c>
      <c r="B115" s="62" t="s">
        <v>439</v>
      </c>
      <c r="C115" s="55">
        <v>6848640</v>
      </c>
      <c r="D115" s="55"/>
      <c r="E115" s="55">
        <f t="shared" si="1"/>
        <v>6848640</v>
      </c>
    </row>
    <row r="116" spans="1:5" s="56" customFormat="1" ht="15" customHeight="1" x14ac:dyDescent="0.25">
      <c r="A116" s="54" t="s">
        <v>567</v>
      </c>
      <c r="B116" s="62" t="s">
        <v>566</v>
      </c>
      <c r="C116" s="55">
        <f>SUM(C117:C119)</f>
        <v>162500</v>
      </c>
      <c r="D116" s="55">
        <f>SUM(D117:D119)</f>
        <v>29000</v>
      </c>
      <c r="E116" s="55">
        <f t="shared" si="1"/>
        <v>191500</v>
      </c>
    </row>
    <row r="117" spans="1:5" ht="15" customHeight="1" x14ac:dyDescent="0.25">
      <c r="A117" s="58" t="s">
        <v>568</v>
      </c>
      <c r="B117" s="61" t="s">
        <v>621</v>
      </c>
      <c r="C117" s="59">
        <v>158500</v>
      </c>
      <c r="D117" s="59"/>
      <c r="E117" s="59">
        <f t="shared" si="1"/>
        <v>158500</v>
      </c>
    </row>
    <row r="118" spans="1:5" ht="31.5" customHeight="1" x14ac:dyDescent="0.25">
      <c r="A118" s="58" t="s">
        <v>665</v>
      </c>
      <c r="B118" s="61" t="s">
        <v>664</v>
      </c>
      <c r="C118" s="59">
        <v>0</v>
      </c>
      <c r="D118" s="59">
        <v>29000</v>
      </c>
      <c r="E118" s="59">
        <f t="shared" si="1"/>
        <v>29000</v>
      </c>
    </row>
    <row r="119" spans="1:5" ht="15" customHeight="1" x14ac:dyDescent="0.25">
      <c r="A119" s="58" t="s">
        <v>635</v>
      </c>
      <c r="B119" s="61" t="s">
        <v>695</v>
      </c>
      <c r="C119" s="59">
        <v>4000</v>
      </c>
      <c r="D119" s="59"/>
      <c r="E119" s="59">
        <f t="shared" si="1"/>
        <v>4000</v>
      </c>
    </row>
    <row r="120" spans="1:5" ht="15" customHeight="1" x14ac:dyDescent="0.25">
      <c r="A120" s="54">
        <v>3</v>
      </c>
      <c r="B120" s="54" t="s">
        <v>440</v>
      </c>
      <c r="C120" s="55">
        <f>C124+C144+C121</f>
        <v>5188682</v>
      </c>
      <c r="D120" s="55">
        <f>D124+D144+D121</f>
        <v>51136</v>
      </c>
      <c r="E120" s="55">
        <f>C120+D120</f>
        <v>5239818</v>
      </c>
    </row>
    <row r="121" spans="1:5" ht="15" customHeight="1" x14ac:dyDescent="0.25">
      <c r="A121" s="54" t="s">
        <v>668</v>
      </c>
      <c r="B121" s="54" t="s">
        <v>671</v>
      </c>
      <c r="C121" s="55">
        <f>C122</f>
        <v>0</v>
      </c>
      <c r="D121" s="55">
        <f>D122</f>
        <v>47719</v>
      </c>
      <c r="E121" s="55">
        <f t="shared" si="1"/>
        <v>47719</v>
      </c>
    </row>
    <row r="122" spans="1:5" ht="60" customHeight="1" x14ac:dyDescent="0.25">
      <c r="A122" s="54" t="s">
        <v>669</v>
      </c>
      <c r="B122" s="62" t="s">
        <v>672</v>
      </c>
      <c r="C122" s="55">
        <f>C123</f>
        <v>0</v>
      </c>
      <c r="D122" s="55">
        <f>D123</f>
        <v>47719</v>
      </c>
      <c r="E122" s="55">
        <f t="shared" si="1"/>
        <v>47719</v>
      </c>
    </row>
    <row r="123" spans="1:5" ht="36" customHeight="1" x14ac:dyDescent="0.25">
      <c r="A123" s="58" t="s">
        <v>670</v>
      </c>
      <c r="B123" s="61" t="s">
        <v>673</v>
      </c>
      <c r="C123" s="59">
        <v>0</v>
      </c>
      <c r="D123" s="59">
        <v>47719</v>
      </c>
      <c r="E123" s="59">
        <f t="shared" si="1"/>
        <v>47719</v>
      </c>
    </row>
    <row r="124" spans="1:5" s="56" customFormat="1" ht="30" customHeight="1" x14ac:dyDescent="0.25">
      <c r="A124" s="54" t="s">
        <v>441</v>
      </c>
      <c r="B124" s="62" t="s">
        <v>442</v>
      </c>
      <c r="C124" s="55">
        <v>4528800</v>
      </c>
      <c r="D124" s="55">
        <f>D125+D126+D127+D132</f>
        <v>3417</v>
      </c>
      <c r="E124" s="55">
        <f t="shared" si="1"/>
        <v>4532217</v>
      </c>
    </row>
    <row r="125" spans="1:5" s="56" customFormat="1" ht="15" customHeight="1" x14ac:dyDescent="0.25">
      <c r="A125" s="54" t="s">
        <v>443</v>
      </c>
      <c r="B125" s="54" t="s">
        <v>444</v>
      </c>
      <c r="C125" s="55">
        <v>145040</v>
      </c>
      <c r="D125" s="55"/>
      <c r="E125" s="55">
        <f t="shared" si="1"/>
        <v>145040</v>
      </c>
    </row>
    <row r="126" spans="1:5" s="56" customFormat="1" ht="30" customHeight="1" x14ac:dyDescent="0.25">
      <c r="A126" s="54" t="s">
        <v>445</v>
      </c>
      <c r="B126" s="62" t="s">
        <v>446</v>
      </c>
      <c r="C126" s="55">
        <v>1140</v>
      </c>
      <c r="D126" s="55"/>
      <c r="E126" s="55">
        <f t="shared" si="1"/>
        <v>1140</v>
      </c>
    </row>
    <row r="127" spans="1:5" s="56" customFormat="1" ht="15" customHeight="1" x14ac:dyDescent="0.25">
      <c r="A127" s="54" t="s">
        <v>447</v>
      </c>
      <c r="B127" s="54" t="s">
        <v>448</v>
      </c>
      <c r="C127" s="55">
        <f>SUM(C128:C131)</f>
        <v>588742</v>
      </c>
      <c r="D127" s="55">
        <f>SUM(D128:D131)</f>
        <v>2417</v>
      </c>
      <c r="E127" s="55">
        <f>C127+D127</f>
        <v>591159</v>
      </c>
    </row>
    <row r="128" spans="1:5" ht="15" customHeight="1" x14ac:dyDescent="0.25">
      <c r="A128" s="58" t="s">
        <v>449</v>
      </c>
      <c r="B128" s="61" t="s">
        <v>565</v>
      </c>
      <c r="C128" s="59">
        <v>195773</v>
      </c>
      <c r="D128" s="59">
        <v>1417</v>
      </c>
      <c r="E128" s="59">
        <f t="shared" si="1"/>
        <v>197190</v>
      </c>
    </row>
    <row r="129" spans="1:5" ht="15" customHeight="1" x14ac:dyDescent="0.25">
      <c r="A129" s="58" t="s">
        <v>450</v>
      </c>
      <c r="B129" s="58" t="s">
        <v>451</v>
      </c>
      <c r="C129" s="59">
        <v>1221</v>
      </c>
      <c r="D129" s="59"/>
      <c r="E129" s="59">
        <f t="shared" si="1"/>
        <v>1221</v>
      </c>
    </row>
    <row r="130" spans="1:5" ht="15" customHeight="1" x14ac:dyDescent="0.25">
      <c r="A130" s="58" t="s">
        <v>452</v>
      </c>
      <c r="B130" s="58" t="s">
        <v>453</v>
      </c>
      <c r="C130" s="59">
        <v>327284</v>
      </c>
      <c r="D130" s="59"/>
      <c r="E130" s="59">
        <f t="shared" si="1"/>
        <v>327284</v>
      </c>
    </row>
    <row r="131" spans="1:5" ht="15" customHeight="1" x14ac:dyDescent="0.25">
      <c r="A131" s="58" t="s">
        <v>454</v>
      </c>
      <c r="B131" s="58" t="s">
        <v>455</v>
      </c>
      <c r="C131" s="59">
        <v>64464</v>
      </c>
      <c r="D131" s="59">
        <v>1000</v>
      </c>
      <c r="E131" s="59">
        <f t="shared" si="1"/>
        <v>65464</v>
      </c>
    </row>
    <row r="132" spans="1:5" s="56" customFormat="1" ht="30" customHeight="1" x14ac:dyDescent="0.25">
      <c r="A132" s="54" t="s">
        <v>456</v>
      </c>
      <c r="B132" s="62" t="s">
        <v>457</v>
      </c>
      <c r="C132" s="55">
        <f>SUM(C133:C143)</f>
        <v>6019680</v>
      </c>
      <c r="D132" s="55">
        <f>SUM(D133:D143)</f>
        <v>1000</v>
      </c>
      <c r="E132" s="55">
        <f t="shared" si="1"/>
        <v>6020680</v>
      </c>
    </row>
    <row r="133" spans="1:5" ht="30" customHeight="1" x14ac:dyDescent="0.25">
      <c r="A133" s="58" t="s">
        <v>458</v>
      </c>
      <c r="B133" s="61" t="s">
        <v>459</v>
      </c>
      <c r="C133" s="59">
        <v>1451705</v>
      </c>
      <c r="D133" s="59"/>
      <c r="E133" s="59">
        <f t="shared" si="1"/>
        <v>1451705</v>
      </c>
    </row>
    <row r="134" spans="1:5" ht="30" customHeight="1" x14ac:dyDescent="0.25">
      <c r="A134" s="58" t="s">
        <v>460</v>
      </c>
      <c r="B134" s="61" t="s">
        <v>461</v>
      </c>
      <c r="C134" s="59">
        <v>451</v>
      </c>
      <c r="D134" s="59"/>
      <c r="E134" s="59">
        <f t="shared" si="1"/>
        <v>451</v>
      </c>
    </row>
    <row r="135" spans="1:5" ht="15" customHeight="1" x14ac:dyDescent="0.25">
      <c r="A135" s="58" t="s">
        <v>462</v>
      </c>
      <c r="B135" s="58" t="s">
        <v>463</v>
      </c>
      <c r="C135" s="59">
        <v>116459</v>
      </c>
      <c r="D135" s="59"/>
      <c r="E135" s="59">
        <f t="shared" si="1"/>
        <v>116459</v>
      </c>
    </row>
    <row r="136" spans="1:5" ht="30" customHeight="1" x14ac:dyDescent="0.25">
      <c r="A136" s="58" t="s">
        <v>464</v>
      </c>
      <c r="B136" s="61" t="s">
        <v>465</v>
      </c>
      <c r="C136" s="59">
        <v>1909133</v>
      </c>
      <c r="D136" s="59"/>
      <c r="E136" s="59">
        <f t="shared" si="1"/>
        <v>1909133</v>
      </c>
    </row>
    <row r="137" spans="1:5" ht="15" customHeight="1" x14ac:dyDescent="0.25">
      <c r="A137" s="58" t="s">
        <v>466</v>
      </c>
      <c r="B137" s="61" t="s">
        <v>622</v>
      </c>
      <c r="C137" s="59">
        <v>1303514</v>
      </c>
      <c r="D137" s="59">
        <v>1000</v>
      </c>
      <c r="E137" s="59">
        <f t="shared" si="1"/>
        <v>1304514</v>
      </c>
    </row>
    <row r="138" spans="1:5" ht="15" customHeight="1" x14ac:dyDescent="0.25">
      <c r="A138" s="58" t="s">
        <v>467</v>
      </c>
      <c r="B138" s="58" t="s">
        <v>468</v>
      </c>
      <c r="C138" s="59">
        <v>609987</v>
      </c>
      <c r="D138" s="59"/>
      <c r="E138" s="59">
        <f t="shared" si="1"/>
        <v>609987</v>
      </c>
    </row>
    <row r="139" spans="1:5" ht="15" customHeight="1" x14ac:dyDescent="0.25">
      <c r="A139" s="58" t="s">
        <v>469</v>
      </c>
      <c r="B139" s="61" t="s">
        <v>470</v>
      </c>
      <c r="C139" s="59">
        <v>311879</v>
      </c>
      <c r="D139" s="59"/>
      <c r="E139" s="59">
        <f t="shared" si="1"/>
        <v>311879</v>
      </c>
    </row>
    <row r="140" spans="1:5" ht="15" customHeight="1" x14ac:dyDescent="0.25">
      <c r="A140" s="58" t="s">
        <v>471</v>
      </c>
      <c r="B140" s="61" t="s">
        <v>472</v>
      </c>
      <c r="C140" s="59">
        <v>14255</v>
      </c>
      <c r="D140" s="59"/>
      <c r="E140" s="59">
        <f t="shared" si="1"/>
        <v>14255</v>
      </c>
    </row>
    <row r="141" spans="1:5" ht="15" customHeight="1" x14ac:dyDescent="0.25">
      <c r="A141" s="58" t="s">
        <v>473</v>
      </c>
      <c r="B141" s="61" t="s">
        <v>474</v>
      </c>
      <c r="C141" s="59">
        <v>82800</v>
      </c>
      <c r="D141" s="59"/>
      <c r="E141" s="59">
        <f t="shared" si="1"/>
        <v>82800</v>
      </c>
    </row>
    <row r="142" spans="1:5" ht="15" customHeight="1" x14ac:dyDescent="0.25">
      <c r="A142" s="58" t="s">
        <v>475</v>
      </c>
      <c r="B142" s="58" t="s">
        <v>476</v>
      </c>
      <c r="C142" s="59">
        <v>173188</v>
      </c>
      <c r="D142" s="59"/>
      <c r="E142" s="59">
        <f>C142+D142</f>
        <v>173188</v>
      </c>
    </row>
    <row r="143" spans="1:5" ht="15" customHeight="1" x14ac:dyDescent="0.25">
      <c r="A143" s="58" t="s">
        <v>477</v>
      </c>
      <c r="B143" s="58" t="s">
        <v>478</v>
      </c>
      <c r="C143" s="59">
        <v>46309</v>
      </c>
      <c r="D143" s="59"/>
      <c r="E143" s="59">
        <f t="shared" si="1"/>
        <v>46309</v>
      </c>
    </row>
    <row r="144" spans="1:5" s="56" customFormat="1" ht="45" customHeight="1" x14ac:dyDescent="0.25">
      <c r="A144" s="54" t="s">
        <v>479</v>
      </c>
      <c r="B144" s="62" t="s">
        <v>694</v>
      </c>
      <c r="C144" s="55">
        <f>SUM(C145:C146)</f>
        <v>659882</v>
      </c>
      <c r="D144" s="55">
        <f>SUM(D145:D146)</f>
        <v>0</v>
      </c>
      <c r="E144" s="55">
        <f t="shared" si="1"/>
        <v>659882</v>
      </c>
    </row>
    <row r="145" spans="1:5" ht="30" customHeight="1" x14ac:dyDescent="0.25">
      <c r="A145" s="58" t="s">
        <v>480</v>
      </c>
      <c r="B145" s="61" t="s">
        <v>481</v>
      </c>
      <c r="C145" s="59">
        <v>5100</v>
      </c>
      <c r="D145" s="59"/>
      <c r="E145" s="59">
        <f t="shared" si="1"/>
        <v>5100</v>
      </c>
    </row>
    <row r="146" spans="1:5" ht="15" customHeight="1" x14ac:dyDescent="0.25">
      <c r="A146" s="58" t="s">
        <v>482</v>
      </c>
      <c r="B146" s="58" t="s">
        <v>483</v>
      </c>
      <c r="C146" s="59">
        <v>654782</v>
      </c>
      <c r="D146" s="59"/>
      <c r="E146" s="59">
        <f t="shared" si="1"/>
        <v>654782</v>
      </c>
    </row>
    <row r="148" spans="1:5" s="64" customFormat="1" ht="15.75" x14ac:dyDescent="0.25">
      <c r="A148" s="133" t="s">
        <v>689</v>
      </c>
      <c r="B148" s="133"/>
      <c r="C148" s="133"/>
      <c r="D148" s="133"/>
      <c r="E148" s="133"/>
    </row>
  </sheetData>
  <mergeCells count="7">
    <mergeCell ref="A148:E148"/>
    <mergeCell ref="D16:D17"/>
    <mergeCell ref="E16:E17"/>
    <mergeCell ref="A14:E14"/>
    <mergeCell ref="A16:A17"/>
    <mergeCell ref="B16:B17"/>
    <mergeCell ref="C16:C17"/>
  </mergeCells>
  <pageMargins left="0.7" right="0.7" top="0.75" bottom="0.75" header="0.3" footer="0.3"/>
  <pageSetup paperSize="9" scale="7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2"/>
  <sheetViews>
    <sheetView workbookViewId="0">
      <selection activeCell="B174" sqref="B174"/>
    </sheetView>
  </sheetViews>
  <sheetFormatPr defaultRowHeight="15.75" x14ac:dyDescent="0.25"/>
  <cols>
    <col min="1" max="1" width="15.42578125" style="65" customWidth="1"/>
    <col min="2" max="2" width="34.7109375" style="65" customWidth="1"/>
    <col min="3" max="3" width="17.42578125" style="66" customWidth="1"/>
    <col min="4" max="4" width="17.42578125" style="65" customWidth="1"/>
    <col min="5" max="5" width="15.7109375" style="65" customWidth="1"/>
    <col min="6" max="6" width="17.42578125" style="65" customWidth="1"/>
    <col min="7" max="7" width="16.85546875" style="65" customWidth="1"/>
    <col min="8" max="8" width="17.7109375" style="65" customWidth="1"/>
    <col min="9" max="9" width="9.85546875" style="65" bestFit="1" customWidth="1"/>
    <col min="10" max="16384" width="9.140625" style="65"/>
  </cols>
  <sheetData>
    <row r="1" spans="1:9" x14ac:dyDescent="0.25">
      <c r="H1" s="51" t="s">
        <v>687</v>
      </c>
    </row>
    <row r="2" spans="1:9" x14ac:dyDescent="0.25">
      <c r="H2" s="51" t="s">
        <v>593</v>
      </c>
    </row>
    <row r="3" spans="1:9" x14ac:dyDescent="0.25">
      <c r="H3" s="51" t="s">
        <v>682</v>
      </c>
    </row>
    <row r="4" spans="1:9" x14ac:dyDescent="0.25">
      <c r="H4" s="51" t="s">
        <v>681</v>
      </c>
    </row>
    <row r="5" spans="1:9" x14ac:dyDescent="0.25">
      <c r="H5" s="51" t="s">
        <v>679</v>
      </c>
    </row>
    <row r="6" spans="1:9" ht="15" customHeight="1" x14ac:dyDescent="0.25">
      <c r="A6" s="64"/>
      <c r="B6" s="64"/>
      <c r="C6" s="64"/>
      <c r="D6" s="50"/>
      <c r="E6" s="50"/>
      <c r="F6" s="64"/>
      <c r="G6" s="50"/>
    </row>
    <row r="7" spans="1:9" ht="15" customHeight="1" x14ac:dyDescent="0.25">
      <c r="A7" s="64"/>
      <c r="B7" s="64"/>
      <c r="C7" s="64"/>
      <c r="D7" s="51"/>
      <c r="E7" s="51"/>
      <c r="F7" s="64"/>
      <c r="G7" s="51"/>
      <c r="H7" s="51" t="s">
        <v>687</v>
      </c>
    </row>
    <row r="8" spans="1:9" ht="15" customHeight="1" x14ac:dyDescent="0.25">
      <c r="A8" s="64"/>
      <c r="B8" s="64"/>
      <c r="C8" s="64"/>
      <c r="D8" s="51"/>
      <c r="E8" s="51"/>
      <c r="F8" s="64"/>
      <c r="G8" s="51"/>
      <c r="H8" s="51" t="s">
        <v>593</v>
      </c>
    </row>
    <row r="9" spans="1:9" ht="15" customHeight="1" x14ac:dyDescent="0.25">
      <c r="A9" s="64"/>
      <c r="B9" s="64"/>
      <c r="C9" s="64"/>
      <c r="D9" s="64"/>
      <c r="E9" s="64"/>
      <c r="F9" s="64"/>
      <c r="G9" s="64"/>
      <c r="H9" s="51" t="s">
        <v>683</v>
      </c>
    </row>
    <row r="10" spans="1:9" ht="15" customHeight="1" x14ac:dyDescent="0.25">
      <c r="A10" s="64"/>
      <c r="B10" s="64"/>
      <c r="C10" s="64"/>
      <c r="D10" s="64"/>
      <c r="E10" s="64"/>
      <c r="F10" s="64"/>
      <c r="G10" s="64"/>
      <c r="H10" s="51" t="s">
        <v>684</v>
      </c>
    </row>
    <row r="11" spans="1:9" ht="15" customHeight="1" x14ac:dyDescent="0.25">
      <c r="A11" s="64"/>
      <c r="B11" s="127"/>
      <c r="C11" s="127"/>
      <c r="D11" s="127"/>
      <c r="E11" s="127"/>
      <c r="F11" s="127"/>
      <c r="G11" s="127"/>
      <c r="H11" s="64"/>
    </row>
    <row r="12" spans="1:9" ht="15" customHeight="1" x14ac:dyDescent="0.3">
      <c r="A12" s="64"/>
      <c r="B12" s="125" t="s">
        <v>688</v>
      </c>
      <c r="C12" s="125"/>
      <c r="D12" s="125"/>
      <c r="E12" s="125"/>
      <c r="F12" s="125"/>
      <c r="G12" s="125"/>
      <c r="H12" s="64"/>
    </row>
    <row r="13" spans="1:9" ht="15" customHeight="1" x14ac:dyDescent="0.25">
      <c r="A13" s="64"/>
      <c r="B13" s="67"/>
      <c r="C13" s="67"/>
      <c r="D13" s="68"/>
      <c r="E13" s="68"/>
      <c r="F13" s="68"/>
      <c r="G13" s="68"/>
      <c r="H13" s="69"/>
    </row>
    <row r="14" spans="1:9" ht="15" customHeight="1" x14ac:dyDescent="0.25">
      <c r="A14" s="124" t="s">
        <v>253</v>
      </c>
      <c r="B14" s="124" t="s">
        <v>254</v>
      </c>
      <c r="C14" s="2"/>
      <c r="D14" s="128" t="s">
        <v>255</v>
      </c>
      <c r="E14" s="128"/>
      <c r="F14" s="128"/>
      <c r="G14" s="128"/>
      <c r="H14" s="126" t="s">
        <v>256</v>
      </c>
    </row>
    <row r="15" spans="1:9" ht="45" customHeight="1" x14ac:dyDescent="0.25">
      <c r="A15" s="124"/>
      <c r="B15" s="124"/>
      <c r="C15" s="3" t="s">
        <v>555</v>
      </c>
      <c r="D15" s="3" t="s">
        <v>257</v>
      </c>
      <c r="E15" s="3" t="s">
        <v>258</v>
      </c>
      <c r="F15" s="3" t="s">
        <v>259</v>
      </c>
      <c r="G15" s="3" t="s">
        <v>260</v>
      </c>
      <c r="H15" s="126"/>
    </row>
    <row r="16" spans="1:9" ht="15" customHeight="1" x14ac:dyDescent="0.25">
      <c r="A16" s="2"/>
      <c r="B16" s="2"/>
      <c r="C16" s="70">
        <f t="shared" ref="C16:G16" si="0">C17+C49+C53+C120+C188+C203+C260+C336+C97</f>
        <v>1068637</v>
      </c>
      <c r="D16" s="70">
        <f t="shared" si="0"/>
        <v>20161698.434782609</v>
      </c>
      <c r="E16" s="70">
        <f t="shared" si="0"/>
        <v>4387501</v>
      </c>
      <c r="F16" s="70">
        <f t="shared" si="0"/>
        <v>11174135</v>
      </c>
      <c r="G16" s="70">
        <f t="shared" si="0"/>
        <v>3343084.5652173916</v>
      </c>
      <c r="H16" s="71">
        <f>H17+H49+H53+H120+H188+H203+H260+H336+H97</f>
        <v>40223253</v>
      </c>
      <c r="I16" s="72"/>
    </row>
    <row r="17" spans="1:8" ht="15" customHeight="1" x14ac:dyDescent="0.25">
      <c r="A17" s="1" t="s">
        <v>261</v>
      </c>
      <c r="B17" s="54" t="s">
        <v>262</v>
      </c>
      <c r="C17" s="55">
        <f t="shared" ref="C17:H17" si="1">SUM(C18:C48)</f>
        <v>0</v>
      </c>
      <c r="D17" s="55">
        <f t="shared" si="1"/>
        <v>3769189.8260869565</v>
      </c>
      <c r="E17" s="55">
        <f t="shared" si="1"/>
        <v>26692</v>
      </c>
      <c r="F17" s="55">
        <f>SUM(F18:F48)</f>
        <v>67957</v>
      </c>
      <c r="G17" s="55">
        <f t="shared" si="1"/>
        <v>667591.17391304346</v>
      </c>
      <c r="H17" s="71">
        <f t="shared" si="1"/>
        <v>4531430</v>
      </c>
    </row>
    <row r="18" spans="1:8" ht="15" customHeight="1" x14ac:dyDescent="0.25">
      <c r="A18" s="73"/>
      <c r="B18" s="58" t="s">
        <v>1</v>
      </c>
      <c r="C18" s="74"/>
      <c r="D18" s="59">
        <f>H18-E18-G18-F18-C18</f>
        <v>1609782</v>
      </c>
      <c r="E18" s="59"/>
      <c r="F18" s="59"/>
      <c r="G18" s="59"/>
      <c r="H18" s="71">
        <f>'4.pielikums'!B18</f>
        <v>1609782</v>
      </c>
    </row>
    <row r="19" spans="1:8" ht="15" customHeight="1" x14ac:dyDescent="0.25">
      <c r="A19" s="73"/>
      <c r="B19" s="58" t="s">
        <v>2</v>
      </c>
      <c r="C19" s="74"/>
      <c r="D19" s="59">
        <f t="shared" ref="D19:D82" si="2">H19-E19-G19-F19-C19</f>
        <v>152160</v>
      </c>
      <c r="E19" s="59"/>
      <c r="F19" s="59"/>
      <c r="G19" s="59"/>
      <c r="H19" s="71">
        <f>'4.pielikums'!B20</f>
        <v>152160</v>
      </c>
    </row>
    <row r="20" spans="1:8" ht="30" customHeight="1" x14ac:dyDescent="0.25">
      <c r="A20" s="73"/>
      <c r="B20" s="61" t="s">
        <v>169</v>
      </c>
      <c r="C20" s="75"/>
      <c r="D20" s="59">
        <f t="shared" si="2"/>
        <v>250642</v>
      </c>
      <c r="E20" s="59"/>
      <c r="F20" s="59"/>
      <c r="G20" s="59"/>
      <c r="H20" s="71">
        <f>'4.pielikums'!B22</f>
        <v>250642</v>
      </c>
    </row>
    <row r="21" spans="1:8" ht="15" customHeight="1" x14ac:dyDescent="0.25">
      <c r="A21" s="73"/>
      <c r="B21" s="61" t="s">
        <v>202</v>
      </c>
      <c r="C21" s="75"/>
      <c r="D21" s="59">
        <f t="shared" si="2"/>
        <v>37776</v>
      </c>
      <c r="E21" s="59"/>
      <c r="F21" s="59"/>
      <c r="G21" s="59"/>
      <c r="H21" s="71">
        <f>'4.pielikums'!B23</f>
        <v>37776</v>
      </c>
    </row>
    <row r="22" spans="1:8" ht="15" customHeight="1" x14ac:dyDescent="0.25">
      <c r="A22" s="73"/>
      <c r="B22" s="61" t="s">
        <v>195</v>
      </c>
      <c r="C22" s="75"/>
      <c r="D22" s="59">
        <f>H22-E22-G22-F22-C22</f>
        <v>298102.82608695648</v>
      </c>
      <c r="E22" s="59"/>
      <c r="F22" s="59"/>
      <c r="G22" s="59">
        <f>370452/1.15</f>
        <v>322132.17391304352</v>
      </c>
      <c r="H22" s="71">
        <f>'4.pielikums'!B25</f>
        <v>620235</v>
      </c>
    </row>
    <row r="23" spans="1:8" ht="15" customHeight="1" x14ac:dyDescent="0.25">
      <c r="A23" s="73"/>
      <c r="B23" s="58" t="s">
        <v>3</v>
      </c>
      <c r="C23" s="74"/>
      <c r="D23" s="59">
        <f t="shared" si="2"/>
        <v>34564</v>
      </c>
      <c r="E23" s="59"/>
      <c r="F23" s="59"/>
      <c r="G23" s="59"/>
      <c r="H23" s="71">
        <f>'4.pielikums'!B26</f>
        <v>34564</v>
      </c>
    </row>
    <row r="24" spans="1:8" ht="15" customHeight="1" x14ac:dyDescent="0.25">
      <c r="A24" s="73"/>
      <c r="B24" s="58" t="s">
        <v>91</v>
      </c>
      <c r="C24" s="74"/>
      <c r="D24" s="59">
        <f t="shared" si="2"/>
        <v>73892</v>
      </c>
      <c r="E24" s="59">
        <f>674+239</f>
        <v>913</v>
      </c>
      <c r="F24" s="59"/>
      <c r="G24" s="59"/>
      <c r="H24" s="71">
        <f>'4.pielikums'!B27</f>
        <v>74805</v>
      </c>
    </row>
    <row r="25" spans="1:8" ht="15" customHeight="1" x14ac:dyDescent="0.25">
      <c r="A25" s="73"/>
      <c r="B25" s="58" t="s">
        <v>4</v>
      </c>
      <c r="C25" s="74"/>
      <c r="D25" s="59">
        <f t="shared" si="2"/>
        <v>34798</v>
      </c>
      <c r="E25" s="59"/>
      <c r="F25" s="59"/>
      <c r="G25" s="59"/>
      <c r="H25" s="71">
        <f>'4.pielikums'!B28</f>
        <v>34798</v>
      </c>
    </row>
    <row r="26" spans="1:8" ht="15" customHeight="1" x14ac:dyDescent="0.25">
      <c r="A26" s="73"/>
      <c r="B26" s="58" t="s">
        <v>5</v>
      </c>
      <c r="C26" s="74"/>
      <c r="D26" s="59">
        <f t="shared" si="2"/>
        <v>47875</v>
      </c>
      <c r="E26" s="59">
        <f>340+1380</f>
        <v>1720</v>
      </c>
      <c r="F26" s="59"/>
      <c r="G26" s="59"/>
      <c r="H26" s="71">
        <f>'4.pielikums'!B29</f>
        <v>49595</v>
      </c>
    </row>
    <row r="27" spans="1:8" ht="15" customHeight="1" x14ac:dyDescent="0.25">
      <c r="A27" s="73"/>
      <c r="B27" s="58" t="s">
        <v>6</v>
      </c>
      <c r="C27" s="74"/>
      <c r="D27" s="59">
        <f t="shared" si="2"/>
        <v>40318</v>
      </c>
      <c r="E27" s="59"/>
      <c r="F27" s="59"/>
      <c r="G27" s="59"/>
      <c r="H27" s="71">
        <f>'4.pielikums'!B30</f>
        <v>40318</v>
      </c>
    </row>
    <row r="28" spans="1:8" ht="15" customHeight="1" x14ac:dyDescent="0.25">
      <c r="A28" s="73"/>
      <c r="B28" s="58" t="s">
        <v>7</v>
      </c>
      <c r="C28" s="74"/>
      <c r="D28" s="59">
        <f t="shared" si="2"/>
        <v>39911</v>
      </c>
      <c r="E28" s="59">
        <f>85</f>
        <v>85</v>
      </c>
      <c r="F28" s="59"/>
      <c r="G28" s="59"/>
      <c r="H28" s="71">
        <f>'4.pielikums'!B31</f>
        <v>39996</v>
      </c>
    </row>
    <row r="29" spans="1:8" ht="15" customHeight="1" x14ac:dyDescent="0.25">
      <c r="A29" s="73"/>
      <c r="B29" s="58" t="s">
        <v>8</v>
      </c>
      <c r="C29" s="74"/>
      <c r="D29" s="59">
        <f t="shared" si="2"/>
        <v>43428</v>
      </c>
      <c r="E29" s="59">
        <f>12</f>
        <v>12</v>
      </c>
      <c r="F29" s="59"/>
      <c r="G29" s="59"/>
      <c r="H29" s="71">
        <f>'4.pielikums'!B32</f>
        <v>43440</v>
      </c>
    </row>
    <row r="30" spans="1:8" ht="15" customHeight="1" x14ac:dyDescent="0.25">
      <c r="A30" s="73"/>
      <c r="B30" s="58" t="s">
        <v>92</v>
      </c>
      <c r="C30" s="74"/>
      <c r="D30" s="59">
        <f t="shared" si="2"/>
        <v>35296</v>
      </c>
      <c r="E30" s="59">
        <f>150</f>
        <v>150</v>
      </c>
      <c r="F30" s="59"/>
      <c r="G30" s="59"/>
      <c r="H30" s="71">
        <f>'4.pielikums'!B33</f>
        <v>35446</v>
      </c>
    </row>
    <row r="31" spans="1:8" ht="15" customHeight="1" x14ac:dyDescent="0.25">
      <c r="A31" s="73"/>
      <c r="B31" s="58" t="s">
        <v>127</v>
      </c>
      <c r="C31" s="74"/>
      <c r="D31" s="59">
        <f t="shared" si="2"/>
        <v>36877</v>
      </c>
      <c r="E31" s="59"/>
      <c r="F31" s="59"/>
      <c r="G31" s="59"/>
      <c r="H31" s="71">
        <f>'4.pielikums'!B34</f>
        <v>36877</v>
      </c>
    </row>
    <row r="32" spans="1:8" ht="15" customHeight="1" x14ac:dyDescent="0.25">
      <c r="A32" s="73"/>
      <c r="B32" s="58" t="s">
        <v>9</v>
      </c>
      <c r="C32" s="74"/>
      <c r="D32" s="59">
        <f t="shared" si="2"/>
        <v>23494</v>
      </c>
      <c r="E32" s="59"/>
      <c r="F32" s="59"/>
      <c r="G32" s="59"/>
      <c r="H32" s="71">
        <f>'4.pielikums'!B35</f>
        <v>23494</v>
      </c>
    </row>
    <row r="33" spans="1:8" ht="15" customHeight="1" x14ac:dyDescent="0.25">
      <c r="A33" s="73"/>
      <c r="B33" s="61" t="s">
        <v>93</v>
      </c>
      <c r="C33" s="75"/>
      <c r="D33" s="59">
        <f t="shared" si="2"/>
        <v>44864</v>
      </c>
      <c r="E33" s="59"/>
      <c r="F33" s="59"/>
      <c r="G33" s="59"/>
      <c r="H33" s="71">
        <f>'4.pielikums'!B36</f>
        <v>44864</v>
      </c>
    </row>
    <row r="34" spans="1:8" ht="15" customHeight="1" x14ac:dyDescent="0.25">
      <c r="A34" s="73"/>
      <c r="B34" s="61" t="s">
        <v>263</v>
      </c>
      <c r="C34" s="75"/>
      <c r="D34" s="59">
        <f t="shared" si="2"/>
        <v>48643</v>
      </c>
      <c r="E34" s="59">
        <f>1400</f>
        <v>1400</v>
      </c>
      <c r="F34" s="59"/>
      <c r="G34" s="59"/>
      <c r="H34" s="71">
        <f>'4.pielikums'!B37</f>
        <v>50043</v>
      </c>
    </row>
    <row r="35" spans="1:8" ht="15" customHeight="1" x14ac:dyDescent="0.25">
      <c r="A35" s="73"/>
      <c r="B35" s="61" t="s">
        <v>94</v>
      </c>
      <c r="C35" s="75"/>
      <c r="D35" s="59">
        <f t="shared" si="2"/>
        <v>20658</v>
      </c>
      <c r="E35" s="59"/>
      <c r="F35" s="59"/>
      <c r="G35" s="59"/>
      <c r="H35" s="71">
        <f>'4.pielikums'!B38</f>
        <v>20658</v>
      </c>
    </row>
    <row r="36" spans="1:8" ht="15" customHeight="1" x14ac:dyDescent="0.25">
      <c r="A36" s="73"/>
      <c r="B36" s="61" t="s">
        <v>95</v>
      </c>
      <c r="C36" s="75"/>
      <c r="D36" s="59">
        <f t="shared" si="2"/>
        <v>48906</v>
      </c>
      <c r="E36" s="59"/>
      <c r="F36" s="59"/>
      <c r="G36" s="59"/>
      <c r="H36" s="71">
        <f>'4.pielikums'!B39</f>
        <v>48906</v>
      </c>
    </row>
    <row r="37" spans="1:8" ht="15" customHeight="1" x14ac:dyDescent="0.25">
      <c r="A37" s="73"/>
      <c r="B37" s="58" t="s">
        <v>10</v>
      </c>
      <c r="C37" s="74"/>
      <c r="D37" s="59">
        <f t="shared" si="2"/>
        <v>43553</v>
      </c>
      <c r="E37" s="59">
        <f>500</f>
        <v>500</v>
      </c>
      <c r="F37" s="59"/>
      <c r="G37" s="59"/>
      <c r="H37" s="71">
        <f>'4.pielikums'!B40</f>
        <v>44053</v>
      </c>
    </row>
    <row r="38" spans="1:8" ht="15" customHeight="1" x14ac:dyDescent="0.25">
      <c r="A38" s="73"/>
      <c r="B38" s="58" t="s">
        <v>11</v>
      </c>
      <c r="C38" s="74"/>
      <c r="D38" s="59">
        <f t="shared" si="2"/>
        <v>34012</v>
      </c>
      <c r="E38" s="59"/>
      <c r="F38" s="59"/>
      <c r="G38" s="59"/>
      <c r="H38" s="71">
        <f>'4.pielikums'!B41</f>
        <v>34012</v>
      </c>
    </row>
    <row r="39" spans="1:8" ht="15" customHeight="1" x14ac:dyDescent="0.25">
      <c r="A39" s="73"/>
      <c r="B39" s="58" t="s">
        <v>96</v>
      </c>
      <c r="C39" s="74"/>
      <c r="D39" s="59">
        <f t="shared" si="2"/>
        <v>34090</v>
      </c>
      <c r="E39" s="59">
        <f>1900+2578</f>
        <v>4478</v>
      </c>
      <c r="F39" s="59"/>
      <c r="G39" s="59"/>
      <c r="H39" s="71">
        <f>'4.pielikums'!B42</f>
        <v>38568</v>
      </c>
    </row>
    <row r="40" spans="1:8" ht="15" customHeight="1" x14ac:dyDescent="0.25">
      <c r="A40" s="73"/>
      <c r="B40" s="58" t="s">
        <v>12</v>
      </c>
      <c r="C40" s="74"/>
      <c r="D40" s="59">
        <f t="shared" si="2"/>
        <v>39126</v>
      </c>
      <c r="E40" s="59">
        <f>67</f>
        <v>67</v>
      </c>
      <c r="F40" s="59"/>
      <c r="G40" s="59"/>
      <c r="H40" s="71">
        <f>'4.pielikums'!B43</f>
        <v>39193</v>
      </c>
    </row>
    <row r="41" spans="1:8" ht="15" customHeight="1" x14ac:dyDescent="0.25">
      <c r="A41" s="73"/>
      <c r="B41" s="61" t="s">
        <v>89</v>
      </c>
      <c r="C41" s="75"/>
      <c r="D41" s="59">
        <f t="shared" si="2"/>
        <v>68633</v>
      </c>
      <c r="E41" s="59">
        <f>3693+2629+1639+756</f>
        <v>8717</v>
      </c>
      <c r="F41" s="59"/>
      <c r="G41" s="59"/>
      <c r="H41" s="71">
        <f>'4.pielikums'!B44</f>
        <v>77350</v>
      </c>
    </row>
    <row r="42" spans="1:8" ht="15" customHeight="1" x14ac:dyDescent="0.25">
      <c r="A42" s="73"/>
      <c r="B42" s="61" t="s">
        <v>97</v>
      </c>
      <c r="C42" s="75"/>
      <c r="D42" s="59">
        <f t="shared" si="2"/>
        <v>37510</v>
      </c>
      <c r="E42" s="59"/>
      <c r="F42" s="59"/>
      <c r="G42" s="59"/>
      <c r="H42" s="71">
        <f>'4.pielikums'!B45</f>
        <v>37510</v>
      </c>
    </row>
    <row r="43" spans="1:8" ht="30" customHeight="1" x14ac:dyDescent="0.25">
      <c r="A43" s="73"/>
      <c r="B43" s="76" t="s">
        <v>228</v>
      </c>
      <c r="C43" s="75"/>
      <c r="D43" s="59">
        <f>H43-E43-G43-F43-C43</f>
        <v>491</v>
      </c>
      <c r="E43" s="59"/>
      <c r="F43" s="59">
        <v>7207</v>
      </c>
      <c r="G43" s="59">
        <v>345459</v>
      </c>
      <c r="H43" s="71">
        <f>'4.pielikums'!B366</f>
        <v>353157</v>
      </c>
    </row>
    <row r="44" spans="1:8" ht="30" customHeight="1" x14ac:dyDescent="0.25">
      <c r="A44" s="73"/>
      <c r="B44" s="61" t="s">
        <v>90</v>
      </c>
      <c r="C44" s="75"/>
      <c r="D44" s="59">
        <f t="shared" si="2"/>
        <v>54488</v>
      </c>
      <c r="E44" s="59">
        <f>4350+4300</f>
        <v>8650</v>
      </c>
      <c r="F44" s="59">
        <f>33980+26770</f>
        <v>60750</v>
      </c>
      <c r="G44" s="59"/>
      <c r="H44" s="71">
        <f>'4.pielikums'!B46</f>
        <v>123888</v>
      </c>
    </row>
    <row r="45" spans="1:8" ht="30" customHeight="1" x14ac:dyDescent="0.25">
      <c r="A45" s="73"/>
      <c r="B45" s="61" t="s">
        <v>172</v>
      </c>
      <c r="C45" s="75"/>
      <c r="D45" s="59">
        <f t="shared" si="2"/>
        <v>490050</v>
      </c>
      <c r="E45" s="59"/>
      <c r="F45" s="59"/>
      <c r="G45" s="59"/>
      <c r="H45" s="71">
        <f>'4.pielikums'!B50</f>
        <v>490050</v>
      </c>
    </row>
    <row r="46" spans="1:8" ht="15" customHeight="1" x14ac:dyDescent="0.25">
      <c r="A46" s="73"/>
      <c r="B46" s="61" t="s">
        <v>13</v>
      </c>
      <c r="C46" s="75"/>
      <c r="D46" s="59">
        <f t="shared" si="2"/>
        <v>0</v>
      </c>
      <c r="E46" s="59"/>
      <c r="F46" s="59"/>
      <c r="G46" s="59"/>
      <c r="H46" s="71">
        <f>'4.pielikums'!B47</f>
        <v>0</v>
      </c>
    </row>
    <row r="47" spans="1:8" ht="15" customHeight="1" x14ac:dyDescent="0.25">
      <c r="A47" s="73"/>
      <c r="B47" s="58" t="s">
        <v>14</v>
      </c>
      <c r="C47" s="74"/>
      <c r="D47" s="59">
        <f t="shared" si="2"/>
        <v>45250</v>
      </c>
      <c r="E47" s="59"/>
      <c r="F47" s="59"/>
      <c r="G47" s="59"/>
      <c r="H47" s="71">
        <f>'4.pielikums'!B49</f>
        <v>45250</v>
      </c>
    </row>
    <row r="48" spans="1:8" ht="15" customHeight="1" x14ac:dyDescent="0.25">
      <c r="A48" s="73"/>
      <c r="B48" s="58" t="s">
        <v>249</v>
      </c>
      <c r="C48" s="74"/>
      <c r="D48" s="59">
        <f t="shared" si="2"/>
        <v>0</v>
      </c>
      <c r="E48" s="59"/>
      <c r="F48" s="59"/>
      <c r="G48" s="59"/>
      <c r="H48" s="71">
        <f>'4.pielikums'!B52</f>
        <v>0</v>
      </c>
    </row>
    <row r="49" spans="1:10" ht="15" customHeight="1" x14ac:dyDescent="0.25">
      <c r="A49" s="1" t="s">
        <v>264</v>
      </c>
      <c r="B49" s="62" t="s">
        <v>265</v>
      </c>
      <c r="C49" s="55">
        <f t="shared" ref="C49:H49" si="3">SUM(C50:C52)</f>
        <v>0</v>
      </c>
      <c r="D49" s="55">
        <f t="shared" si="3"/>
        <v>287638</v>
      </c>
      <c r="E49" s="55">
        <f t="shared" si="3"/>
        <v>24340</v>
      </c>
      <c r="F49" s="55">
        <f t="shared" si="3"/>
        <v>3690</v>
      </c>
      <c r="G49" s="55">
        <f t="shared" si="3"/>
        <v>0</v>
      </c>
      <c r="H49" s="71">
        <f t="shared" si="3"/>
        <v>315668</v>
      </c>
    </row>
    <row r="50" spans="1:10" ht="15" customHeight="1" x14ac:dyDescent="0.25">
      <c r="A50" s="77"/>
      <c r="B50" s="58" t="s">
        <v>15</v>
      </c>
      <c r="C50" s="74"/>
      <c r="D50" s="59">
        <f t="shared" si="2"/>
        <v>81365</v>
      </c>
      <c r="E50" s="59">
        <f>1400+1140+1200</f>
        <v>3740</v>
      </c>
      <c r="F50" s="59"/>
      <c r="G50" s="59"/>
      <c r="H50" s="71">
        <f>'4.pielikums'!B53</f>
        <v>85105</v>
      </c>
    </row>
    <row r="51" spans="1:10" ht="15" customHeight="1" x14ac:dyDescent="0.25">
      <c r="A51" s="73"/>
      <c r="B51" s="58" t="s">
        <v>16</v>
      </c>
      <c r="C51" s="74"/>
      <c r="D51" s="59">
        <f t="shared" si="2"/>
        <v>169858</v>
      </c>
      <c r="E51" s="59">
        <f>2000+100</f>
        <v>2100</v>
      </c>
      <c r="F51" s="59"/>
      <c r="G51" s="59"/>
      <c r="H51" s="71">
        <f>'4.pielikums'!B54</f>
        <v>171958</v>
      </c>
    </row>
    <row r="52" spans="1:10" ht="15" customHeight="1" x14ac:dyDescent="0.25">
      <c r="A52" s="73"/>
      <c r="B52" s="58" t="s">
        <v>54</v>
      </c>
      <c r="C52" s="74"/>
      <c r="D52" s="59">
        <f t="shared" si="2"/>
        <v>36415</v>
      </c>
      <c r="E52" s="59">
        <f>18500</f>
        <v>18500</v>
      </c>
      <c r="F52" s="59">
        <v>3690</v>
      </c>
      <c r="G52" s="59"/>
      <c r="H52" s="71">
        <f>'4.pielikums'!B56</f>
        <v>58605</v>
      </c>
    </row>
    <row r="53" spans="1:10" ht="15" customHeight="1" x14ac:dyDescent="0.25">
      <c r="A53" s="1" t="s">
        <v>266</v>
      </c>
      <c r="B53" s="54" t="s">
        <v>267</v>
      </c>
      <c r="C53" s="78">
        <f t="shared" ref="C53:H53" si="4">SUM(C54:C96)</f>
        <v>323002</v>
      </c>
      <c r="D53" s="78">
        <f t="shared" si="4"/>
        <v>666142.6086956521</v>
      </c>
      <c r="E53" s="78">
        <f t="shared" si="4"/>
        <v>25750</v>
      </c>
      <c r="F53" s="78">
        <f t="shared" si="4"/>
        <v>1468234</v>
      </c>
      <c r="G53" s="78">
        <f t="shared" si="4"/>
        <v>765020.3913043479</v>
      </c>
      <c r="H53" s="71">
        <f t="shared" si="4"/>
        <v>3336346</v>
      </c>
    </row>
    <row r="54" spans="1:10" ht="15" customHeight="1" x14ac:dyDescent="0.25">
      <c r="A54" s="73"/>
      <c r="B54" s="61" t="s">
        <v>268</v>
      </c>
      <c r="C54" s="75">
        <v>3381</v>
      </c>
      <c r="D54" s="59">
        <f t="shared" si="2"/>
        <v>425</v>
      </c>
      <c r="E54" s="55"/>
      <c r="F54" s="59">
        <v>172800</v>
      </c>
      <c r="G54" s="55"/>
      <c r="H54" s="71">
        <f>'4.pielikums'!B87</f>
        <v>176606</v>
      </c>
    </row>
    <row r="55" spans="1:10" ht="15" customHeight="1" x14ac:dyDescent="0.25">
      <c r="A55" s="77"/>
      <c r="B55" s="58" t="s">
        <v>269</v>
      </c>
      <c r="C55" s="74"/>
      <c r="D55" s="59">
        <f t="shared" si="2"/>
        <v>65147</v>
      </c>
      <c r="E55" s="59">
        <f>10000</f>
        <v>10000</v>
      </c>
      <c r="F55" s="59"/>
      <c r="G55" s="59"/>
      <c r="H55" s="71">
        <f>'4.pielikums'!B58</f>
        <v>75147</v>
      </c>
    </row>
    <row r="56" spans="1:10" ht="30" customHeight="1" x14ac:dyDescent="0.25">
      <c r="A56" s="73"/>
      <c r="B56" s="61" t="s">
        <v>270</v>
      </c>
      <c r="C56" s="75"/>
      <c r="D56" s="59">
        <f t="shared" si="2"/>
        <v>106988</v>
      </c>
      <c r="E56" s="59">
        <f>4000+3500+1000</f>
        <v>8500</v>
      </c>
      <c r="F56" s="59">
        <f>68495</f>
        <v>68495</v>
      </c>
      <c r="G56" s="59"/>
      <c r="H56" s="71">
        <f>'4.pielikums'!B61</f>
        <v>183983</v>
      </c>
    </row>
    <row r="57" spans="1:10" ht="15" customHeight="1" x14ac:dyDescent="0.25">
      <c r="A57" s="79"/>
      <c r="B57" s="63" t="s">
        <v>63</v>
      </c>
      <c r="C57" s="75"/>
      <c r="D57" s="59">
        <f>H57-E57-G57-F57-C57</f>
        <v>0</v>
      </c>
      <c r="E57" s="59"/>
      <c r="F57" s="59">
        <f>117893+11226</f>
        <v>129119</v>
      </c>
      <c r="G57" s="59"/>
      <c r="H57" s="71">
        <f>'4.pielikums'!B63</f>
        <v>129119</v>
      </c>
      <c r="J57" s="72"/>
    </row>
    <row r="58" spans="1:10" ht="30" customHeight="1" x14ac:dyDescent="0.25">
      <c r="A58" s="79"/>
      <c r="B58" s="63" t="s">
        <v>211</v>
      </c>
      <c r="C58" s="75"/>
      <c r="D58" s="59">
        <f t="shared" si="2"/>
        <v>0</v>
      </c>
      <c r="E58" s="59"/>
      <c r="F58" s="59">
        <f>46305+4408</f>
        <v>50713</v>
      </c>
      <c r="G58" s="59"/>
      <c r="H58" s="71">
        <f>'4.pielikums'!B64</f>
        <v>50713</v>
      </c>
      <c r="J58" s="72"/>
    </row>
    <row r="59" spans="1:10" ht="30" customHeight="1" x14ac:dyDescent="0.25">
      <c r="A59" s="79"/>
      <c r="B59" s="63" t="s">
        <v>64</v>
      </c>
      <c r="C59" s="75">
        <v>10778</v>
      </c>
      <c r="D59" s="59">
        <f t="shared" si="2"/>
        <v>12438</v>
      </c>
      <c r="E59" s="59"/>
      <c r="F59" s="59">
        <f>23910+2277</f>
        <v>26187</v>
      </c>
      <c r="G59" s="59"/>
      <c r="H59" s="71">
        <f>'4.pielikums'!B65</f>
        <v>49403</v>
      </c>
      <c r="J59" s="72"/>
    </row>
    <row r="60" spans="1:10" ht="30" customHeight="1" x14ac:dyDescent="0.25">
      <c r="A60" s="79"/>
      <c r="B60" s="63" t="s">
        <v>65</v>
      </c>
      <c r="C60" s="75"/>
      <c r="D60" s="59">
        <f t="shared" si="2"/>
        <v>4000</v>
      </c>
      <c r="E60" s="59"/>
      <c r="F60" s="59">
        <f>19249+1832</f>
        <v>21081</v>
      </c>
      <c r="G60" s="59"/>
      <c r="H60" s="71">
        <f>'4.pielikums'!B67</f>
        <v>25081</v>
      </c>
    </row>
    <row r="61" spans="1:10" ht="30" customHeight="1" x14ac:dyDescent="0.25">
      <c r="A61" s="79"/>
      <c r="B61" s="63" t="s">
        <v>66</v>
      </c>
      <c r="C61" s="75">
        <v>14413</v>
      </c>
      <c r="D61" s="59">
        <f t="shared" si="2"/>
        <v>0</v>
      </c>
      <c r="E61" s="59"/>
      <c r="F61" s="59">
        <f>39620+3772</f>
        <v>43392</v>
      </c>
      <c r="G61" s="59"/>
      <c r="H61" s="71">
        <f>'4.pielikums'!B68</f>
        <v>57805</v>
      </c>
    </row>
    <row r="62" spans="1:10" ht="30" customHeight="1" x14ac:dyDescent="0.25">
      <c r="A62" s="79"/>
      <c r="B62" s="63" t="s">
        <v>67</v>
      </c>
      <c r="C62" s="75">
        <v>10723</v>
      </c>
      <c r="D62" s="59">
        <f t="shared" si="2"/>
        <v>0</v>
      </c>
      <c r="E62" s="59"/>
      <c r="F62" s="59">
        <f>21659+2062</f>
        <v>23721</v>
      </c>
      <c r="G62" s="59"/>
      <c r="H62" s="71">
        <f>'4.pielikums'!B69</f>
        <v>34444</v>
      </c>
    </row>
    <row r="63" spans="1:10" ht="30" customHeight="1" x14ac:dyDescent="0.25">
      <c r="A63" s="79"/>
      <c r="B63" s="63" t="s">
        <v>68</v>
      </c>
      <c r="C63" s="75">
        <v>14062</v>
      </c>
      <c r="D63" s="59">
        <f t="shared" si="2"/>
        <v>0</v>
      </c>
      <c r="E63" s="59"/>
      <c r="F63" s="59">
        <f>17112+1629</f>
        <v>18741</v>
      </c>
      <c r="G63" s="59"/>
      <c r="H63" s="71">
        <f>'4.pielikums'!B70</f>
        <v>32803</v>
      </c>
    </row>
    <row r="64" spans="1:10" ht="30" customHeight="1" x14ac:dyDescent="0.25">
      <c r="A64" s="79"/>
      <c r="B64" s="63" t="s">
        <v>69</v>
      </c>
      <c r="C64" s="75"/>
      <c r="D64" s="59">
        <f t="shared" si="2"/>
        <v>64412</v>
      </c>
      <c r="E64" s="59"/>
      <c r="F64" s="59">
        <f>42118+4010</f>
        <v>46128</v>
      </c>
      <c r="G64" s="59"/>
      <c r="H64" s="71">
        <f>'4.pielikums'!B71</f>
        <v>110540</v>
      </c>
    </row>
    <row r="65" spans="1:10" ht="30" customHeight="1" x14ac:dyDescent="0.25">
      <c r="A65" s="79"/>
      <c r="B65" s="63" t="s">
        <v>209</v>
      </c>
      <c r="C65" s="75">
        <v>3363</v>
      </c>
      <c r="D65" s="59">
        <f t="shared" si="2"/>
        <v>0</v>
      </c>
      <c r="E65" s="59"/>
      <c r="F65" s="59">
        <f>9815+934</f>
        <v>10749</v>
      </c>
      <c r="G65" s="59"/>
      <c r="H65" s="71">
        <f>'4.pielikums'!B72</f>
        <v>14112</v>
      </c>
    </row>
    <row r="66" spans="1:10" ht="30" customHeight="1" x14ac:dyDescent="0.25">
      <c r="A66" s="79"/>
      <c r="B66" s="63" t="s">
        <v>70</v>
      </c>
      <c r="C66" s="75"/>
      <c r="D66" s="59">
        <f t="shared" si="2"/>
        <v>0</v>
      </c>
      <c r="E66" s="59"/>
      <c r="F66" s="59">
        <f>14853+1414</f>
        <v>16267</v>
      </c>
      <c r="G66" s="59"/>
      <c r="H66" s="71">
        <f>'4.pielikums'!B73</f>
        <v>16267</v>
      </c>
    </row>
    <row r="67" spans="1:10" ht="30" customHeight="1" x14ac:dyDescent="0.25">
      <c r="A67" s="79"/>
      <c r="B67" s="63" t="s">
        <v>207</v>
      </c>
      <c r="C67" s="75">
        <v>21458</v>
      </c>
      <c r="D67" s="59">
        <f t="shared" si="2"/>
        <v>0</v>
      </c>
      <c r="E67" s="59"/>
      <c r="F67" s="59">
        <f>43712+4161</f>
        <v>47873</v>
      </c>
      <c r="G67" s="59"/>
      <c r="H67" s="71">
        <f>'4.pielikums'!B74</f>
        <v>69331</v>
      </c>
    </row>
    <row r="68" spans="1:10" ht="30" customHeight="1" x14ac:dyDescent="0.25">
      <c r="A68" s="79"/>
      <c r="B68" s="63" t="s">
        <v>208</v>
      </c>
      <c r="C68" s="75"/>
      <c r="D68" s="59">
        <f t="shared" si="2"/>
        <v>0</v>
      </c>
      <c r="E68" s="59"/>
      <c r="F68" s="59">
        <f>31380+2987</f>
        <v>34367</v>
      </c>
      <c r="G68" s="59"/>
      <c r="H68" s="71">
        <f>'4.pielikums'!B75</f>
        <v>34367</v>
      </c>
    </row>
    <row r="69" spans="1:10" ht="30" customHeight="1" x14ac:dyDescent="0.25">
      <c r="A69" s="79"/>
      <c r="B69" s="63" t="s">
        <v>210</v>
      </c>
      <c r="C69" s="75">
        <v>160973</v>
      </c>
      <c r="D69" s="59">
        <f t="shared" si="2"/>
        <v>0</v>
      </c>
      <c r="E69" s="59"/>
      <c r="F69" s="59">
        <f>63137+6011</f>
        <v>69148</v>
      </c>
      <c r="G69" s="59"/>
      <c r="H69" s="71">
        <f>'4.pielikums'!B76</f>
        <v>230121</v>
      </c>
    </row>
    <row r="70" spans="1:10" ht="30" customHeight="1" x14ac:dyDescent="0.25">
      <c r="A70" s="79"/>
      <c r="B70" s="63" t="s">
        <v>212</v>
      </c>
      <c r="C70" s="75">
        <v>13693</v>
      </c>
      <c r="D70" s="59">
        <f t="shared" si="2"/>
        <v>0</v>
      </c>
      <c r="E70" s="59"/>
      <c r="F70" s="59">
        <f>27134+2583</f>
        <v>29717</v>
      </c>
      <c r="G70" s="59"/>
      <c r="H70" s="71">
        <f>'4.pielikums'!B77</f>
        <v>43410</v>
      </c>
    </row>
    <row r="71" spans="1:10" ht="30" customHeight="1" x14ac:dyDescent="0.25">
      <c r="A71" s="79"/>
      <c r="B71" s="63" t="s">
        <v>213</v>
      </c>
      <c r="C71" s="75">
        <v>22705</v>
      </c>
      <c r="D71" s="59">
        <f t="shared" si="2"/>
        <v>0</v>
      </c>
      <c r="E71" s="59"/>
      <c r="F71" s="59">
        <f>46312+4410</f>
        <v>50722</v>
      </c>
      <c r="G71" s="59"/>
      <c r="H71" s="71">
        <f>'4.pielikums'!B78</f>
        <v>73427</v>
      </c>
    </row>
    <row r="72" spans="1:10" ht="30" customHeight="1" x14ac:dyDescent="0.25">
      <c r="A72" s="79"/>
      <c r="B72" s="63" t="s">
        <v>71</v>
      </c>
      <c r="C72" s="75">
        <v>2834</v>
      </c>
      <c r="D72" s="59">
        <f t="shared" si="2"/>
        <v>0</v>
      </c>
      <c r="E72" s="59"/>
      <c r="F72" s="59">
        <f>35901+3417</f>
        <v>39318</v>
      </c>
      <c r="G72" s="59"/>
      <c r="H72" s="71">
        <f>'4.pielikums'!B79</f>
        <v>42152</v>
      </c>
    </row>
    <row r="73" spans="1:10" ht="30" customHeight="1" x14ac:dyDescent="0.25">
      <c r="A73" s="79"/>
      <c r="B73" s="63" t="s">
        <v>72</v>
      </c>
      <c r="C73" s="75">
        <v>8787</v>
      </c>
      <c r="D73" s="59">
        <f t="shared" si="2"/>
        <v>0</v>
      </c>
      <c r="E73" s="59"/>
      <c r="F73" s="59">
        <f>11894+1133</f>
        <v>13027</v>
      </c>
      <c r="G73" s="59"/>
      <c r="H73" s="71">
        <f>'4.pielikums'!B80</f>
        <v>21814</v>
      </c>
    </row>
    <row r="74" spans="1:10" ht="30" customHeight="1" x14ac:dyDescent="0.25">
      <c r="A74" s="79"/>
      <c r="B74" s="63" t="s">
        <v>216</v>
      </c>
      <c r="C74" s="75">
        <v>7130</v>
      </c>
      <c r="D74" s="59">
        <f t="shared" si="2"/>
        <v>0</v>
      </c>
      <c r="E74" s="59"/>
      <c r="F74" s="59">
        <f>21413+2039</f>
        <v>23452</v>
      </c>
      <c r="G74" s="59"/>
      <c r="H74" s="71">
        <f>'4.pielikums'!B81</f>
        <v>30582</v>
      </c>
    </row>
    <row r="75" spans="1:10" ht="30" customHeight="1" x14ac:dyDescent="0.25">
      <c r="A75" s="79"/>
      <c r="B75" s="63" t="s">
        <v>73</v>
      </c>
      <c r="C75" s="75">
        <v>4412</v>
      </c>
      <c r="D75" s="59">
        <f t="shared" si="2"/>
        <v>0</v>
      </c>
      <c r="E75" s="59"/>
      <c r="F75" s="59">
        <f>21303+2028</f>
        <v>23331</v>
      </c>
      <c r="G75" s="59"/>
      <c r="H75" s="71">
        <f>'4.pielikums'!B82</f>
        <v>27743</v>
      </c>
    </row>
    <row r="76" spans="1:10" ht="30" customHeight="1" x14ac:dyDescent="0.25">
      <c r="A76" s="79"/>
      <c r="B76" s="63" t="s">
        <v>214</v>
      </c>
      <c r="C76" s="75">
        <v>484</v>
      </c>
      <c r="D76" s="59">
        <f t="shared" si="2"/>
        <v>0</v>
      </c>
      <c r="E76" s="59"/>
      <c r="F76" s="59">
        <f>8414+801</f>
        <v>9215</v>
      </c>
      <c r="G76" s="59"/>
      <c r="H76" s="71">
        <f>'4.pielikums'!B83</f>
        <v>9699</v>
      </c>
    </row>
    <row r="77" spans="1:10" ht="30" customHeight="1" x14ac:dyDescent="0.25">
      <c r="A77" s="79"/>
      <c r="B77" s="63" t="s">
        <v>215</v>
      </c>
      <c r="C77" s="75">
        <v>12249</v>
      </c>
      <c r="D77" s="59">
        <f t="shared" si="2"/>
        <v>0</v>
      </c>
      <c r="E77" s="59"/>
      <c r="F77" s="59">
        <f>26222+2496</f>
        <v>28718</v>
      </c>
      <c r="G77" s="59"/>
      <c r="H77" s="71">
        <f>'4.pielikums'!B84</f>
        <v>40967</v>
      </c>
    </row>
    <row r="78" spans="1:10" ht="30" customHeight="1" x14ac:dyDescent="0.25">
      <c r="A78" s="79"/>
      <c r="B78" s="80" t="s">
        <v>588</v>
      </c>
      <c r="C78" s="75"/>
      <c r="D78" s="59">
        <f>H78-E78-G78-F78-C78</f>
        <v>-68412</v>
      </c>
      <c r="E78" s="59"/>
      <c r="F78" s="59">
        <f>172339+16407</f>
        <v>188746</v>
      </c>
      <c r="G78" s="59"/>
      <c r="H78" s="71">
        <f>'4.pielikums'!B85</f>
        <v>120334</v>
      </c>
      <c r="J78" s="72"/>
    </row>
    <row r="79" spans="1:10" ht="15" customHeight="1" x14ac:dyDescent="0.25">
      <c r="A79" s="79"/>
      <c r="B79" s="80" t="s">
        <v>610</v>
      </c>
      <c r="C79" s="75"/>
      <c r="D79" s="59">
        <f>H79-E79-G79-F79-C79</f>
        <v>33566.608695652161</v>
      </c>
      <c r="E79" s="59"/>
      <c r="F79" s="59"/>
      <c r="G79" s="59">
        <f>257344/1.15</f>
        <v>223777.39130434784</v>
      </c>
      <c r="H79" s="71">
        <f>'4.pielikums'!B353</f>
        <v>257344</v>
      </c>
    </row>
    <row r="80" spans="1:10" ht="15" customHeight="1" x14ac:dyDescent="0.25">
      <c r="A80" s="73"/>
      <c r="B80" s="81" t="s">
        <v>586</v>
      </c>
      <c r="C80" s="75"/>
      <c r="D80" s="59">
        <f>H80-E80-G80-F80-C80</f>
        <v>138837</v>
      </c>
      <c r="E80" s="59"/>
      <c r="F80" s="59"/>
      <c r="G80" s="59"/>
      <c r="H80" s="71">
        <f>'4.pielikums'!B352</f>
        <v>138837</v>
      </c>
    </row>
    <row r="81" spans="1:11" ht="15" customHeight="1" x14ac:dyDescent="0.25">
      <c r="A81" s="79"/>
      <c r="B81" s="76" t="s">
        <v>130</v>
      </c>
      <c r="C81" s="75"/>
      <c r="D81" s="59">
        <f t="shared" si="2"/>
        <v>16110</v>
      </c>
      <c r="E81" s="59">
        <f>250+5500</f>
        <v>5750</v>
      </c>
      <c r="F81" s="59"/>
      <c r="G81" s="59"/>
      <c r="H81" s="71">
        <f>'4.pielikums'!B88</f>
        <v>21860</v>
      </c>
    </row>
    <row r="82" spans="1:11" ht="30" customHeight="1" x14ac:dyDescent="0.25">
      <c r="A82" s="73"/>
      <c r="B82" s="61" t="s">
        <v>58</v>
      </c>
      <c r="C82" s="75"/>
      <c r="D82" s="59">
        <f t="shared" si="2"/>
        <v>3244</v>
      </c>
      <c r="E82" s="59"/>
      <c r="F82" s="59"/>
      <c r="G82" s="59"/>
      <c r="H82" s="71">
        <f>'4.pielikums'!B60</f>
        <v>3244</v>
      </c>
    </row>
    <row r="83" spans="1:11" ht="15" customHeight="1" x14ac:dyDescent="0.25">
      <c r="A83" s="73"/>
      <c r="B83" s="61" t="s">
        <v>18</v>
      </c>
      <c r="C83" s="75"/>
      <c r="D83" s="59">
        <f t="shared" ref="D83:D118" si="5">H83-E83-G83-F83-C83</f>
        <v>96522</v>
      </c>
      <c r="E83" s="59"/>
      <c r="F83" s="59"/>
      <c r="G83" s="59"/>
      <c r="H83" s="71">
        <f>'4.pielikums'!B59</f>
        <v>96522</v>
      </c>
    </row>
    <row r="84" spans="1:11" ht="15" customHeight="1" x14ac:dyDescent="0.25">
      <c r="A84" s="73"/>
      <c r="B84" s="61" t="s">
        <v>271</v>
      </c>
      <c r="C84" s="75"/>
      <c r="D84" s="59">
        <f t="shared" si="5"/>
        <v>50000</v>
      </c>
      <c r="E84" s="59"/>
      <c r="F84" s="59"/>
      <c r="G84" s="59"/>
      <c r="H84" s="71">
        <f>'4.pielikums'!B62</f>
        <v>50000</v>
      </c>
    </row>
    <row r="85" spans="1:11" ht="30" customHeight="1" x14ac:dyDescent="0.25">
      <c r="A85" s="73"/>
      <c r="B85" s="76" t="s">
        <v>553</v>
      </c>
      <c r="C85" s="75"/>
      <c r="D85" s="59">
        <f t="shared" si="5"/>
        <v>20812</v>
      </c>
      <c r="E85" s="59"/>
      <c r="F85" s="59"/>
      <c r="G85" s="59"/>
      <c r="H85" s="71">
        <f>'4.pielikums'!B350</f>
        <v>20812</v>
      </c>
    </row>
    <row r="86" spans="1:11" ht="30" customHeight="1" x14ac:dyDescent="0.25">
      <c r="A86" s="73"/>
      <c r="B86" s="61" t="s">
        <v>164</v>
      </c>
      <c r="C86" s="75"/>
      <c r="D86" s="59">
        <f t="shared" si="5"/>
        <v>63254</v>
      </c>
      <c r="E86" s="59"/>
      <c r="F86" s="59"/>
      <c r="G86" s="59">
        <v>541243</v>
      </c>
      <c r="H86" s="71">
        <f>'4.pielikums'!B355</f>
        <v>604497</v>
      </c>
    </row>
    <row r="87" spans="1:11" ht="30" customHeight="1" x14ac:dyDescent="0.25">
      <c r="A87" s="73"/>
      <c r="B87" s="61" t="s">
        <v>80</v>
      </c>
      <c r="C87" s="75">
        <v>3057</v>
      </c>
      <c r="D87" s="59">
        <f t="shared" si="5"/>
        <v>0</v>
      </c>
      <c r="E87" s="59"/>
      <c r="F87" s="59"/>
      <c r="G87" s="59"/>
      <c r="H87" s="71">
        <f>'4.pielikums'!B89</f>
        <v>3057</v>
      </c>
    </row>
    <row r="88" spans="1:11" ht="45" customHeight="1" x14ac:dyDescent="0.25">
      <c r="A88" s="73"/>
      <c r="B88" s="61" t="s">
        <v>590</v>
      </c>
      <c r="C88" s="75">
        <v>8500</v>
      </c>
      <c r="D88" s="59">
        <f t="shared" si="5"/>
        <v>11910</v>
      </c>
      <c r="E88" s="59">
        <f>1500</f>
        <v>1500</v>
      </c>
      <c r="F88" s="59"/>
      <c r="G88" s="59"/>
      <c r="H88" s="71">
        <f>'4.pielikums'!B90</f>
        <v>21910</v>
      </c>
    </row>
    <row r="89" spans="1:11" ht="32.1" customHeight="1" x14ac:dyDescent="0.25">
      <c r="A89" s="82"/>
      <c r="B89" s="83" t="s">
        <v>241</v>
      </c>
      <c r="C89" s="75"/>
      <c r="D89" s="59">
        <f t="shared" si="5"/>
        <v>23310</v>
      </c>
      <c r="E89" s="59"/>
      <c r="F89" s="59">
        <v>111000</v>
      </c>
      <c r="G89" s="59"/>
      <c r="H89" s="71">
        <f>'4.pielikums'!B91</f>
        <v>134310</v>
      </c>
    </row>
    <row r="90" spans="1:11" ht="32.1" customHeight="1" x14ac:dyDescent="0.25">
      <c r="A90" s="82"/>
      <c r="B90" s="76" t="s">
        <v>636</v>
      </c>
      <c r="C90" s="75"/>
      <c r="D90" s="59">
        <f t="shared" si="5"/>
        <v>8000</v>
      </c>
      <c r="E90" s="59"/>
      <c r="F90" s="59">
        <v>72000</v>
      </c>
      <c r="G90" s="59"/>
      <c r="H90" s="71">
        <f>'4.pielikums'!B92</f>
        <v>80000</v>
      </c>
    </row>
    <row r="91" spans="1:11" ht="32.1" customHeight="1" x14ac:dyDescent="0.25">
      <c r="A91" s="82"/>
      <c r="B91" s="76" t="s">
        <v>637</v>
      </c>
      <c r="C91" s="75"/>
      <c r="D91" s="59">
        <f t="shared" si="5"/>
        <v>4000</v>
      </c>
      <c r="E91" s="59"/>
      <c r="F91" s="59">
        <v>36000</v>
      </c>
      <c r="G91" s="59"/>
      <c r="H91" s="71">
        <f>'4.pielikums'!B93</f>
        <v>40000</v>
      </c>
    </row>
    <row r="92" spans="1:11" ht="45" customHeight="1" x14ac:dyDescent="0.25">
      <c r="A92" s="82"/>
      <c r="B92" s="76" t="s">
        <v>638</v>
      </c>
      <c r="C92" s="75"/>
      <c r="D92" s="59">
        <f t="shared" si="5"/>
        <v>2000</v>
      </c>
      <c r="E92" s="59"/>
      <c r="F92" s="59">
        <v>18000</v>
      </c>
      <c r="G92" s="59"/>
      <c r="H92" s="71">
        <f>'4.pielikums'!B94</f>
        <v>20000</v>
      </c>
      <c r="K92" s="72"/>
    </row>
    <row r="93" spans="1:11" ht="30" customHeight="1" x14ac:dyDescent="0.25">
      <c r="A93" s="82"/>
      <c r="B93" s="76" t="s">
        <v>642</v>
      </c>
      <c r="C93" s="75"/>
      <c r="D93" s="59">
        <f t="shared" si="5"/>
        <v>3579</v>
      </c>
      <c r="E93" s="59"/>
      <c r="F93" s="59">
        <v>32207</v>
      </c>
      <c r="G93" s="59"/>
      <c r="H93" s="71">
        <f>'4.pielikums'!B96</f>
        <v>35786</v>
      </c>
    </row>
    <row r="94" spans="1:11" ht="45" customHeight="1" x14ac:dyDescent="0.25">
      <c r="A94" s="82"/>
      <c r="B94" s="76" t="s">
        <v>640</v>
      </c>
      <c r="C94" s="75"/>
      <c r="D94" s="59">
        <f t="shared" si="5"/>
        <v>6000</v>
      </c>
      <c r="E94" s="59"/>
      <c r="F94" s="59">
        <v>9000</v>
      </c>
      <c r="G94" s="59"/>
      <c r="H94" s="71">
        <f>'4.pielikums'!B97</f>
        <v>15000</v>
      </c>
    </row>
    <row r="95" spans="1:11" ht="33.75" customHeight="1" x14ac:dyDescent="0.25">
      <c r="A95" s="82"/>
      <c r="B95" s="76" t="s">
        <v>652</v>
      </c>
      <c r="C95" s="75"/>
      <c r="D95" s="59"/>
      <c r="E95" s="59"/>
      <c r="F95" s="59"/>
      <c r="G95" s="59"/>
      <c r="H95" s="71">
        <f>'4.pielikums'!B86</f>
        <v>88197</v>
      </c>
    </row>
    <row r="96" spans="1:11" ht="15" customHeight="1" x14ac:dyDescent="0.25">
      <c r="A96" s="82"/>
      <c r="B96" s="61" t="s">
        <v>556</v>
      </c>
      <c r="C96" s="75"/>
      <c r="D96" s="59">
        <f>H96-E96-G96-F96-C96</f>
        <v>0</v>
      </c>
      <c r="E96" s="59"/>
      <c r="F96" s="59">
        <v>5000</v>
      </c>
      <c r="G96" s="59"/>
      <c r="H96" s="71">
        <f>'4.pielikums'!B363</f>
        <v>5000</v>
      </c>
    </row>
    <row r="97" spans="1:8" ht="15" customHeight="1" x14ac:dyDescent="0.25">
      <c r="A97" s="1" t="s">
        <v>272</v>
      </c>
      <c r="B97" s="62" t="s">
        <v>273</v>
      </c>
      <c r="C97" s="55">
        <f t="shared" ref="C97:G97" si="6">SUM(C98:C117)</f>
        <v>0</v>
      </c>
      <c r="D97" s="55">
        <f>SUM(D98:D119)</f>
        <v>93237</v>
      </c>
      <c r="E97" s="55">
        <f>SUM(E98:E119)</f>
        <v>129303</v>
      </c>
      <c r="F97" s="55">
        <f>SUM(F98:F119)</f>
        <v>68300</v>
      </c>
      <c r="G97" s="55">
        <f t="shared" si="6"/>
        <v>0</v>
      </c>
      <c r="H97" s="71">
        <f>SUM(H98:H119)</f>
        <v>290840</v>
      </c>
    </row>
    <row r="98" spans="1:8" ht="30" customHeight="1" x14ac:dyDescent="0.25">
      <c r="A98" s="73"/>
      <c r="B98" s="61" t="s">
        <v>74</v>
      </c>
      <c r="C98" s="75"/>
      <c r="D98" s="59">
        <f t="shared" si="5"/>
        <v>48012</v>
      </c>
      <c r="E98" s="59">
        <v>37000</v>
      </c>
      <c r="F98" s="59"/>
      <c r="G98" s="59"/>
      <c r="H98" s="71">
        <f>'4.pielikums'!B98</f>
        <v>85012</v>
      </c>
    </row>
    <row r="99" spans="1:8" ht="30" customHeight="1" x14ac:dyDescent="0.25">
      <c r="A99" s="73"/>
      <c r="B99" s="84" t="s">
        <v>322</v>
      </c>
      <c r="C99" s="75"/>
      <c r="D99" s="59">
        <f t="shared" si="5"/>
        <v>7740</v>
      </c>
      <c r="E99" s="59">
        <v>2860</v>
      </c>
      <c r="F99" s="59"/>
      <c r="G99" s="59"/>
      <c r="H99" s="71">
        <f>'4.pielikums'!B99</f>
        <v>10600</v>
      </c>
    </row>
    <row r="100" spans="1:8" ht="30" customHeight="1" x14ac:dyDescent="0.25">
      <c r="A100" s="73"/>
      <c r="B100" s="84" t="s">
        <v>580</v>
      </c>
      <c r="C100" s="75"/>
      <c r="D100" s="59">
        <f t="shared" si="5"/>
        <v>-562</v>
      </c>
      <c r="E100" s="59">
        <v>6000</v>
      </c>
      <c r="F100" s="59"/>
      <c r="G100" s="59"/>
      <c r="H100" s="71">
        <f>'4.pielikums'!B100</f>
        <v>5438</v>
      </c>
    </row>
    <row r="101" spans="1:8" ht="30" customHeight="1" x14ac:dyDescent="0.25">
      <c r="A101" s="73"/>
      <c r="B101" s="76" t="s">
        <v>244</v>
      </c>
      <c r="C101" s="75"/>
      <c r="D101" s="59">
        <f t="shared" si="5"/>
        <v>-376</v>
      </c>
      <c r="E101" s="59">
        <f>5200</f>
        <v>5200</v>
      </c>
      <c r="F101" s="59"/>
      <c r="G101" s="59"/>
      <c r="H101" s="71">
        <f>'4.pielikums'!B102</f>
        <v>4824</v>
      </c>
    </row>
    <row r="102" spans="1:8" ht="30" customHeight="1" x14ac:dyDescent="0.25">
      <c r="A102" s="73"/>
      <c r="B102" s="84" t="s">
        <v>581</v>
      </c>
      <c r="C102" s="75"/>
      <c r="D102" s="59">
        <f t="shared" si="5"/>
        <v>3239</v>
      </c>
      <c r="E102" s="59">
        <v>2300</v>
      </c>
      <c r="F102" s="59"/>
      <c r="G102" s="59"/>
      <c r="H102" s="71">
        <f>'4.pielikums'!B104</f>
        <v>5539</v>
      </c>
    </row>
    <row r="103" spans="1:8" ht="30" customHeight="1" x14ac:dyDescent="0.25">
      <c r="A103" s="73"/>
      <c r="B103" s="76" t="s">
        <v>231</v>
      </c>
      <c r="C103" s="75"/>
      <c r="D103" s="59">
        <f t="shared" si="5"/>
        <v>1997</v>
      </c>
      <c r="E103" s="59">
        <f>2045</f>
        <v>2045</v>
      </c>
      <c r="F103" s="59"/>
      <c r="G103" s="59"/>
      <c r="H103" s="71">
        <f>'4.pielikums'!B105</f>
        <v>4042</v>
      </c>
    </row>
    <row r="104" spans="1:8" ht="30" customHeight="1" x14ac:dyDescent="0.25">
      <c r="A104" s="73"/>
      <c r="B104" s="76" t="s">
        <v>234</v>
      </c>
      <c r="C104" s="75"/>
      <c r="D104" s="59">
        <f t="shared" si="5"/>
        <v>0</v>
      </c>
      <c r="E104" s="59">
        <v>6752</v>
      </c>
      <c r="F104" s="59"/>
      <c r="G104" s="59"/>
      <c r="H104" s="71">
        <f>'4.pielikums'!B106</f>
        <v>6752</v>
      </c>
    </row>
    <row r="105" spans="1:8" ht="30" customHeight="1" x14ac:dyDescent="0.25">
      <c r="A105" s="73"/>
      <c r="B105" s="76" t="s">
        <v>135</v>
      </c>
      <c r="C105" s="75"/>
      <c r="D105" s="59">
        <f t="shared" si="5"/>
        <v>0</v>
      </c>
      <c r="E105" s="59">
        <v>4700</v>
      </c>
      <c r="F105" s="59"/>
      <c r="G105" s="59"/>
      <c r="H105" s="71">
        <f>'4.pielikums'!B107</f>
        <v>4700</v>
      </c>
    </row>
    <row r="106" spans="1:8" ht="30" customHeight="1" x14ac:dyDescent="0.25">
      <c r="A106" s="73"/>
      <c r="B106" s="63" t="s">
        <v>323</v>
      </c>
      <c r="C106" s="75"/>
      <c r="D106" s="59">
        <f t="shared" si="5"/>
        <v>3179</v>
      </c>
      <c r="E106" s="59">
        <f>6765</f>
        <v>6765</v>
      </c>
      <c r="F106" s="59"/>
      <c r="G106" s="59"/>
      <c r="H106" s="71">
        <f>'4.pielikums'!B108</f>
        <v>9944</v>
      </c>
    </row>
    <row r="107" spans="1:8" ht="30" customHeight="1" x14ac:dyDescent="0.25">
      <c r="A107" s="73"/>
      <c r="B107" s="63" t="s">
        <v>582</v>
      </c>
      <c r="C107" s="75"/>
      <c r="D107" s="59">
        <f t="shared" si="5"/>
        <v>50</v>
      </c>
      <c r="E107" s="59">
        <v>500</v>
      </c>
      <c r="F107" s="59"/>
      <c r="G107" s="59"/>
      <c r="H107" s="71">
        <f>'4.pielikums'!B109</f>
        <v>550</v>
      </c>
    </row>
    <row r="108" spans="1:8" ht="30" customHeight="1" x14ac:dyDescent="0.25">
      <c r="A108" s="73"/>
      <c r="B108" s="76" t="s">
        <v>132</v>
      </c>
      <c r="C108" s="75"/>
      <c r="D108" s="59">
        <f t="shared" si="5"/>
        <v>5113</v>
      </c>
      <c r="E108" s="59">
        <f>4993</f>
        <v>4993</v>
      </c>
      <c r="F108" s="59"/>
      <c r="G108" s="59"/>
      <c r="H108" s="71">
        <f>'4.pielikums'!B110</f>
        <v>10106</v>
      </c>
    </row>
    <row r="109" spans="1:8" ht="30" customHeight="1" x14ac:dyDescent="0.25">
      <c r="A109" s="73"/>
      <c r="B109" s="76" t="s">
        <v>134</v>
      </c>
      <c r="C109" s="75"/>
      <c r="D109" s="59">
        <f t="shared" si="5"/>
        <v>763</v>
      </c>
      <c r="E109" s="59">
        <f>350+400</f>
        <v>750</v>
      </c>
      <c r="F109" s="59"/>
      <c r="G109" s="59"/>
      <c r="H109" s="71">
        <f>'4.pielikums'!B111</f>
        <v>1513</v>
      </c>
    </row>
    <row r="110" spans="1:8" ht="30" customHeight="1" x14ac:dyDescent="0.25">
      <c r="A110" s="73"/>
      <c r="B110" s="63" t="s">
        <v>321</v>
      </c>
      <c r="C110" s="75"/>
      <c r="D110" s="59">
        <f t="shared" si="5"/>
        <v>1580</v>
      </c>
      <c r="E110" s="59">
        <f>7884</f>
        <v>7884</v>
      </c>
      <c r="F110" s="59"/>
      <c r="G110" s="59"/>
      <c r="H110" s="71">
        <f>'4.pielikums'!B112</f>
        <v>9464</v>
      </c>
    </row>
    <row r="111" spans="1:8" ht="30" customHeight="1" x14ac:dyDescent="0.25">
      <c r="A111" s="73"/>
      <c r="B111" s="76" t="s">
        <v>246</v>
      </c>
      <c r="C111" s="75"/>
      <c r="D111" s="59">
        <f t="shared" si="5"/>
        <v>7230</v>
      </c>
      <c r="E111" s="59">
        <f>3000</f>
        <v>3000</v>
      </c>
      <c r="F111" s="59"/>
      <c r="G111" s="59"/>
      <c r="H111" s="71">
        <f>'4.pielikums'!B113</f>
        <v>10230</v>
      </c>
    </row>
    <row r="112" spans="1:8" ht="30" customHeight="1" x14ac:dyDescent="0.25">
      <c r="A112" s="73"/>
      <c r="B112" s="76" t="s">
        <v>133</v>
      </c>
      <c r="C112" s="75"/>
      <c r="D112" s="59">
        <f t="shared" si="5"/>
        <v>421</v>
      </c>
      <c r="E112" s="59">
        <f>309</f>
        <v>309</v>
      </c>
      <c r="F112" s="59"/>
      <c r="G112" s="59"/>
      <c r="H112" s="71">
        <f>'4.pielikums'!B114</f>
        <v>730</v>
      </c>
    </row>
    <row r="113" spans="1:8" ht="30" customHeight="1" x14ac:dyDescent="0.25">
      <c r="A113" s="73"/>
      <c r="B113" s="76" t="s">
        <v>136</v>
      </c>
      <c r="C113" s="75"/>
      <c r="D113" s="59">
        <f t="shared" si="5"/>
        <v>1708</v>
      </c>
      <c r="E113" s="59">
        <f>1800</f>
        <v>1800</v>
      </c>
      <c r="F113" s="59"/>
      <c r="G113" s="59"/>
      <c r="H113" s="71">
        <f>'4.pielikums'!B115</f>
        <v>3508</v>
      </c>
    </row>
    <row r="114" spans="1:8" ht="30" customHeight="1" x14ac:dyDescent="0.25">
      <c r="A114" s="73"/>
      <c r="B114" s="76" t="s">
        <v>623</v>
      </c>
      <c r="C114" s="75"/>
      <c r="D114" s="59">
        <f t="shared" si="5"/>
        <v>4656</v>
      </c>
      <c r="E114" s="59">
        <f>17550</f>
        <v>17550</v>
      </c>
      <c r="F114" s="59"/>
      <c r="G114" s="59"/>
      <c r="H114" s="71">
        <f>'4.pielikums'!B116</f>
        <v>22206</v>
      </c>
    </row>
    <row r="115" spans="1:8" ht="30" customHeight="1" x14ac:dyDescent="0.25">
      <c r="A115" s="73"/>
      <c r="B115" s="76" t="s">
        <v>624</v>
      </c>
      <c r="C115" s="75"/>
      <c r="D115" s="59">
        <f t="shared" si="5"/>
        <v>470</v>
      </c>
      <c r="E115" s="59">
        <v>6400</v>
      </c>
      <c r="F115" s="59"/>
      <c r="G115" s="59"/>
      <c r="H115" s="71">
        <f>'4.pielikums'!B118</f>
        <v>6870</v>
      </c>
    </row>
    <row r="116" spans="1:8" ht="30" customHeight="1" x14ac:dyDescent="0.25">
      <c r="A116" s="73"/>
      <c r="B116" s="76" t="s">
        <v>137</v>
      </c>
      <c r="C116" s="75"/>
      <c r="D116" s="59">
        <f t="shared" si="5"/>
        <v>0</v>
      </c>
      <c r="E116" s="59">
        <v>7985</v>
      </c>
      <c r="F116" s="59"/>
      <c r="G116" s="59"/>
      <c r="H116" s="71">
        <f>'4.pielikums'!B119</f>
        <v>7985</v>
      </c>
    </row>
    <row r="117" spans="1:8" ht="30" customHeight="1" x14ac:dyDescent="0.25">
      <c r="A117" s="73"/>
      <c r="B117" s="76" t="s">
        <v>131</v>
      </c>
      <c r="C117" s="75"/>
      <c r="D117" s="59">
        <f t="shared" si="5"/>
        <v>-1000</v>
      </c>
      <c r="E117" s="59">
        <f>3510+1000</f>
        <v>4510</v>
      </c>
      <c r="F117" s="59"/>
      <c r="G117" s="59"/>
      <c r="H117" s="71">
        <f>'4.pielikums'!B120</f>
        <v>3510</v>
      </c>
    </row>
    <row r="118" spans="1:8" ht="30" customHeight="1" x14ac:dyDescent="0.25">
      <c r="A118" s="73"/>
      <c r="B118" s="76" t="s">
        <v>676</v>
      </c>
      <c r="C118" s="75"/>
      <c r="D118" s="59">
        <f t="shared" si="5"/>
        <v>2317</v>
      </c>
      <c r="E118" s="59"/>
      <c r="F118" s="59">
        <v>8000</v>
      </c>
      <c r="G118" s="59"/>
      <c r="H118" s="71">
        <f>'4.pielikums'!B375</f>
        <v>10317</v>
      </c>
    </row>
    <row r="119" spans="1:8" ht="32.1" customHeight="1" x14ac:dyDescent="0.25">
      <c r="A119" s="82"/>
      <c r="B119" s="76" t="s">
        <v>639</v>
      </c>
      <c r="C119" s="75"/>
      <c r="D119" s="59">
        <f>H119-E119-G119-F119-C119</f>
        <v>6700</v>
      </c>
      <c r="E119" s="59"/>
      <c r="F119" s="59">
        <v>60300</v>
      </c>
      <c r="G119" s="59"/>
      <c r="H119" s="71">
        <f>'4.pielikums'!B95</f>
        <v>67000</v>
      </c>
    </row>
    <row r="120" spans="1:8" ht="30" customHeight="1" x14ac:dyDescent="0.25">
      <c r="A120" s="85" t="s">
        <v>274</v>
      </c>
      <c r="B120" s="62" t="s">
        <v>275</v>
      </c>
      <c r="C120" s="55">
        <f t="shared" ref="C120:H120" si="7">C121+C125</f>
        <v>0</v>
      </c>
      <c r="D120" s="55">
        <f t="shared" si="7"/>
        <v>2282860</v>
      </c>
      <c r="E120" s="55">
        <f t="shared" si="7"/>
        <v>2082430</v>
      </c>
      <c r="F120" s="55">
        <f t="shared" si="7"/>
        <v>87623</v>
      </c>
      <c r="G120" s="55">
        <f t="shared" si="7"/>
        <v>0</v>
      </c>
      <c r="H120" s="71">
        <f t="shared" si="7"/>
        <v>4452913</v>
      </c>
    </row>
    <row r="121" spans="1:8" ht="15" customHeight="1" x14ac:dyDescent="0.25">
      <c r="A121" s="77"/>
      <c r="B121" s="54" t="s">
        <v>276</v>
      </c>
      <c r="C121" s="55">
        <f>SUM(C122:C124)</f>
        <v>0</v>
      </c>
      <c r="D121" s="55">
        <f>SUM(D122:D124)</f>
        <v>146731</v>
      </c>
      <c r="E121" s="55">
        <f t="shared" ref="E121:G121" si="8">SUM(E122:E124)</f>
        <v>1060</v>
      </c>
      <c r="F121" s="55">
        <f t="shared" si="8"/>
        <v>0</v>
      </c>
      <c r="G121" s="55">
        <f t="shared" si="8"/>
        <v>0</v>
      </c>
      <c r="H121" s="71">
        <f>SUM(H122:H124)</f>
        <v>147791</v>
      </c>
    </row>
    <row r="122" spans="1:8" ht="15" customHeight="1" x14ac:dyDescent="0.25">
      <c r="A122" s="1"/>
      <c r="B122" s="58" t="s">
        <v>19</v>
      </c>
      <c r="C122" s="74"/>
      <c r="D122" s="59">
        <f t="shared" ref="D122:D190" si="9">H122-E122-G122-F122-C122</f>
        <v>138101</v>
      </c>
      <c r="E122" s="59"/>
      <c r="F122" s="59"/>
      <c r="G122" s="59"/>
      <c r="H122" s="71">
        <f>'4.pielikums'!B121</f>
        <v>138101</v>
      </c>
    </row>
    <row r="123" spans="1:8" ht="30" customHeight="1" x14ac:dyDescent="0.25">
      <c r="A123" s="73"/>
      <c r="B123" s="81" t="s">
        <v>174</v>
      </c>
      <c r="C123" s="75"/>
      <c r="D123" s="59">
        <f t="shared" si="9"/>
        <v>5541</v>
      </c>
      <c r="E123" s="59">
        <v>1060</v>
      </c>
      <c r="F123" s="59"/>
      <c r="G123" s="59"/>
      <c r="H123" s="71">
        <f>'4.pielikums'!B122</f>
        <v>6601</v>
      </c>
    </row>
    <row r="124" spans="1:8" ht="30" customHeight="1" x14ac:dyDescent="0.25">
      <c r="A124" s="73"/>
      <c r="B124" s="81" t="s">
        <v>173</v>
      </c>
      <c r="C124" s="75"/>
      <c r="D124" s="59">
        <f t="shared" si="9"/>
        <v>3089</v>
      </c>
      <c r="E124" s="59"/>
      <c r="F124" s="59"/>
      <c r="G124" s="59"/>
      <c r="H124" s="71">
        <f>'4.pielikums'!B123</f>
        <v>3089</v>
      </c>
    </row>
    <row r="125" spans="1:8" ht="47.25" x14ac:dyDescent="0.25">
      <c r="A125" s="73"/>
      <c r="B125" s="62" t="s">
        <v>277</v>
      </c>
      <c r="C125" s="55">
        <f t="shared" ref="C125:H125" si="10">SUM(C126:C187)</f>
        <v>0</v>
      </c>
      <c r="D125" s="55">
        <f t="shared" si="10"/>
        <v>2136129</v>
      </c>
      <c r="E125" s="55">
        <f t="shared" si="10"/>
        <v>2081370</v>
      </c>
      <c r="F125" s="55">
        <f t="shared" si="10"/>
        <v>87623</v>
      </c>
      <c r="G125" s="55">
        <f t="shared" si="10"/>
        <v>0</v>
      </c>
      <c r="H125" s="71">
        <f t="shared" si="10"/>
        <v>4305122</v>
      </c>
    </row>
    <row r="126" spans="1:8" ht="15" customHeight="1" x14ac:dyDescent="0.25">
      <c r="A126" s="85"/>
      <c r="B126" s="61" t="s">
        <v>180</v>
      </c>
      <c r="C126" s="75"/>
      <c r="D126" s="59">
        <f t="shared" si="9"/>
        <v>87126</v>
      </c>
      <c r="E126" s="59">
        <v>8300</v>
      </c>
      <c r="F126" s="59"/>
      <c r="G126" s="59"/>
      <c r="H126" s="71">
        <f>'4.pielikums'!B124</f>
        <v>95426</v>
      </c>
    </row>
    <row r="127" spans="1:8" ht="15" customHeight="1" x14ac:dyDescent="0.25">
      <c r="A127" s="85"/>
      <c r="B127" s="61" t="s">
        <v>183</v>
      </c>
      <c r="C127" s="75"/>
      <c r="D127" s="59">
        <f t="shared" si="9"/>
        <v>199275</v>
      </c>
      <c r="E127" s="59">
        <f>2000+4300</f>
        <v>6300</v>
      </c>
      <c r="F127" s="59"/>
      <c r="G127" s="59"/>
      <c r="H127" s="71">
        <f>'4.pielikums'!B125</f>
        <v>205575</v>
      </c>
    </row>
    <row r="128" spans="1:8" ht="15" customHeight="1" x14ac:dyDescent="0.25">
      <c r="A128" s="73"/>
      <c r="B128" s="58" t="s">
        <v>279</v>
      </c>
      <c r="C128" s="74"/>
      <c r="D128" s="59">
        <f t="shared" si="9"/>
        <v>132493</v>
      </c>
      <c r="E128" s="59">
        <f>1454944+140000</f>
        <v>1594944</v>
      </c>
      <c r="F128" s="59"/>
      <c r="G128" s="59"/>
      <c r="H128" s="71">
        <f>'4.pielikums'!B143</f>
        <v>1727437</v>
      </c>
    </row>
    <row r="129" spans="1:8" ht="15" customHeight="1" x14ac:dyDescent="0.25">
      <c r="A129" s="82"/>
      <c r="B129" s="61" t="s">
        <v>20</v>
      </c>
      <c r="C129" s="75"/>
      <c r="D129" s="59">
        <f t="shared" si="9"/>
        <v>30049</v>
      </c>
      <c r="E129" s="59"/>
      <c r="F129" s="59"/>
      <c r="G129" s="59"/>
      <c r="H129" s="71">
        <f>'4.pielikums'!B126</f>
        <v>30049</v>
      </c>
    </row>
    <row r="130" spans="1:8" ht="30" customHeight="1" x14ac:dyDescent="0.25">
      <c r="A130" s="73"/>
      <c r="B130" s="61" t="s">
        <v>278</v>
      </c>
      <c r="C130" s="75"/>
      <c r="D130" s="59">
        <f t="shared" si="9"/>
        <v>62144</v>
      </c>
      <c r="E130" s="59">
        <f>2280</f>
        <v>2280</v>
      </c>
      <c r="F130" s="59"/>
      <c r="G130" s="59"/>
      <c r="H130" s="71">
        <f>'4.pielikums'!B127</f>
        <v>64424</v>
      </c>
    </row>
    <row r="131" spans="1:8" ht="15" customHeight="1" x14ac:dyDescent="0.25">
      <c r="A131" s="73"/>
      <c r="B131" s="61" t="s">
        <v>21</v>
      </c>
      <c r="C131" s="75"/>
      <c r="D131" s="59">
        <f t="shared" si="9"/>
        <v>34570</v>
      </c>
      <c r="E131" s="59">
        <f>170</f>
        <v>170</v>
      </c>
      <c r="F131" s="59"/>
      <c r="G131" s="59"/>
      <c r="H131" s="71">
        <f>'4.pielikums'!B128</f>
        <v>34740</v>
      </c>
    </row>
    <row r="132" spans="1:8" ht="30" customHeight="1" x14ac:dyDescent="0.25">
      <c r="A132" s="73"/>
      <c r="B132" s="61" t="s">
        <v>22</v>
      </c>
      <c r="C132" s="75"/>
      <c r="D132" s="59">
        <f t="shared" si="9"/>
        <v>39664</v>
      </c>
      <c r="E132" s="59">
        <f>2100</f>
        <v>2100</v>
      </c>
      <c r="F132" s="59"/>
      <c r="G132" s="59"/>
      <c r="H132" s="71">
        <f>'4.pielikums'!B130</f>
        <v>41764</v>
      </c>
    </row>
    <row r="133" spans="1:8" ht="15" customHeight="1" x14ac:dyDescent="0.25">
      <c r="A133" s="73"/>
      <c r="B133" s="61" t="s">
        <v>23</v>
      </c>
      <c r="C133" s="75"/>
      <c r="D133" s="59">
        <f t="shared" si="9"/>
        <v>17520</v>
      </c>
      <c r="E133" s="59">
        <f>300+1200+2100</f>
        <v>3600</v>
      </c>
      <c r="F133" s="59"/>
      <c r="G133" s="59"/>
      <c r="H133" s="71">
        <f>'4.pielikums'!B131</f>
        <v>21120</v>
      </c>
    </row>
    <row r="134" spans="1:8" ht="15" customHeight="1" x14ac:dyDescent="0.25">
      <c r="A134" s="73"/>
      <c r="B134" s="61" t="s">
        <v>24</v>
      </c>
      <c r="C134" s="75"/>
      <c r="D134" s="59">
        <f t="shared" si="9"/>
        <v>65163</v>
      </c>
      <c r="E134" s="59">
        <f>400</f>
        <v>400</v>
      </c>
      <c r="F134" s="59"/>
      <c r="G134" s="59"/>
      <c r="H134" s="71">
        <f>'4.pielikums'!B132</f>
        <v>65563</v>
      </c>
    </row>
    <row r="135" spans="1:8" ht="30" customHeight="1" x14ac:dyDescent="0.25">
      <c r="A135" s="73"/>
      <c r="B135" s="76" t="s">
        <v>324</v>
      </c>
      <c r="C135" s="75"/>
      <c r="D135" s="59">
        <f t="shared" si="9"/>
        <v>18629</v>
      </c>
      <c r="E135" s="59">
        <f>2000+850+56675</f>
        <v>59525</v>
      </c>
      <c r="F135" s="59"/>
      <c r="G135" s="59"/>
      <c r="H135" s="71">
        <f>'4.pielikums'!B133</f>
        <v>78154</v>
      </c>
    </row>
    <row r="136" spans="1:8" ht="30" customHeight="1" x14ac:dyDescent="0.25">
      <c r="A136" s="73"/>
      <c r="B136" s="81" t="s">
        <v>139</v>
      </c>
      <c r="C136" s="75"/>
      <c r="D136" s="59">
        <f t="shared" si="9"/>
        <v>88380</v>
      </c>
      <c r="E136" s="59">
        <v>638</v>
      </c>
      <c r="F136" s="59"/>
      <c r="G136" s="59"/>
      <c r="H136" s="71">
        <f>'4.pielikums'!B134</f>
        <v>89018</v>
      </c>
    </row>
    <row r="137" spans="1:8" ht="30" customHeight="1" x14ac:dyDescent="0.25">
      <c r="A137" s="73"/>
      <c r="B137" s="61" t="s">
        <v>25</v>
      </c>
      <c r="C137" s="75"/>
      <c r="D137" s="59">
        <f t="shared" si="9"/>
        <v>51924</v>
      </c>
      <c r="E137" s="59">
        <f>220</f>
        <v>220</v>
      </c>
      <c r="F137" s="59"/>
      <c r="G137" s="59"/>
      <c r="H137" s="71">
        <f>'4.pielikums'!B135</f>
        <v>52144</v>
      </c>
    </row>
    <row r="138" spans="1:8" ht="30" customHeight="1" x14ac:dyDescent="0.25">
      <c r="A138" s="73"/>
      <c r="B138" s="76" t="s">
        <v>325</v>
      </c>
      <c r="C138" s="75"/>
      <c r="D138" s="59">
        <f t="shared" si="9"/>
        <v>8857</v>
      </c>
      <c r="E138" s="59"/>
      <c r="F138" s="59"/>
      <c r="G138" s="59"/>
      <c r="H138" s="71">
        <f>'4.pielikums'!B136</f>
        <v>8857</v>
      </c>
    </row>
    <row r="139" spans="1:8" ht="15" customHeight="1" x14ac:dyDescent="0.25">
      <c r="A139" s="73"/>
      <c r="B139" s="81" t="s">
        <v>140</v>
      </c>
      <c r="C139" s="75"/>
      <c r="D139" s="59">
        <f t="shared" si="9"/>
        <v>199351</v>
      </c>
      <c r="E139" s="59">
        <f>200+1000</f>
        <v>1200</v>
      </c>
      <c r="F139" s="59"/>
      <c r="G139" s="59"/>
      <c r="H139" s="71">
        <f>'4.pielikums'!B137</f>
        <v>200551</v>
      </c>
    </row>
    <row r="140" spans="1:8" ht="15" customHeight="1" x14ac:dyDescent="0.25">
      <c r="A140" s="73"/>
      <c r="B140" s="76" t="s">
        <v>326</v>
      </c>
      <c r="C140" s="75"/>
      <c r="D140" s="59">
        <f t="shared" si="9"/>
        <v>3807</v>
      </c>
      <c r="E140" s="59">
        <f>350+270+2590</f>
        <v>3210</v>
      </c>
      <c r="F140" s="59"/>
      <c r="G140" s="59"/>
      <c r="H140" s="71">
        <f>'4.pielikums'!B138</f>
        <v>7017</v>
      </c>
    </row>
    <row r="141" spans="1:8" ht="15" customHeight="1" x14ac:dyDescent="0.25">
      <c r="A141" s="73"/>
      <c r="B141" s="61" t="s">
        <v>26</v>
      </c>
      <c r="C141" s="75"/>
      <c r="D141" s="59">
        <f t="shared" si="9"/>
        <v>76830</v>
      </c>
      <c r="E141" s="59">
        <f>2986+10347+650</f>
        <v>13983</v>
      </c>
      <c r="F141" s="59"/>
      <c r="G141" s="59"/>
      <c r="H141" s="71">
        <f>'4.pielikums'!B139</f>
        <v>90813</v>
      </c>
    </row>
    <row r="142" spans="1:8" ht="30" customHeight="1" x14ac:dyDescent="0.25">
      <c r="A142" s="73"/>
      <c r="B142" s="61" t="s">
        <v>27</v>
      </c>
      <c r="C142" s="75"/>
      <c r="D142" s="59">
        <f t="shared" si="9"/>
        <v>45796</v>
      </c>
      <c r="E142" s="59"/>
      <c r="F142" s="59"/>
      <c r="G142" s="59"/>
      <c r="H142" s="71">
        <f>'4.pielikums'!B140</f>
        <v>45796</v>
      </c>
    </row>
    <row r="143" spans="1:8" ht="15" customHeight="1" x14ac:dyDescent="0.25">
      <c r="A143" s="73"/>
      <c r="B143" s="76" t="s">
        <v>188</v>
      </c>
      <c r="C143" s="75"/>
      <c r="D143" s="59">
        <f t="shared" si="9"/>
        <v>698</v>
      </c>
      <c r="E143" s="59">
        <f>280+3500</f>
        <v>3780</v>
      </c>
      <c r="F143" s="59"/>
      <c r="G143" s="59"/>
      <c r="H143" s="71">
        <f>'4.pielikums'!B141</f>
        <v>4478</v>
      </c>
    </row>
    <row r="144" spans="1:8" ht="15" customHeight="1" x14ac:dyDescent="0.25">
      <c r="A144" s="73"/>
      <c r="B144" s="61" t="s">
        <v>28</v>
      </c>
      <c r="C144" s="75"/>
      <c r="D144" s="59">
        <f t="shared" si="9"/>
        <v>90752</v>
      </c>
      <c r="E144" s="59">
        <f>120+66+550</f>
        <v>736</v>
      </c>
      <c r="F144" s="59"/>
      <c r="G144" s="59"/>
      <c r="H144" s="71">
        <f>'4.pielikums'!B142</f>
        <v>91488</v>
      </c>
    </row>
    <row r="145" spans="1:8" ht="30" customHeight="1" x14ac:dyDescent="0.25">
      <c r="A145" s="73"/>
      <c r="B145" s="76" t="s">
        <v>171</v>
      </c>
      <c r="C145" s="75"/>
      <c r="D145" s="59">
        <f t="shared" si="9"/>
        <v>7391</v>
      </c>
      <c r="E145" s="59">
        <v>17000</v>
      </c>
      <c r="F145" s="59"/>
      <c r="G145" s="59"/>
      <c r="H145" s="71">
        <f>'4.pielikums'!B146</f>
        <v>24391</v>
      </c>
    </row>
    <row r="146" spans="1:8" ht="30" customHeight="1" x14ac:dyDescent="0.25">
      <c r="A146" s="73"/>
      <c r="B146" s="76" t="s">
        <v>116</v>
      </c>
      <c r="C146" s="75"/>
      <c r="D146" s="59">
        <f t="shared" si="9"/>
        <v>0</v>
      </c>
      <c r="E146" s="59">
        <v>7500</v>
      </c>
      <c r="F146" s="59"/>
      <c r="G146" s="59"/>
      <c r="H146" s="71">
        <f>'4.pielikums'!B148</f>
        <v>7500</v>
      </c>
    </row>
    <row r="147" spans="1:8" ht="30" customHeight="1" x14ac:dyDescent="0.25">
      <c r="A147" s="73"/>
      <c r="B147" s="76" t="s">
        <v>120</v>
      </c>
      <c r="C147" s="75"/>
      <c r="D147" s="59">
        <f t="shared" si="9"/>
        <v>0</v>
      </c>
      <c r="E147" s="59">
        <f>1000</f>
        <v>1000</v>
      </c>
      <c r="F147" s="59"/>
      <c r="G147" s="59"/>
      <c r="H147" s="71">
        <f>'4.pielikums'!B149</f>
        <v>1000</v>
      </c>
    </row>
    <row r="148" spans="1:8" ht="30" customHeight="1" x14ac:dyDescent="0.25">
      <c r="A148" s="73"/>
      <c r="B148" s="76" t="s">
        <v>117</v>
      </c>
      <c r="C148" s="75"/>
      <c r="D148" s="59">
        <f t="shared" si="9"/>
        <v>0</v>
      </c>
      <c r="E148" s="59">
        <f>2100+7727</f>
        <v>9827</v>
      </c>
      <c r="F148" s="59"/>
      <c r="G148" s="59"/>
      <c r="H148" s="71">
        <f>'4.pielikums'!B150</f>
        <v>9827</v>
      </c>
    </row>
    <row r="149" spans="1:8" ht="30" customHeight="1" x14ac:dyDescent="0.25">
      <c r="A149" s="73"/>
      <c r="B149" s="76" t="s">
        <v>118</v>
      </c>
      <c r="C149" s="75"/>
      <c r="D149" s="59">
        <f t="shared" si="9"/>
        <v>0</v>
      </c>
      <c r="E149" s="59">
        <v>3200</v>
      </c>
      <c r="F149" s="59"/>
      <c r="G149" s="59"/>
      <c r="H149" s="71">
        <f>'4.pielikums'!B151</f>
        <v>3200</v>
      </c>
    </row>
    <row r="150" spans="1:8" ht="30" customHeight="1" x14ac:dyDescent="0.25">
      <c r="A150" s="73"/>
      <c r="B150" s="61" t="s">
        <v>591</v>
      </c>
      <c r="C150" s="75"/>
      <c r="D150" s="59">
        <f t="shared" si="9"/>
        <v>129108</v>
      </c>
      <c r="E150" s="59"/>
      <c r="F150" s="59"/>
      <c r="G150" s="59"/>
      <c r="H150" s="71">
        <f>'4.pielikums'!B152</f>
        <v>129108</v>
      </c>
    </row>
    <row r="151" spans="1:8" ht="30" customHeight="1" x14ac:dyDescent="0.25">
      <c r="A151" s="73"/>
      <c r="B151" s="76" t="s">
        <v>102</v>
      </c>
      <c r="C151" s="75"/>
      <c r="D151" s="59">
        <f t="shared" si="9"/>
        <v>17283</v>
      </c>
      <c r="E151" s="59"/>
      <c r="F151" s="59"/>
      <c r="G151" s="59"/>
      <c r="H151" s="71">
        <f>'4.pielikums'!B153</f>
        <v>17283</v>
      </c>
    </row>
    <row r="152" spans="1:8" ht="30" customHeight="1" x14ac:dyDescent="0.25">
      <c r="A152" s="73"/>
      <c r="B152" s="76" t="s">
        <v>98</v>
      </c>
      <c r="C152" s="75"/>
      <c r="D152" s="59">
        <f t="shared" si="9"/>
        <v>16233</v>
      </c>
      <c r="E152" s="59"/>
      <c r="F152" s="59"/>
      <c r="G152" s="59"/>
      <c r="H152" s="71">
        <f>'4.pielikums'!B154</f>
        <v>16233</v>
      </c>
    </row>
    <row r="153" spans="1:8" ht="30" customHeight="1" x14ac:dyDescent="0.25">
      <c r="A153" s="73"/>
      <c r="B153" s="76" t="s">
        <v>104</v>
      </c>
      <c r="C153" s="75"/>
      <c r="D153" s="59">
        <f t="shared" si="9"/>
        <v>25217</v>
      </c>
      <c r="E153" s="59">
        <f>400</f>
        <v>400</v>
      </c>
      <c r="F153" s="59"/>
      <c r="G153" s="59"/>
      <c r="H153" s="71">
        <f>'4.pielikums'!B155</f>
        <v>25617</v>
      </c>
    </row>
    <row r="154" spans="1:8" ht="30" customHeight="1" x14ac:dyDescent="0.25">
      <c r="A154" s="73"/>
      <c r="B154" s="76" t="s">
        <v>327</v>
      </c>
      <c r="C154" s="75"/>
      <c r="D154" s="59">
        <f t="shared" si="9"/>
        <v>53391</v>
      </c>
      <c r="E154" s="59"/>
      <c r="F154" s="59"/>
      <c r="G154" s="59"/>
      <c r="H154" s="71">
        <f>'4.pielikums'!B156</f>
        <v>53391</v>
      </c>
    </row>
    <row r="155" spans="1:8" ht="30" customHeight="1" x14ac:dyDescent="0.25">
      <c r="A155" s="73"/>
      <c r="B155" s="76" t="s">
        <v>114</v>
      </c>
      <c r="C155" s="75"/>
      <c r="D155" s="59">
        <f t="shared" ref="D155" si="11">H155-E155-G155-F155-C155</f>
        <v>24403</v>
      </c>
      <c r="E155" s="59"/>
      <c r="F155" s="59"/>
      <c r="G155" s="59"/>
      <c r="H155" s="71">
        <f>'4.pielikums'!B157</f>
        <v>24403</v>
      </c>
    </row>
    <row r="156" spans="1:8" ht="15" customHeight="1" x14ac:dyDescent="0.25">
      <c r="A156" s="73"/>
      <c r="B156" s="76" t="s">
        <v>119</v>
      </c>
      <c r="C156" s="75"/>
      <c r="D156" s="59">
        <f t="shared" si="9"/>
        <v>205684</v>
      </c>
      <c r="E156" s="59">
        <f>900+1400</f>
        <v>2300</v>
      </c>
      <c r="F156" s="59"/>
      <c r="G156" s="59"/>
      <c r="H156" s="71">
        <f>'4.pielikums'!B158</f>
        <v>207984</v>
      </c>
    </row>
    <row r="157" spans="1:8" ht="30" customHeight="1" x14ac:dyDescent="0.25">
      <c r="A157" s="73"/>
      <c r="B157" s="76" t="s">
        <v>233</v>
      </c>
      <c r="C157" s="75"/>
      <c r="D157" s="59">
        <f t="shared" si="9"/>
        <v>32483</v>
      </c>
      <c r="E157" s="59">
        <f>17608</f>
        <v>17608</v>
      </c>
      <c r="F157" s="59"/>
      <c r="G157" s="59"/>
      <c r="H157" s="71">
        <f>'4.pielikums'!B159</f>
        <v>50091</v>
      </c>
    </row>
    <row r="158" spans="1:8" ht="30" customHeight="1" x14ac:dyDescent="0.25">
      <c r="A158" s="73"/>
      <c r="B158" s="76" t="s">
        <v>109</v>
      </c>
      <c r="C158" s="75"/>
      <c r="D158" s="59">
        <f t="shared" si="9"/>
        <v>64282</v>
      </c>
      <c r="E158" s="59">
        <f>35161</f>
        <v>35161</v>
      </c>
      <c r="F158" s="59"/>
      <c r="G158" s="59"/>
      <c r="H158" s="71">
        <f>'4.pielikums'!B160</f>
        <v>99443</v>
      </c>
    </row>
    <row r="159" spans="1:8" ht="30" customHeight="1" x14ac:dyDescent="0.25">
      <c r="A159" s="73"/>
      <c r="B159" s="76" t="s">
        <v>328</v>
      </c>
      <c r="C159" s="75"/>
      <c r="D159" s="59">
        <f t="shared" si="9"/>
        <v>24514</v>
      </c>
      <c r="E159" s="59">
        <v>15050</v>
      </c>
      <c r="F159" s="59"/>
      <c r="G159" s="59"/>
      <c r="H159" s="71">
        <f>'4.pielikums'!B161</f>
        <v>39564</v>
      </c>
    </row>
    <row r="160" spans="1:8" ht="15" customHeight="1" x14ac:dyDescent="0.25">
      <c r="A160" s="73"/>
      <c r="B160" s="76" t="s">
        <v>247</v>
      </c>
      <c r="C160" s="75"/>
      <c r="D160" s="59">
        <f t="shared" si="9"/>
        <v>30292</v>
      </c>
      <c r="E160" s="59">
        <v>25940</v>
      </c>
      <c r="F160" s="59"/>
      <c r="G160" s="59"/>
      <c r="H160" s="71">
        <f>'4.pielikums'!B162</f>
        <v>56232</v>
      </c>
    </row>
    <row r="161" spans="1:8" ht="30" customHeight="1" x14ac:dyDescent="0.25">
      <c r="A161" s="73"/>
      <c r="B161" s="76" t="s">
        <v>111</v>
      </c>
      <c r="C161" s="75"/>
      <c r="D161" s="59">
        <f t="shared" si="9"/>
        <v>17275</v>
      </c>
      <c r="E161" s="59">
        <v>9000</v>
      </c>
      <c r="F161" s="59"/>
      <c r="G161" s="59"/>
      <c r="H161" s="71">
        <f>'4.pielikums'!B163</f>
        <v>26275</v>
      </c>
    </row>
    <row r="162" spans="1:8" ht="30" customHeight="1" x14ac:dyDescent="0.25">
      <c r="A162" s="73"/>
      <c r="B162" s="76" t="s">
        <v>99</v>
      </c>
      <c r="C162" s="75"/>
      <c r="D162" s="59">
        <f t="shared" si="9"/>
        <v>9995</v>
      </c>
      <c r="E162" s="59">
        <v>69000</v>
      </c>
      <c r="F162" s="59"/>
      <c r="G162" s="59"/>
      <c r="H162" s="71">
        <f>'4.pielikums'!B164</f>
        <v>78995</v>
      </c>
    </row>
    <row r="163" spans="1:8" ht="15" customHeight="1" x14ac:dyDescent="0.25">
      <c r="A163" s="73"/>
      <c r="B163" s="76" t="s">
        <v>101</v>
      </c>
      <c r="C163" s="75"/>
      <c r="D163" s="59">
        <f t="shared" si="9"/>
        <v>38125</v>
      </c>
      <c r="E163" s="59">
        <f>59000</f>
        <v>59000</v>
      </c>
      <c r="F163" s="59"/>
      <c r="G163" s="59"/>
      <c r="H163" s="71">
        <f>'4.pielikums'!B165</f>
        <v>97125</v>
      </c>
    </row>
    <row r="164" spans="1:8" ht="15" customHeight="1" x14ac:dyDescent="0.25">
      <c r="A164" s="73"/>
      <c r="B164" s="84" t="s">
        <v>194</v>
      </c>
      <c r="C164" s="75"/>
      <c r="D164" s="59">
        <f t="shared" si="9"/>
        <v>343</v>
      </c>
      <c r="E164" s="59">
        <f>2500</f>
        <v>2500</v>
      </c>
      <c r="F164" s="59"/>
      <c r="G164" s="59"/>
      <c r="H164" s="71">
        <f>'4.pielikums'!B166</f>
        <v>2843</v>
      </c>
    </row>
    <row r="165" spans="1:8" ht="15" customHeight="1" x14ac:dyDescent="0.25">
      <c r="A165" s="73"/>
      <c r="B165" s="84" t="s">
        <v>193</v>
      </c>
      <c r="C165" s="75"/>
      <c r="D165" s="59">
        <f t="shared" si="9"/>
        <v>3781</v>
      </c>
      <c r="E165" s="59">
        <f>8803</f>
        <v>8803</v>
      </c>
      <c r="F165" s="59"/>
      <c r="G165" s="59"/>
      <c r="H165" s="71">
        <f>'4.pielikums'!B167</f>
        <v>12584</v>
      </c>
    </row>
    <row r="166" spans="1:8" ht="30" customHeight="1" x14ac:dyDescent="0.25">
      <c r="A166" s="73"/>
      <c r="B166" s="76" t="s">
        <v>577</v>
      </c>
      <c r="C166" s="75"/>
      <c r="D166" s="59">
        <f t="shared" si="9"/>
        <v>1309</v>
      </c>
      <c r="E166" s="59">
        <v>2500</v>
      </c>
      <c r="F166" s="59"/>
      <c r="G166" s="59"/>
      <c r="H166" s="71">
        <f>'4.pielikums'!B168</f>
        <v>3809</v>
      </c>
    </row>
    <row r="167" spans="1:8" ht="15" customHeight="1" x14ac:dyDescent="0.25">
      <c r="A167" s="73"/>
      <c r="B167" s="76" t="s">
        <v>245</v>
      </c>
      <c r="C167" s="75"/>
      <c r="D167" s="59">
        <f>H167-E167-G167-F167-C167</f>
        <v>1969</v>
      </c>
      <c r="E167" s="59">
        <f>2800</f>
        <v>2800</v>
      </c>
      <c r="F167" s="59"/>
      <c r="G167" s="59"/>
      <c r="H167" s="71">
        <f>'4.pielikums'!B170</f>
        <v>4769</v>
      </c>
    </row>
    <row r="168" spans="1:8" ht="30" customHeight="1" x14ac:dyDescent="0.25">
      <c r="A168" s="73"/>
      <c r="B168" s="76" t="s">
        <v>578</v>
      </c>
      <c r="C168" s="75"/>
      <c r="D168" s="59">
        <f>H168-E168-G168-F168-C168</f>
        <v>3768</v>
      </c>
      <c r="E168" s="59">
        <v>3000</v>
      </c>
      <c r="F168" s="59"/>
      <c r="G168" s="59"/>
      <c r="H168" s="71">
        <f>'4.pielikums'!B171</f>
        <v>6768</v>
      </c>
    </row>
    <row r="169" spans="1:8" ht="15" customHeight="1" x14ac:dyDescent="0.25">
      <c r="A169" s="73"/>
      <c r="B169" s="76" t="s">
        <v>232</v>
      </c>
      <c r="C169" s="75"/>
      <c r="D169" s="59">
        <f t="shared" si="9"/>
        <v>346</v>
      </c>
      <c r="E169" s="59">
        <f>3445+900</f>
        <v>4345</v>
      </c>
      <c r="F169" s="59"/>
      <c r="G169" s="59"/>
      <c r="H169" s="71">
        <f>'4.pielikums'!B172</f>
        <v>4691</v>
      </c>
    </row>
    <row r="170" spans="1:8" ht="15" customHeight="1" x14ac:dyDescent="0.25">
      <c r="A170" s="73"/>
      <c r="B170" s="76" t="s">
        <v>235</v>
      </c>
      <c r="C170" s="75"/>
      <c r="D170" s="59">
        <f t="shared" si="9"/>
        <v>516</v>
      </c>
      <c r="E170" s="59">
        <f>4832</f>
        <v>4832</v>
      </c>
      <c r="F170" s="59"/>
      <c r="G170" s="59"/>
      <c r="H170" s="71">
        <f>'4.pielikums'!B173</f>
        <v>5348</v>
      </c>
    </row>
    <row r="171" spans="1:8" ht="30" customHeight="1" x14ac:dyDescent="0.25">
      <c r="A171" s="73"/>
      <c r="B171" s="76" t="s">
        <v>110</v>
      </c>
      <c r="C171" s="75"/>
      <c r="D171" s="59">
        <f t="shared" si="9"/>
        <v>7546</v>
      </c>
      <c r="E171" s="59">
        <f>6200</f>
        <v>6200</v>
      </c>
      <c r="F171" s="59"/>
      <c r="G171" s="59"/>
      <c r="H171" s="71">
        <f>'4.pielikums'!B174</f>
        <v>13746</v>
      </c>
    </row>
    <row r="172" spans="1:8" ht="15" customHeight="1" x14ac:dyDescent="0.25">
      <c r="A172" s="73"/>
      <c r="B172" s="83" t="s">
        <v>141</v>
      </c>
      <c r="C172" s="75"/>
      <c r="D172" s="59">
        <f t="shared" si="9"/>
        <v>860</v>
      </c>
      <c r="E172" s="59">
        <f>2900+5337</f>
        <v>8237</v>
      </c>
      <c r="F172" s="59"/>
      <c r="G172" s="59"/>
      <c r="H172" s="71">
        <f>'4.pielikums'!B175</f>
        <v>9097</v>
      </c>
    </row>
    <row r="173" spans="1:8" ht="30" customHeight="1" x14ac:dyDescent="0.25">
      <c r="A173" s="73"/>
      <c r="B173" s="76" t="s">
        <v>579</v>
      </c>
      <c r="C173" s="75"/>
      <c r="D173" s="59">
        <f t="shared" si="9"/>
        <v>83</v>
      </c>
      <c r="E173" s="59">
        <v>2700</v>
      </c>
      <c r="F173" s="59"/>
      <c r="G173" s="59"/>
      <c r="H173" s="71">
        <f>'4.pielikums'!B176</f>
        <v>2783</v>
      </c>
    </row>
    <row r="174" spans="1:8" ht="30" customHeight="1" x14ac:dyDescent="0.25">
      <c r="A174" s="73"/>
      <c r="B174" s="76" t="s">
        <v>103</v>
      </c>
      <c r="C174" s="75"/>
      <c r="D174" s="59">
        <f t="shared" si="9"/>
        <v>724</v>
      </c>
      <c r="E174" s="59">
        <f>4589</f>
        <v>4589</v>
      </c>
      <c r="F174" s="59"/>
      <c r="G174" s="59"/>
      <c r="H174" s="71">
        <f>'4.pielikums'!B177</f>
        <v>5313</v>
      </c>
    </row>
    <row r="175" spans="1:8" ht="15" customHeight="1" x14ac:dyDescent="0.25">
      <c r="A175" s="73"/>
      <c r="B175" s="76" t="s">
        <v>107</v>
      </c>
      <c r="C175" s="75"/>
      <c r="D175" s="59">
        <f t="shared" si="9"/>
        <v>309</v>
      </c>
      <c r="E175" s="59">
        <f>2668</f>
        <v>2668</v>
      </c>
      <c r="F175" s="59"/>
      <c r="G175" s="59"/>
      <c r="H175" s="71">
        <f>'4.pielikums'!B178</f>
        <v>2977</v>
      </c>
    </row>
    <row r="176" spans="1:8" ht="15" customHeight="1" x14ac:dyDescent="0.25">
      <c r="A176" s="73"/>
      <c r="B176" s="83" t="s">
        <v>142</v>
      </c>
      <c r="C176" s="75"/>
      <c r="D176" s="59">
        <f t="shared" si="9"/>
        <v>716</v>
      </c>
      <c r="E176" s="59">
        <f>8530</f>
        <v>8530</v>
      </c>
      <c r="F176" s="59"/>
      <c r="G176" s="59"/>
      <c r="H176" s="71">
        <f>'4.pielikums'!B179</f>
        <v>9246</v>
      </c>
    </row>
    <row r="177" spans="1:8" ht="15" customHeight="1" x14ac:dyDescent="0.25">
      <c r="A177" s="73"/>
      <c r="B177" s="76" t="s">
        <v>108</v>
      </c>
      <c r="C177" s="75"/>
      <c r="D177" s="59">
        <f t="shared" si="9"/>
        <v>0</v>
      </c>
      <c r="E177" s="59">
        <v>2490</v>
      </c>
      <c r="F177" s="59"/>
      <c r="G177" s="59"/>
      <c r="H177" s="71">
        <f>'4.pielikums'!B180</f>
        <v>2490</v>
      </c>
    </row>
    <row r="178" spans="1:8" ht="15" customHeight="1" x14ac:dyDescent="0.25">
      <c r="A178" s="73"/>
      <c r="B178" s="76" t="s">
        <v>248</v>
      </c>
      <c r="C178" s="75"/>
      <c r="D178" s="59">
        <f t="shared" si="9"/>
        <v>0</v>
      </c>
      <c r="E178" s="59">
        <v>8746</v>
      </c>
      <c r="F178" s="59"/>
      <c r="G178" s="59"/>
      <c r="H178" s="71">
        <f>'4.pielikums'!B181</f>
        <v>8746</v>
      </c>
    </row>
    <row r="179" spans="1:8" ht="15" customHeight="1" x14ac:dyDescent="0.25">
      <c r="A179" s="73"/>
      <c r="B179" s="76" t="s">
        <v>575</v>
      </c>
      <c r="C179" s="75"/>
      <c r="D179" s="59">
        <f t="shared" si="9"/>
        <v>0</v>
      </c>
      <c r="E179" s="59">
        <f>2300+1200</f>
        <v>3500</v>
      </c>
      <c r="F179" s="59"/>
      <c r="G179" s="59"/>
      <c r="H179" s="71">
        <f>'4.pielikums'!B183</f>
        <v>3500</v>
      </c>
    </row>
    <row r="180" spans="1:8" ht="15" customHeight="1" x14ac:dyDescent="0.25">
      <c r="A180" s="73"/>
      <c r="B180" s="76" t="s">
        <v>105</v>
      </c>
      <c r="C180" s="75"/>
      <c r="D180" s="59">
        <f t="shared" si="9"/>
        <v>0</v>
      </c>
      <c r="E180" s="59">
        <f>2315</f>
        <v>2315</v>
      </c>
      <c r="F180" s="59"/>
      <c r="G180" s="59"/>
      <c r="H180" s="71">
        <f>'4.pielikums'!B182</f>
        <v>2315</v>
      </c>
    </row>
    <row r="181" spans="1:8" ht="15" customHeight="1" x14ac:dyDescent="0.25">
      <c r="A181" s="73"/>
      <c r="B181" s="76" t="s">
        <v>113</v>
      </c>
      <c r="C181" s="75"/>
      <c r="D181" s="59">
        <f t="shared" si="9"/>
        <v>1774</v>
      </c>
      <c r="E181" s="59">
        <f>2200</f>
        <v>2200</v>
      </c>
      <c r="F181" s="59"/>
      <c r="G181" s="59"/>
      <c r="H181" s="71">
        <f>'4.pielikums'!B184</f>
        <v>3974</v>
      </c>
    </row>
    <row r="182" spans="1:8" ht="30" customHeight="1" x14ac:dyDescent="0.25">
      <c r="A182" s="73"/>
      <c r="B182" s="76" t="s">
        <v>691</v>
      </c>
      <c r="C182" s="75"/>
      <c r="D182" s="59">
        <f t="shared" si="9"/>
        <v>26754</v>
      </c>
      <c r="E182" s="59">
        <f>15900</f>
        <v>15900</v>
      </c>
      <c r="F182" s="59"/>
      <c r="G182" s="59"/>
      <c r="H182" s="71">
        <f>'4.pielikums'!B185</f>
        <v>42654</v>
      </c>
    </row>
    <row r="183" spans="1:8" ht="30" customHeight="1" x14ac:dyDescent="0.25">
      <c r="A183" s="73"/>
      <c r="B183" s="76" t="s">
        <v>576</v>
      </c>
      <c r="C183" s="75"/>
      <c r="D183" s="59">
        <f t="shared" si="9"/>
        <v>5</v>
      </c>
      <c r="E183" s="59">
        <v>2835</v>
      </c>
      <c r="F183" s="59"/>
      <c r="G183" s="59"/>
      <c r="H183" s="71">
        <f>'4.pielikums'!B187</f>
        <v>2840</v>
      </c>
    </row>
    <row r="184" spans="1:8" ht="15" customHeight="1" x14ac:dyDescent="0.25">
      <c r="A184" s="73"/>
      <c r="B184" s="76" t="s">
        <v>329</v>
      </c>
      <c r="C184" s="75"/>
      <c r="D184" s="59">
        <f t="shared" si="9"/>
        <v>4656</v>
      </c>
      <c r="E184" s="59">
        <f>8308</f>
        <v>8308</v>
      </c>
      <c r="F184" s="59"/>
      <c r="G184" s="59"/>
      <c r="H184" s="71">
        <f>'4.pielikums'!B188</f>
        <v>12964</v>
      </c>
    </row>
    <row r="185" spans="1:8" ht="30" customHeight="1" x14ac:dyDescent="0.25">
      <c r="A185" s="73"/>
      <c r="B185" s="81" t="s">
        <v>138</v>
      </c>
      <c r="C185" s="75"/>
      <c r="D185" s="59">
        <f t="shared" si="9"/>
        <v>26000</v>
      </c>
      <c r="E185" s="59"/>
      <c r="F185" s="59"/>
      <c r="G185" s="59"/>
      <c r="H185" s="71">
        <f>'4.pielikums'!B189</f>
        <v>26000</v>
      </c>
    </row>
    <row r="186" spans="1:8" ht="30" customHeight="1" x14ac:dyDescent="0.25">
      <c r="A186" s="73"/>
      <c r="B186" s="81" t="s">
        <v>558</v>
      </c>
      <c r="C186" s="75"/>
      <c r="D186" s="59">
        <f t="shared" si="9"/>
        <v>5966</v>
      </c>
      <c r="E186" s="59"/>
      <c r="F186" s="59">
        <f>45466+42157</f>
        <v>87623</v>
      </c>
      <c r="G186" s="59"/>
      <c r="H186" s="71">
        <f>'4.pielikums'!B360</f>
        <v>93589</v>
      </c>
    </row>
    <row r="187" spans="1:8" ht="15" customHeight="1" x14ac:dyDescent="0.25">
      <c r="A187" s="73"/>
      <c r="B187" s="81" t="s">
        <v>175</v>
      </c>
      <c r="C187" s="75"/>
      <c r="D187" s="59">
        <f t="shared" si="9"/>
        <v>100000</v>
      </c>
      <c r="E187" s="59"/>
      <c r="F187" s="59"/>
      <c r="G187" s="59"/>
      <c r="H187" s="71">
        <f>'4.pielikums'!B362</f>
        <v>100000</v>
      </c>
    </row>
    <row r="188" spans="1:8" ht="15" customHeight="1" x14ac:dyDescent="0.25">
      <c r="A188" s="1" t="s">
        <v>280</v>
      </c>
      <c r="B188" s="54" t="s">
        <v>281</v>
      </c>
      <c r="C188" s="55">
        <f>SUM(C189:C202)</f>
        <v>37734</v>
      </c>
      <c r="D188" s="55">
        <f>SUM(D189:D202)</f>
        <v>26918</v>
      </c>
      <c r="E188" s="55">
        <f>SUM(E189:E202)</f>
        <v>451</v>
      </c>
      <c r="F188" s="55">
        <f>SUM(F189:F202)</f>
        <v>165112</v>
      </c>
      <c r="G188" s="55">
        <f t="shared" ref="G188" si="12">SUM(G189:G202)</f>
        <v>0</v>
      </c>
      <c r="H188" s="71">
        <f>SUM(H189:H202)</f>
        <v>230215</v>
      </c>
    </row>
    <row r="189" spans="1:8" ht="15" customHeight="1" x14ac:dyDescent="0.25">
      <c r="A189" s="73"/>
      <c r="B189" s="61" t="s">
        <v>282</v>
      </c>
      <c r="C189" s="75"/>
      <c r="D189" s="59">
        <f t="shared" si="9"/>
        <v>4427</v>
      </c>
      <c r="E189" s="59">
        <f>200</f>
        <v>200</v>
      </c>
      <c r="F189" s="59">
        <f t="shared" ref="F189:F197" si="13">10487+667</f>
        <v>11154</v>
      </c>
      <c r="G189" s="59"/>
      <c r="H189" s="71">
        <f>'4.pielikums'!B190</f>
        <v>15781</v>
      </c>
    </row>
    <row r="190" spans="1:8" ht="15" customHeight="1" x14ac:dyDescent="0.25">
      <c r="A190" s="73"/>
      <c r="B190" s="61" t="s">
        <v>283</v>
      </c>
      <c r="C190" s="75"/>
      <c r="D190" s="59">
        <f t="shared" si="9"/>
        <v>3010</v>
      </c>
      <c r="E190" s="59">
        <f>60</f>
        <v>60</v>
      </c>
      <c r="F190" s="59">
        <f t="shared" si="13"/>
        <v>11154</v>
      </c>
      <c r="G190" s="59"/>
      <c r="H190" s="71">
        <f>'4.pielikums'!B191</f>
        <v>14224</v>
      </c>
    </row>
    <row r="191" spans="1:8" ht="15" customHeight="1" x14ac:dyDescent="0.25">
      <c r="A191" s="73"/>
      <c r="B191" s="61" t="s">
        <v>284</v>
      </c>
      <c r="C191" s="75"/>
      <c r="D191" s="59">
        <f t="shared" ref="D191:D202" si="14">H191-E191-G191-F191-C191</f>
        <v>1463</v>
      </c>
      <c r="E191" s="59">
        <f>70</f>
        <v>70</v>
      </c>
      <c r="F191" s="59">
        <f t="shared" si="13"/>
        <v>11154</v>
      </c>
      <c r="G191" s="59"/>
      <c r="H191" s="71">
        <f>'4.pielikums'!B192</f>
        <v>12687</v>
      </c>
    </row>
    <row r="192" spans="1:8" ht="15" customHeight="1" x14ac:dyDescent="0.25">
      <c r="A192" s="73"/>
      <c r="B192" s="61" t="s">
        <v>144</v>
      </c>
      <c r="C192" s="75"/>
      <c r="D192" s="59">
        <f t="shared" si="14"/>
        <v>774</v>
      </c>
      <c r="E192" s="59"/>
      <c r="F192" s="59">
        <f t="shared" si="13"/>
        <v>11154</v>
      </c>
      <c r="G192" s="59"/>
      <c r="H192" s="71">
        <f>'4.pielikums'!B193</f>
        <v>11928</v>
      </c>
    </row>
    <row r="193" spans="1:8" ht="15" customHeight="1" x14ac:dyDescent="0.25">
      <c r="A193" s="73"/>
      <c r="B193" s="61" t="s">
        <v>285</v>
      </c>
      <c r="C193" s="75"/>
      <c r="D193" s="59">
        <f t="shared" si="14"/>
        <v>641</v>
      </c>
      <c r="E193" s="59">
        <f>25</f>
        <v>25</v>
      </c>
      <c r="F193" s="59">
        <f t="shared" si="13"/>
        <v>11154</v>
      </c>
      <c r="G193" s="59"/>
      <c r="H193" s="71">
        <f>'4.pielikums'!B194</f>
        <v>11820</v>
      </c>
    </row>
    <row r="194" spans="1:8" ht="15" customHeight="1" x14ac:dyDescent="0.25">
      <c r="A194" s="73"/>
      <c r="B194" s="61" t="s">
        <v>286</v>
      </c>
      <c r="C194" s="75"/>
      <c r="D194" s="59">
        <f t="shared" si="14"/>
        <v>3170</v>
      </c>
      <c r="E194" s="59"/>
      <c r="F194" s="59">
        <f t="shared" si="13"/>
        <v>11154</v>
      </c>
      <c r="G194" s="59"/>
      <c r="H194" s="71">
        <f>'4.pielikums'!B195</f>
        <v>14324</v>
      </c>
    </row>
    <row r="195" spans="1:8" ht="15" customHeight="1" x14ac:dyDescent="0.25">
      <c r="A195" s="73"/>
      <c r="B195" s="76" t="s">
        <v>287</v>
      </c>
      <c r="C195" s="75"/>
      <c r="D195" s="59">
        <f t="shared" si="14"/>
        <v>4065</v>
      </c>
      <c r="E195" s="59">
        <v>51</v>
      </c>
      <c r="F195" s="59">
        <f t="shared" si="13"/>
        <v>11154</v>
      </c>
      <c r="G195" s="59"/>
      <c r="H195" s="71">
        <f>'4.pielikums'!B196</f>
        <v>15270</v>
      </c>
    </row>
    <row r="196" spans="1:8" ht="15" customHeight="1" x14ac:dyDescent="0.25">
      <c r="A196" s="73"/>
      <c r="B196" s="61" t="s">
        <v>288</v>
      </c>
      <c r="C196" s="75"/>
      <c r="D196" s="59">
        <f t="shared" si="14"/>
        <v>6080</v>
      </c>
      <c r="E196" s="59">
        <f>25</f>
        <v>25</v>
      </c>
      <c r="F196" s="59">
        <f t="shared" si="13"/>
        <v>11154</v>
      </c>
      <c r="G196" s="59"/>
      <c r="H196" s="71">
        <f>'4.pielikums'!B197</f>
        <v>17259</v>
      </c>
    </row>
    <row r="197" spans="1:8" ht="15" customHeight="1" x14ac:dyDescent="0.25">
      <c r="A197" s="73"/>
      <c r="B197" s="61" t="s">
        <v>289</v>
      </c>
      <c r="C197" s="75"/>
      <c r="D197" s="59">
        <f t="shared" si="14"/>
        <v>554</v>
      </c>
      <c r="E197" s="59">
        <f>20</f>
        <v>20</v>
      </c>
      <c r="F197" s="59">
        <f t="shared" si="13"/>
        <v>11154</v>
      </c>
      <c r="G197" s="59"/>
      <c r="H197" s="71">
        <f>'4.pielikums'!B198</f>
        <v>11728</v>
      </c>
    </row>
    <row r="198" spans="1:8" ht="15" customHeight="1" x14ac:dyDescent="0.25">
      <c r="A198" s="73"/>
      <c r="B198" s="63" t="s">
        <v>290</v>
      </c>
      <c r="C198" s="75"/>
      <c r="D198" s="59">
        <f t="shared" si="14"/>
        <v>0</v>
      </c>
      <c r="E198" s="59"/>
      <c r="F198" s="59">
        <v>34886</v>
      </c>
      <c r="G198" s="59"/>
      <c r="H198" s="71">
        <f>'4.pielikums'!B199</f>
        <v>34886</v>
      </c>
    </row>
    <row r="199" spans="1:8" ht="47.1" customHeight="1" x14ac:dyDescent="0.25">
      <c r="A199" s="73"/>
      <c r="B199" s="63" t="s">
        <v>57</v>
      </c>
      <c r="C199" s="75">
        <v>23905</v>
      </c>
      <c r="D199" s="59">
        <f t="shared" si="14"/>
        <v>0</v>
      </c>
      <c r="E199" s="59"/>
      <c r="F199" s="59">
        <v>21620</v>
      </c>
      <c r="G199" s="59"/>
      <c r="H199" s="71">
        <f>'4.pielikums'!B200</f>
        <v>45525</v>
      </c>
    </row>
    <row r="200" spans="1:8" ht="62.1" customHeight="1" x14ac:dyDescent="0.25">
      <c r="A200" s="73"/>
      <c r="B200" s="81" t="s">
        <v>690</v>
      </c>
      <c r="C200" s="75">
        <v>9627</v>
      </c>
      <c r="D200" s="59">
        <f t="shared" si="14"/>
        <v>2085</v>
      </c>
      <c r="E200" s="59"/>
      <c r="F200" s="59">
        <f>4093</f>
        <v>4093</v>
      </c>
      <c r="G200" s="59"/>
      <c r="H200" s="71">
        <f>'4.pielikums'!B201</f>
        <v>15805</v>
      </c>
    </row>
    <row r="201" spans="1:8" ht="15" customHeight="1" x14ac:dyDescent="0.25">
      <c r="A201" s="73"/>
      <c r="B201" s="81" t="s">
        <v>143</v>
      </c>
      <c r="C201" s="75">
        <v>58</v>
      </c>
      <c r="D201" s="59">
        <f t="shared" si="14"/>
        <v>649</v>
      </c>
      <c r="E201" s="59"/>
      <c r="F201" s="59">
        <v>2538</v>
      </c>
      <c r="G201" s="59"/>
      <c r="H201" s="71">
        <f>'4.pielikums'!B202</f>
        <v>3245</v>
      </c>
    </row>
    <row r="202" spans="1:8" ht="45" customHeight="1" x14ac:dyDescent="0.25">
      <c r="A202" s="73"/>
      <c r="B202" s="76" t="s">
        <v>204</v>
      </c>
      <c r="C202" s="75">
        <v>4144</v>
      </c>
      <c r="D202" s="59">
        <f t="shared" si="14"/>
        <v>0</v>
      </c>
      <c r="E202" s="59"/>
      <c r="F202" s="59">
        <v>1589</v>
      </c>
      <c r="G202" s="59"/>
      <c r="H202" s="71">
        <f>'4.pielikums'!B203</f>
        <v>5733</v>
      </c>
    </row>
    <row r="203" spans="1:8" ht="15" customHeight="1" x14ac:dyDescent="0.25">
      <c r="A203" s="1" t="s">
        <v>291</v>
      </c>
      <c r="B203" s="54" t="s">
        <v>524</v>
      </c>
      <c r="C203" s="55">
        <f t="shared" ref="C203:H203" si="15">C204+C210+C212+C218+C240</f>
        <v>516382</v>
      </c>
      <c r="D203" s="55">
        <f t="shared" si="15"/>
        <v>2459105</v>
      </c>
      <c r="E203" s="55">
        <f t="shared" si="15"/>
        <v>183090</v>
      </c>
      <c r="F203" s="55">
        <f t="shared" si="15"/>
        <v>316453</v>
      </c>
      <c r="G203" s="55">
        <f t="shared" si="15"/>
        <v>986539</v>
      </c>
      <c r="H203" s="71">
        <f t="shared" si="15"/>
        <v>4461569</v>
      </c>
    </row>
    <row r="204" spans="1:8" ht="15" customHeight="1" x14ac:dyDescent="0.25">
      <c r="A204" s="1"/>
      <c r="B204" s="54" t="s">
        <v>292</v>
      </c>
      <c r="C204" s="55">
        <f t="shared" ref="C204:G204" si="16">SUM(C205:C207)</f>
        <v>0</v>
      </c>
      <c r="D204" s="55">
        <f>SUM(D205:D208)</f>
        <v>159137</v>
      </c>
      <c r="E204" s="55">
        <f>SUM(E205:E208)</f>
        <v>2985</v>
      </c>
      <c r="F204" s="55">
        <f t="shared" si="16"/>
        <v>0</v>
      </c>
      <c r="G204" s="55">
        <f t="shared" si="16"/>
        <v>0</v>
      </c>
      <c r="H204" s="71">
        <f>SUM(H205:H208)</f>
        <v>162122</v>
      </c>
    </row>
    <row r="205" spans="1:8" ht="15" customHeight="1" x14ac:dyDescent="0.25">
      <c r="A205" s="73"/>
      <c r="B205" s="58" t="s">
        <v>165</v>
      </c>
      <c r="C205" s="74"/>
      <c r="D205" s="59">
        <f t="shared" ref="D205:D259" si="17">H205-E205-G205-F205-C205</f>
        <v>83744</v>
      </c>
      <c r="E205" s="59"/>
      <c r="F205" s="59"/>
      <c r="G205" s="59"/>
      <c r="H205" s="71">
        <f>'4.pielikums'!B204</f>
        <v>83744</v>
      </c>
    </row>
    <row r="206" spans="1:8" ht="15" customHeight="1" x14ac:dyDescent="0.25">
      <c r="A206" s="73"/>
      <c r="B206" s="61" t="s">
        <v>197</v>
      </c>
      <c r="C206" s="75"/>
      <c r="D206" s="59">
        <f t="shared" si="17"/>
        <v>42155</v>
      </c>
      <c r="E206" s="59">
        <v>1985</v>
      </c>
      <c r="F206" s="59"/>
      <c r="G206" s="59"/>
      <c r="H206" s="71">
        <f>'4.pielikums'!B205</f>
        <v>44140</v>
      </c>
    </row>
    <row r="207" spans="1:8" ht="15" customHeight="1" x14ac:dyDescent="0.25">
      <c r="A207" s="73"/>
      <c r="B207" s="61" t="s">
        <v>218</v>
      </c>
      <c r="C207" s="75"/>
      <c r="D207" s="59">
        <f t="shared" si="17"/>
        <v>22496</v>
      </c>
      <c r="E207" s="59">
        <f>1000</f>
        <v>1000</v>
      </c>
      <c r="F207" s="59"/>
      <c r="G207" s="59"/>
      <c r="H207" s="71">
        <f>'4.pielikums'!B207</f>
        <v>23496</v>
      </c>
    </row>
    <row r="208" spans="1:8" ht="15" customHeight="1" x14ac:dyDescent="0.25">
      <c r="A208" s="73"/>
      <c r="B208" s="81" t="s">
        <v>589</v>
      </c>
      <c r="C208" s="75"/>
      <c r="D208" s="59">
        <f>H208-E208-G208-F208-C208</f>
        <v>10742</v>
      </c>
      <c r="E208" s="59"/>
      <c r="F208" s="59"/>
      <c r="G208" s="59"/>
      <c r="H208" s="71">
        <f>'4.pielikums'!B351</f>
        <v>10742</v>
      </c>
    </row>
    <row r="209" spans="1:8" ht="15" customHeight="1" x14ac:dyDescent="0.25">
      <c r="A209" s="1"/>
      <c r="B209" s="54" t="s">
        <v>294</v>
      </c>
      <c r="C209" s="78"/>
      <c r="D209" s="59"/>
      <c r="E209" s="55"/>
      <c r="F209" s="55"/>
      <c r="G209" s="55"/>
      <c r="H209" s="71"/>
    </row>
    <row r="210" spans="1:8" ht="15" customHeight="1" x14ac:dyDescent="0.25">
      <c r="A210" s="1"/>
      <c r="B210" s="54" t="s">
        <v>295</v>
      </c>
      <c r="C210" s="55">
        <f t="shared" ref="C210:H210" si="18">SUM(C211:C211)</f>
        <v>0</v>
      </c>
      <c r="D210" s="55">
        <f t="shared" si="18"/>
        <v>518126</v>
      </c>
      <c r="E210" s="55">
        <f t="shared" si="18"/>
        <v>12880</v>
      </c>
      <c r="F210" s="55">
        <f t="shared" si="18"/>
        <v>0</v>
      </c>
      <c r="G210" s="55">
        <f t="shared" si="18"/>
        <v>0</v>
      </c>
      <c r="H210" s="71">
        <f t="shared" si="18"/>
        <v>531006</v>
      </c>
    </row>
    <row r="211" spans="1:8" ht="15" customHeight="1" x14ac:dyDescent="0.25">
      <c r="A211" s="73"/>
      <c r="B211" s="58" t="s">
        <v>31</v>
      </c>
      <c r="C211" s="74"/>
      <c r="D211" s="59">
        <f t="shared" si="17"/>
        <v>518126</v>
      </c>
      <c r="E211" s="59">
        <f>2114+1500+9266</f>
        <v>12880</v>
      </c>
      <c r="F211" s="59"/>
      <c r="G211" s="59"/>
      <c r="H211" s="71">
        <f>'4.pielikums'!B208</f>
        <v>531006</v>
      </c>
    </row>
    <row r="212" spans="1:8" ht="15" customHeight="1" x14ac:dyDescent="0.25">
      <c r="A212" s="1"/>
      <c r="B212" s="54" t="s">
        <v>296</v>
      </c>
      <c r="C212" s="55">
        <f t="shared" ref="C212:H212" si="19">SUM(C213:C217)</f>
        <v>0</v>
      </c>
      <c r="D212" s="55">
        <f t="shared" si="19"/>
        <v>249594</v>
      </c>
      <c r="E212" s="55">
        <f t="shared" si="19"/>
        <v>13123</v>
      </c>
      <c r="F212" s="55">
        <f t="shared" si="19"/>
        <v>0</v>
      </c>
      <c r="G212" s="55">
        <f t="shared" si="19"/>
        <v>0</v>
      </c>
      <c r="H212" s="71">
        <f t="shared" si="19"/>
        <v>262717</v>
      </c>
    </row>
    <row r="213" spans="1:8" ht="15" customHeight="1" x14ac:dyDescent="0.25">
      <c r="A213" s="73"/>
      <c r="B213" s="58" t="s">
        <v>297</v>
      </c>
      <c r="C213" s="74"/>
      <c r="D213" s="59">
        <f t="shared" si="17"/>
        <v>124574</v>
      </c>
      <c r="E213" s="59">
        <f>2800+1000+6500+100</f>
        <v>10400</v>
      </c>
      <c r="F213" s="59"/>
      <c r="G213" s="59"/>
      <c r="H213" s="71">
        <f>'4.pielikums'!B209</f>
        <v>134974</v>
      </c>
    </row>
    <row r="214" spans="1:8" ht="15" customHeight="1" x14ac:dyDescent="0.25">
      <c r="A214" s="73"/>
      <c r="B214" s="58" t="s">
        <v>145</v>
      </c>
      <c r="C214" s="74"/>
      <c r="D214" s="59">
        <f t="shared" si="17"/>
        <v>53820</v>
      </c>
      <c r="E214" s="59">
        <f>100+100</f>
        <v>200</v>
      </c>
      <c r="F214" s="59"/>
      <c r="G214" s="59"/>
      <c r="H214" s="71">
        <f>'4.pielikums'!B210</f>
        <v>54020</v>
      </c>
    </row>
    <row r="215" spans="1:8" ht="15" customHeight="1" x14ac:dyDescent="0.25">
      <c r="A215" s="73"/>
      <c r="B215" s="81" t="s">
        <v>126</v>
      </c>
      <c r="C215" s="75"/>
      <c r="D215" s="59">
        <f t="shared" si="17"/>
        <v>13729</v>
      </c>
      <c r="E215" s="59"/>
      <c r="F215" s="59"/>
      <c r="G215" s="59"/>
      <c r="H215" s="71">
        <f>'4.pielikums'!B211</f>
        <v>13729</v>
      </c>
    </row>
    <row r="216" spans="1:8" ht="15" customHeight="1" x14ac:dyDescent="0.25">
      <c r="A216" s="73"/>
      <c r="B216" s="76" t="s">
        <v>125</v>
      </c>
      <c r="C216" s="75"/>
      <c r="D216" s="59">
        <f t="shared" si="17"/>
        <v>43490</v>
      </c>
      <c r="E216" s="59">
        <f>950+373</f>
        <v>1323</v>
      </c>
      <c r="F216" s="59"/>
      <c r="G216" s="59"/>
      <c r="H216" s="71">
        <f>'4.pielikums'!B212</f>
        <v>44813</v>
      </c>
    </row>
    <row r="217" spans="1:8" ht="30" customHeight="1" x14ac:dyDescent="0.25">
      <c r="A217" s="73"/>
      <c r="B217" s="76" t="s">
        <v>124</v>
      </c>
      <c r="C217" s="75"/>
      <c r="D217" s="59">
        <f t="shared" si="17"/>
        <v>13981</v>
      </c>
      <c r="E217" s="59">
        <f>900+300</f>
        <v>1200</v>
      </c>
      <c r="F217" s="59"/>
      <c r="G217" s="59"/>
      <c r="H217" s="71">
        <f>'4.pielikums'!B213</f>
        <v>15181</v>
      </c>
    </row>
    <row r="218" spans="1:8" ht="15" customHeight="1" x14ac:dyDescent="0.25">
      <c r="A218" s="1"/>
      <c r="B218" s="54" t="s">
        <v>298</v>
      </c>
      <c r="C218" s="55">
        <f>SUM(C219:C239)</f>
        <v>0</v>
      </c>
      <c r="D218" s="55">
        <f>SUM(D219:D239)</f>
        <v>1047352</v>
      </c>
      <c r="E218" s="55">
        <f>SUM(E219:E239)</f>
        <v>132452</v>
      </c>
      <c r="F218" s="55">
        <f t="shared" ref="F218:G218" si="20">SUM(F219:F239)</f>
        <v>23722</v>
      </c>
      <c r="G218" s="55">
        <f t="shared" si="20"/>
        <v>0</v>
      </c>
      <c r="H218" s="71">
        <f>SUM(H219:H239)</f>
        <v>1203526</v>
      </c>
    </row>
    <row r="219" spans="1:8" ht="15" customHeight="1" x14ac:dyDescent="0.25">
      <c r="A219" s="73"/>
      <c r="B219" s="58" t="s">
        <v>75</v>
      </c>
      <c r="C219" s="74"/>
      <c r="D219" s="59">
        <f t="shared" si="17"/>
        <v>247185</v>
      </c>
      <c r="E219" s="59">
        <f>8193+5000</f>
        <v>13193</v>
      </c>
      <c r="F219" s="59">
        <f>6953</f>
        <v>6953</v>
      </c>
      <c r="G219" s="59"/>
      <c r="H219" s="71">
        <f>'4.pielikums'!B214</f>
        <v>267331</v>
      </c>
    </row>
    <row r="220" spans="1:8" ht="30" customHeight="1" x14ac:dyDescent="0.25">
      <c r="A220" s="73"/>
      <c r="B220" s="61" t="s">
        <v>300</v>
      </c>
      <c r="C220" s="75"/>
      <c r="D220" s="59">
        <f t="shared" si="17"/>
        <v>45956</v>
      </c>
      <c r="E220" s="59">
        <f>66750+200</f>
        <v>66950</v>
      </c>
      <c r="F220" s="59"/>
      <c r="G220" s="59"/>
      <c r="H220" s="71">
        <f>'4.pielikums'!B215</f>
        <v>112906</v>
      </c>
    </row>
    <row r="221" spans="1:8" ht="15" customHeight="1" x14ac:dyDescent="0.25">
      <c r="A221" s="73"/>
      <c r="B221" s="61" t="s">
        <v>608</v>
      </c>
      <c r="C221" s="75"/>
      <c r="D221" s="59">
        <f t="shared" si="17"/>
        <v>45138</v>
      </c>
      <c r="E221" s="59">
        <v>150</v>
      </c>
      <c r="F221" s="59">
        <v>1636</v>
      </c>
      <c r="G221" s="59"/>
      <c r="H221" s="71">
        <f>'4.pielikums'!B216</f>
        <v>46924</v>
      </c>
    </row>
    <row r="222" spans="1:8" ht="15" customHeight="1" x14ac:dyDescent="0.25">
      <c r="A222" s="73"/>
      <c r="B222" s="61" t="s">
        <v>161</v>
      </c>
      <c r="C222" s="75"/>
      <c r="D222" s="59">
        <f t="shared" si="17"/>
        <v>7131</v>
      </c>
      <c r="E222" s="59">
        <v>3400</v>
      </c>
      <c r="F222" s="59"/>
      <c r="G222" s="59"/>
      <c r="H222" s="71">
        <f>'4.pielikums'!B217</f>
        <v>10531</v>
      </c>
    </row>
    <row r="223" spans="1:8" ht="15" customHeight="1" x14ac:dyDescent="0.25">
      <c r="A223" s="73"/>
      <c r="B223" s="58" t="s">
        <v>190</v>
      </c>
      <c r="C223" s="74"/>
      <c r="D223" s="59">
        <f t="shared" si="17"/>
        <v>44098</v>
      </c>
      <c r="E223" s="59">
        <f>50+900+1584</f>
        <v>2534</v>
      </c>
      <c r="F223" s="59">
        <f>409</f>
        <v>409</v>
      </c>
      <c r="G223" s="59"/>
      <c r="H223" s="71">
        <f>'4.pielikums'!B218</f>
        <v>47041</v>
      </c>
    </row>
    <row r="224" spans="1:8" ht="15" customHeight="1" x14ac:dyDescent="0.25">
      <c r="A224" s="73"/>
      <c r="B224" s="61" t="s">
        <v>33</v>
      </c>
      <c r="C224" s="75"/>
      <c r="D224" s="59">
        <f t="shared" si="17"/>
        <v>43673</v>
      </c>
      <c r="E224" s="59">
        <f>400</f>
        <v>400</v>
      </c>
      <c r="F224" s="59">
        <f>1227</f>
        <v>1227</v>
      </c>
      <c r="G224" s="59"/>
      <c r="H224" s="71">
        <f>'4.pielikums'!B219</f>
        <v>45300</v>
      </c>
    </row>
    <row r="225" spans="1:8" ht="15" customHeight="1" x14ac:dyDescent="0.25">
      <c r="A225" s="73"/>
      <c r="B225" s="58" t="s">
        <v>34</v>
      </c>
      <c r="C225" s="74"/>
      <c r="D225" s="59">
        <f t="shared" si="17"/>
        <v>29792</v>
      </c>
      <c r="E225" s="59">
        <f>100+100</f>
        <v>200</v>
      </c>
      <c r="F225" s="59"/>
      <c r="G225" s="59"/>
      <c r="H225" s="71">
        <f>'4.pielikums'!B220</f>
        <v>29992</v>
      </c>
    </row>
    <row r="226" spans="1:8" ht="15" customHeight="1" x14ac:dyDescent="0.25">
      <c r="A226" s="73"/>
      <c r="B226" s="58" t="s">
        <v>607</v>
      </c>
      <c r="C226" s="74"/>
      <c r="D226" s="59">
        <f t="shared" si="17"/>
        <v>56917</v>
      </c>
      <c r="E226" s="59">
        <f>350+2467</f>
        <v>2817</v>
      </c>
      <c r="F226" s="59"/>
      <c r="G226" s="59"/>
      <c r="H226" s="71">
        <f>'4.pielikums'!B221</f>
        <v>59734</v>
      </c>
    </row>
    <row r="227" spans="1:8" ht="15" customHeight="1" x14ac:dyDescent="0.25">
      <c r="A227" s="73"/>
      <c r="B227" s="61" t="s">
        <v>596</v>
      </c>
      <c r="C227" s="75"/>
      <c r="D227" s="59">
        <f t="shared" si="17"/>
        <v>44004</v>
      </c>
      <c r="E227" s="59">
        <f>100+4350+3883</f>
        <v>8333</v>
      </c>
      <c r="F227" s="59">
        <v>409</v>
      </c>
      <c r="G227" s="59"/>
      <c r="H227" s="71">
        <f>'4.pielikums'!B222</f>
        <v>52746</v>
      </c>
    </row>
    <row r="228" spans="1:8" ht="15" customHeight="1" x14ac:dyDescent="0.25">
      <c r="A228" s="73"/>
      <c r="B228" s="58" t="s">
        <v>189</v>
      </c>
      <c r="C228" s="74"/>
      <c r="D228" s="59">
        <f t="shared" si="17"/>
        <v>13032</v>
      </c>
      <c r="E228" s="59">
        <f>50+150</f>
        <v>200</v>
      </c>
      <c r="F228" s="59"/>
      <c r="G228" s="59"/>
      <c r="H228" s="71">
        <f>'4.pielikums'!B223</f>
        <v>13232</v>
      </c>
    </row>
    <row r="229" spans="1:8" ht="15" customHeight="1" x14ac:dyDescent="0.25">
      <c r="A229" s="73"/>
      <c r="B229" s="76" t="s">
        <v>147</v>
      </c>
      <c r="C229" s="75"/>
      <c r="D229" s="59">
        <f t="shared" si="17"/>
        <v>35879</v>
      </c>
      <c r="E229" s="59">
        <f>100+6200</f>
        <v>6300</v>
      </c>
      <c r="F229" s="59">
        <f>818</f>
        <v>818</v>
      </c>
      <c r="G229" s="59"/>
      <c r="H229" s="71">
        <f>'4.pielikums'!B224</f>
        <v>42997</v>
      </c>
    </row>
    <row r="230" spans="1:8" ht="15" customHeight="1" x14ac:dyDescent="0.25">
      <c r="A230" s="73"/>
      <c r="B230" s="58" t="s">
        <v>196</v>
      </c>
      <c r="C230" s="74"/>
      <c r="D230" s="59">
        <f t="shared" si="17"/>
        <v>25006</v>
      </c>
      <c r="E230" s="59">
        <f>140+250</f>
        <v>390</v>
      </c>
      <c r="F230" s="59"/>
      <c r="G230" s="59"/>
      <c r="H230" s="71">
        <f>'4.pielikums'!B225</f>
        <v>25396</v>
      </c>
    </row>
    <row r="231" spans="1:8" ht="15" customHeight="1" x14ac:dyDescent="0.25">
      <c r="A231" s="73"/>
      <c r="B231" s="58" t="s">
        <v>187</v>
      </c>
      <c r="C231" s="74"/>
      <c r="D231" s="59">
        <f t="shared" si="17"/>
        <v>18945</v>
      </c>
      <c r="E231" s="59">
        <f>30</f>
        <v>30</v>
      </c>
      <c r="F231" s="59"/>
      <c r="G231" s="59"/>
      <c r="H231" s="71">
        <f>'4.pielikums'!B226</f>
        <v>18975</v>
      </c>
    </row>
    <row r="232" spans="1:8" ht="15" customHeight="1" x14ac:dyDescent="0.25">
      <c r="A232" s="73"/>
      <c r="B232" s="61" t="s">
        <v>595</v>
      </c>
      <c r="C232" s="75"/>
      <c r="D232" s="59">
        <f t="shared" si="17"/>
        <v>56175</v>
      </c>
      <c r="E232" s="59">
        <f>5500</f>
        <v>5500</v>
      </c>
      <c r="F232" s="59">
        <f>3272</f>
        <v>3272</v>
      </c>
      <c r="G232" s="59"/>
      <c r="H232" s="71">
        <f>'4.pielikums'!B227</f>
        <v>64947</v>
      </c>
    </row>
    <row r="233" spans="1:8" ht="15" customHeight="1" x14ac:dyDescent="0.25">
      <c r="A233" s="73"/>
      <c r="B233" s="58" t="s">
        <v>606</v>
      </c>
      <c r="C233" s="74"/>
      <c r="D233" s="59">
        <f t="shared" si="17"/>
        <v>47116</v>
      </c>
      <c r="E233" s="59">
        <f>150+2260</f>
        <v>2410</v>
      </c>
      <c r="F233" s="59">
        <f>1227</f>
        <v>1227</v>
      </c>
      <c r="G233" s="59"/>
      <c r="H233" s="71">
        <f>'4.pielikums'!B228</f>
        <v>50753</v>
      </c>
    </row>
    <row r="234" spans="1:8" ht="15" customHeight="1" x14ac:dyDescent="0.25">
      <c r="A234" s="73"/>
      <c r="B234" s="63" t="s">
        <v>198</v>
      </c>
      <c r="C234" s="75"/>
      <c r="D234" s="59">
        <f t="shared" si="17"/>
        <v>34175</v>
      </c>
      <c r="E234" s="59">
        <f>160+765</f>
        <v>925</v>
      </c>
      <c r="F234" s="59">
        <f>409</f>
        <v>409</v>
      </c>
      <c r="G234" s="59"/>
      <c r="H234" s="71">
        <f>'4.pielikums'!B229</f>
        <v>35509</v>
      </c>
    </row>
    <row r="235" spans="1:8" ht="15" customHeight="1" x14ac:dyDescent="0.25">
      <c r="A235" s="73"/>
      <c r="B235" s="58" t="s">
        <v>35</v>
      </c>
      <c r="C235" s="74"/>
      <c r="D235" s="59">
        <f t="shared" si="17"/>
        <v>27927</v>
      </c>
      <c r="E235" s="59">
        <f>100+800</f>
        <v>900</v>
      </c>
      <c r="F235" s="59">
        <f>1227</f>
        <v>1227</v>
      </c>
      <c r="G235" s="59"/>
      <c r="H235" s="71">
        <f>'4.pielikums'!B230</f>
        <v>30054</v>
      </c>
    </row>
    <row r="236" spans="1:8" ht="15" customHeight="1" x14ac:dyDescent="0.25">
      <c r="A236" s="73"/>
      <c r="B236" s="76" t="s">
        <v>605</v>
      </c>
      <c r="C236" s="75"/>
      <c r="D236" s="59">
        <f t="shared" si="17"/>
        <v>97552</v>
      </c>
      <c r="E236" s="59">
        <f>400+11950</f>
        <v>12350</v>
      </c>
      <c r="F236" s="59">
        <f>2863</f>
        <v>2863</v>
      </c>
      <c r="G236" s="59"/>
      <c r="H236" s="71">
        <f>'4.pielikums'!B231</f>
        <v>112765</v>
      </c>
    </row>
    <row r="237" spans="1:8" ht="15" customHeight="1" x14ac:dyDescent="0.25">
      <c r="A237" s="73"/>
      <c r="B237" s="76" t="s">
        <v>604</v>
      </c>
      <c r="C237" s="75"/>
      <c r="D237" s="59">
        <f t="shared" si="17"/>
        <v>40004</v>
      </c>
      <c r="E237" s="59">
        <f>70+1100</f>
        <v>1170</v>
      </c>
      <c r="F237" s="59">
        <f>818</f>
        <v>818</v>
      </c>
      <c r="G237" s="59"/>
      <c r="H237" s="71">
        <f>'4.pielikums'!B232</f>
        <v>41992</v>
      </c>
    </row>
    <row r="238" spans="1:8" ht="30" customHeight="1" x14ac:dyDescent="0.25">
      <c r="A238" s="73"/>
      <c r="B238" s="76" t="s">
        <v>148</v>
      </c>
      <c r="C238" s="75"/>
      <c r="D238" s="59">
        <f t="shared" si="17"/>
        <v>21914</v>
      </c>
      <c r="E238" s="59">
        <f>200+500</f>
        <v>700</v>
      </c>
      <c r="F238" s="59">
        <f>1227</f>
        <v>1227</v>
      </c>
      <c r="G238" s="59"/>
      <c r="H238" s="71">
        <f>'4.pielikums'!B233</f>
        <v>23841</v>
      </c>
    </row>
    <row r="239" spans="1:8" ht="30" customHeight="1" x14ac:dyDescent="0.25">
      <c r="A239" s="73"/>
      <c r="B239" s="76" t="s">
        <v>299</v>
      </c>
      <c r="C239" s="75"/>
      <c r="D239" s="59">
        <f>H239-E239-G239-F239-C239</f>
        <v>65733</v>
      </c>
      <c r="E239" s="59">
        <f>1700+1900</f>
        <v>3600</v>
      </c>
      <c r="F239" s="59">
        <f>1227</f>
        <v>1227</v>
      </c>
      <c r="G239" s="59"/>
      <c r="H239" s="71">
        <f>'4.pielikums'!B234</f>
        <v>70560</v>
      </c>
    </row>
    <row r="240" spans="1:8" ht="15" customHeight="1" x14ac:dyDescent="0.25">
      <c r="A240" s="1" t="s">
        <v>301</v>
      </c>
      <c r="B240" s="62" t="s">
        <v>302</v>
      </c>
      <c r="C240" s="78">
        <f t="shared" ref="C240:G240" si="21">SUM(C241:C259)</f>
        <v>516382</v>
      </c>
      <c r="D240" s="78">
        <f t="shared" si="21"/>
        <v>484896</v>
      </c>
      <c r="E240" s="78">
        <f t="shared" si="21"/>
        <v>21650</v>
      </c>
      <c r="F240" s="78">
        <f t="shared" si="21"/>
        <v>292731</v>
      </c>
      <c r="G240" s="78">
        <f t="shared" si="21"/>
        <v>986539</v>
      </c>
      <c r="H240" s="71">
        <f>SUM(H241:H259)</f>
        <v>2302198</v>
      </c>
    </row>
    <row r="241" spans="1:8" ht="15" customHeight="1" x14ac:dyDescent="0.25">
      <c r="A241" s="73"/>
      <c r="B241" s="61" t="s">
        <v>167</v>
      </c>
      <c r="C241" s="75"/>
      <c r="D241" s="59">
        <f t="shared" si="17"/>
        <v>64786</v>
      </c>
      <c r="E241" s="59"/>
      <c r="F241" s="59"/>
      <c r="G241" s="59"/>
      <c r="H241" s="71">
        <f>'4.pielikums'!B238</f>
        <v>64786</v>
      </c>
    </row>
    <row r="242" spans="1:8" ht="15" customHeight="1" x14ac:dyDescent="0.25">
      <c r="A242" s="73"/>
      <c r="B242" s="61" t="s">
        <v>168</v>
      </c>
      <c r="C242" s="75"/>
      <c r="D242" s="59">
        <f t="shared" si="17"/>
        <v>60380</v>
      </c>
      <c r="E242" s="59">
        <v>9000</v>
      </c>
      <c r="F242" s="59"/>
      <c r="G242" s="59"/>
      <c r="H242" s="71">
        <f>'4.pielikums'!B239</f>
        <v>69380</v>
      </c>
    </row>
    <row r="243" spans="1:8" ht="15" customHeight="1" x14ac:dyDescent="0.25">
      <c r="A243" s="73"/>
      <c r="B243" s="61" t="s">
        <v>237</v>
      </c>
      <c r="C243" s="75"/>
      <c r="D243" s="59">
        <f t="shared" si="17"/>
        <v>70504</v>
      </c>
      <c r="E243" s="59"/>
      <c r="F243" s="59"/>
      <c r="G243" s="59"/>
      <c r="H243" s="71">
        <f>'4.pielikums'!B240</f>
        <v>70504</v>
      </c>
    </row>
    <row r="244" spans="1:8" ht="30" customHeight="1" x14ac:dyDescent="0.25">
      <c r="A244" s="73"/>
      <c r="B244" s="61" t="s">
        <v>630</v>
      </c>
      <c r="C244" s="75"/>
      <c r="D244" s="59">
        <f t="shared" si="17"/>
        <v>82683</v>
      </c>
      <c r="E244" s="59"/>
      <c r="F244" s="59">
        <v>67306</v>
      </c>
      <c r="G244" s="59"/>
      <c r="H244" s="71">
        <f>'4.pielikums'!B242</f>
        <v>149989</v>
      </c>
    </row>
    <row r="245" spans="1:8" ht="15" customHeight="1" x14ac:dyDescent="0.25">
      <c r="A245" s="73"/>
      <c r="B245" s="61" t="s">
        <v>643</v>
      </c>
      <c r="C245" s="75"/>
      <c r="D245" s="59">
        <f t="shared" si="17"/>
        <v>3242</v>
      </c>
      <c r="E245" s="59"/>
      <c r="F245" s="59"/>
      <c r="G245" s="59"/>
      <c r="H245" s="71">
        <f>'4.pielikums'!B244</f>
        <v>3242</v>
      </c>
    </row>
    <row r="246" spans="1:8" ht="30.75" customHeight="1" x14ac:dyDescent="0.25">
      <c r="A246" s="73"/>
      <c r="B246" s="61" t="s">
        <v>674</v>
      </c>
      <c r="C246" s="75"/>
      <c r="D246" s="59">
        <f t="shared" si="17"/>
        <v>500</v>
      </c>
      <c r="E246" s="59"/>
      <c r="F246" s="59"/>
      <c r="G246" s="59"/>
      <c r="H246" s="71">
        <f>'4.pielikums'!B247</f>
        <v>500</v>
      </c>
    </row>
    <row r="247" spans="1:8" ht="30" customHeight="1" x14ac:dyDescent="0.25">
      <c r="A247" s="73"/>
      <c r="B247" s="63" t="s">
        <v>36</v>
      </c>
      <c r="C247" s="75"/>
      <c r="D247" s="59">
        <f t="shared" si="17"/>
        <v>69309</v>
      </c>
      <c r="E247" s="59"/>
      <c r="F247" s="59"/>
      <c r="G247" s="59"/>
      <c r="H247" s="71">
        <f>'4.pielikums'!B248</f>
        <v>69309</v>
      </c>
    </row>
    <row r="248" spans="1:8" ht="30" customHeight="1" x14ac:dyDescent="0.25">
      <c r="A248" s="1"/>
      <c r="B248" s="63" t="s">
        <v>229</v>
      </c>
      <c r="C248" s="75"/>
      <c r="D248" s="59">
        <f t="shared" si="17"/>
        <v>77543</v>
      </c>
      <c r="E248" s="59"/>
      <c r="F248" s="59"/>
      <c r="G248" s="59">
        <v>439406</v>
      </c>
      <c r="H248" s="71">
        <f>'4.pielikums'!B349</f>
        <v>516949</v>
      </c>
    </row>
    <row r="249" spans="1:8" ht="30" customHeight="1" x14ac:dyDescent="0.25">
      <c r="A249" s="1"/>
      <c r="B249" s="63" t="s">
        <v>227</v>
      </c>
      <c r="C249" s="75">
        <v>166939</v>
      </c>
      <c r="D249" s="59">
        <f t="shared" si="17"/>
        <v>0</v>
      </c>
      <c r="E249" s="59"/>
      <c r="F249" s="59">
        <v>68552</v>
      </c>
      <c r="G249" s="59">
        <v>265281</v>
      </c>
      <c r="H249" s="71">
        <f>'4.pielikums'!B365</f>
        <v>500772</v>
      </c>
    </row>
    <row r="250" spans="1:8" ht="47.1" customHeight="1" x14ac:dyDescent="0.25">
      <c r="A250" s="1"/>
      <c r="B250" s="63" t="s">
        <v>597</v>
      </c>
      <c r="C250" s="75">
        <v>349443</v>
      </c>
      <c r="D250" s="59">
        <f t="shared" si="17"/>
        <v>0</v>
      </c>
      <c r="E250" s="59"/>
      <c r="F250" s="59">
        <v>142073</v>
      </c>
      <c r="G250" s="59">
        <f>242228+39624</f>
        <v>281852</v>
      </c>
      <c r="H250" s="71">
        <f>'4.pielikums'!B367</f>
        <v>773368</v>
      </c>
    </row>
    <row r="251" spans="1:8" ht="30" customHeight="1" x14ac:dyDescent="0.25">
      <c r="A251" s="1"/>
      <c r="B251" s="63" t="s">
        <v>627</v>
      </c>
      <c r="C251" s="75"/>
      <c r="D251" s="59">
        <f t="shared" si="17"/>
        <v>8010</v>
      </c>
      <c r="E251" s="59">
        <v>4500</v>
      </c>
      <c r="F251" s="59"/>
      <c r="G251" s="59"/>
      <c r="H251" s="71">
        <f>'4.pielikums'!B354</f>
        <v>12510</v>
      </c>
    </row>
    <row r="252" spans="1:8" ht="30" customHeight="1" x14ac:dyDescent="0.25">
      <c r="A252" s="1"/>
      <c r="B252" s="63" t="s">
        <v>653</v>
      </c>
      <c r="C252" s="75"/>
      <c r="D252" s="59">
        <f t="shared" si="17"/>
        <v>0</v>
      </c>
      <c r="E252" s="59">
        <v>5000</v>
      </c>
      <c r="F252" s="59"/>
      <c r="G252" s="59"/>
      <c r="H252" s="71">
        <f>'4.pielikums'!B368</f>
        <v>5000</v>
      </c>
    </row>
    <row r="253" spans="1:8" ht="24.75" customHeight="1" x14ac:dyDescent="0.25">
      <c r="A253" s="1"/>
      <c r="B253" s="63" t="s">
        <v>654</v>
      </c>
      <c r="C253" s="75"/>
      <c r="D253" s="59">
        <f t="shared" si="17"/>
        <v>0</v>
      </c>
      <c r="E253" s="59">
        <v>1000</v>
      </c>
      <c r="F253" s="59"/>
      <c r="G253" s="59"/>
      <c r="H253" s="71">
        <f>'4.pielikums'!B371</f>
        <v>1000</v>
      </c>
    </row>
    <row r="254" spans="1:8" ht="30" customHeight="1" x14ac:dyDescent="0.25">
      <c r="A254" s="1"/>
      <c r="B254" s="63" t="s">
        <v>656</v>
      </c>
      <c r="C254" s="75"/>
      <c r="D254" s="59">
        <f t="shared" si="17"/>
        <v>0</v>
      </c>
      <c r="E254" s="59">
        <v>600</v>
      </c>
      <c r="F254" s="59"/>
      <c r="G254" s="59"/>
      <c r="H254" s="71">
        <f>'4.pielikums'!B370</f>
        <v>600</v>
      </c>
    </row>
    <row r="255" spans="1:8" ht="52.5" customHeight="1" x14ac:dyDescent="0.25">
      <c r="A255" s="1"/>
      <c r="B255" s="63" t="s">
        <v>655</v>
      </c>
      <c r="C255" s="75"/>
      <c r="D255" s="59">
        <f t="shared" si="17"/>
        <v>0</v>
      </c>
      <c r="E255" s="59">
        <v>1550</v>
      </c>
      <c r="F255" s="59"/>
      <c r="G255" s="59"/>
      <c r="H255" s="71">
        <f>'4.pielikums'!B369</f>
        <v>1550</v>
      </c>
    </row>
    <row r="256" spans="1:8" ht="45" customHeight="1" x14ac:dyDescent="0.25">
      <c r="A256" s="1"/>
      <c r="B256" s="63" t="s">
        <v>303</v>
      </c>
      <c r="C256" s="75"/>
      <c r="D256" s="59">
        <f t="shared" si="17"/>
        <v>43230</v>
      </c>
      <c r="E256" s="59"/>
      <c r="F256" s="59"/>
      <c r="G256" s="59"/>
      <c r="H256" s="71">
        <f>'4.pielikums'!B356</f>
        <v>43230</v>
      </c>
    </row>
    <row r="257" spans="1:8" ht="45" customHeight="1" x14ac:dyDescent="0.25">
      <c r="A257" s="73"/>
      <c r="B257" s="76" t="s">
        <v>611</v>
      </c>
      <c r="C257" s="75"/>
      <c r="D257" s="59">
        <f t="shared" si="17"/>
        <v>4709</v>
      </c>
      <c r="E257" s="59"/>
      <c r="F257" s="59"/>
      <c r="G257" s="59"/>
      <c r="H257" s="71">
        <f>'4.pielikums'!B246</f>
        <v>4709</v>
      </c>
    </row>
    <row r="258" spans="1:8" ht="30" customHeight="1" x14ac:dyDescent="0.25">
      <c r="A258" s="73"/>
      <c r="B258" s="76" t="s">
        <v>628</v>
      </c>
      <c r="C258" s="75"/>
      <c r="D258" s="59">
        <f t="shared" si="17"/>
        <v>0</v>
      </c>
      <c r="E258" s="59"/>
      <c r="F258" s="59">
        <v>800</v>
      </c>
      <c r="G258" s="59"/>
      <c r="H258" s="71">
        <f>'4.pielikums'!B358</f>
        <v>800</v>
      </c>
    </row>
    <row r="259" spans="1:8" ht="47.1" customHeight="1" x14ac:dyDescent="0.25">
      <c r="A259" s="1"/>
      <c r="B259" s="63" t="s">
        <v>612</v>
      </c>
      <c r="C259" s="75"/>
      <c r="D259" s="59">
        <f t="shared" si="17"/>
        <v>0</v>
      </c>
      <c r="E259" s="59"/>
      <c r="F259" s="59">
        <v>14000</v>
      </c>
      <c r="G259" s="59"/>
      <c r="H259" s="71">
        <f>'4.pielikums'!B357</f>
        <v>14000</v>
      </c>
    </row>
    <row r="260" spans="1:8" ht="15" customHeight="1" x14ac:dyDescent="0.25">
      <c r="A260" s="1" t="s">
        <v>304</v>
      </c>
      <c r="B260" s="54" t="s">
        <v>305</v>
      </c>
      <c r="C260" s="55">
        <f t="shared" ref="C260:G260" si="22">C261+C269+C280+C288+C296+C298</f>
        <v>151400</v>
      </c>
      <c r="D260" s="55">
        <f t="shared" si="22"/>
        <v>7834175</v>
      </c>
      <c r="E260" s="55">
        <f t="shared" si="22"/>
        <v>374804</v>
      </c>
      <c r="F260" s="55">
        <f t="shared" si="22"/>
        <v>7062130</v>
      </c>
      <c r="G260" s="55">
        <f t="shared" si="22"/>
        <v>923934</v>
      </c>
      <c r="H260" s="71">
        <f>H261+H269+H280+H288+H296+H298</f>
        <v>16346443</v>
      </c>
    </row>
    <row r="261" spans="1:8" ht="15" customHeight="1" x14ac:dyDescent="0.25">
      <c r="A261" s="1"/>
      <c r="B261" s="54" t="s">
        <v>306</v>
      </c>
      <c r="C261" s="55">
        <f t="shared" ref="C261:H261" si="23">SUM(C262:C267)</f>
        <v>0</v>
      </c>
      <c r="D261" s="55">
        <f t="shared" si="23"/>
        <v>1596473</v>
      </c>
      <c r="E261" s="55">
        <f t="shared" si="23"/>
        <v>99926</v>
      </c>
      <c r="F261" s="55">
        <f t="shared" si="23"/>
        <v>441763</v>
      </c>
      <c r="G261" s="55">
        <f t="shared" si="23"/>
        <v>0</v>
      </c>
      <c r="H261" s="71">
        <f t="shared" si="23"/>
        <v>2138162</v>
      </c>
    </row>
    <row r="262" spans="1:8" ht="15" customHeight="1" x14ac:dyDescent="0.25">
      <c r="A262" s="73"/>
      <c r="B262" s="58" t="s">
        <v>37</v>
      </c>
      <c r="C262" s="74"/>
      <c r="D262" s="59">
        <f>H262-E262-G262-F262-C262</f>
        <v>551497</v>
      </c>
      <c r="E262" s="59">
        <f>39000+2200</f>
        <v>41200</v>
      </c>
      <c r="F262" s="59">
        <f>143656+6896+90240+2013</f>
        <v>242805</v>
      </c>
      <c r="G262" s="59"/>
      <c r="H262" s="71">
        <f>'4.pielikums'!B249</f>
        <v>835502</v>
      </c>
    </row>
    <row r="263" spans="1:8" ht="15" customHeight="1" x14ac:dyDescent="0.25">
      <c r="A263" s="73"/>
      <c r="B263" s="58" t="s">
        <v>38</v>
      </c>
      <c r="C263" s="74"/>
      <c r="D263" s="59">
        <f t="shared" ref="D263:D267" si="24">H263-E263-G263-F263-C263</f>
        <v>389876</v>
      </c>
      <c r="E263" s="59">
        <f>25610+4500</f>
        <v>30110</v>
      </c>
      <c r="F263" s="59">
        <f>52608+33176</f>
        <v>85784</v>
      </c>
      <c r="G263" s="59"/>
      <c r="H263" s="71">
        <f>'4.pielikums'!B251</f>
        <v>505770</v>
      </c>
    </row>
    <row r="264" spans="1:8" ht="15" customHeight="1" x14ac:dyDescent="0.25">
      <c r="A264" s="73"/>
      <c r="B264" s="58" t="s">
        <v>39</v>
      </c>
      <c r="C264" s="74"/>
      <c r="D264" s="59">
        <f t="shared" si="24"/>
        <v>84910</v>
      </c>
      <c r="E264" s="59">
        <f>1420+1900</f>
        <v>3320</v>
      </c>
      <c r="F264" s="59">
        <f>9256+5004</f>
        <v>14260</v>
      </c>
      <c r="G264" s="59"/>
      <c r="H264" s="71">
        <f>'4.pielikums'!B252</f>
        <v>102490</v>
      </c>
    </row>
    <row r="265" spans="1:8" ht="20.25" customHeight="1" x14ac:dyDescent="0.25">
      <c r="A265" s="73"/>
      <c r="B265" s="58" t="s">
        <v>40</v>
      </c>
      <c r="C265" s="74"/>
      <c r="D265" s="59">
        <f t="shared" si="24"/>
        <v>251883</v>
      </c>
      <c r="E265" s="59">
        <f>12551+1875</f>
        <v>14426</v>
      </c>
      <c r="F265" s="59">
        <f>27328+14872</f>
        <v>42200</v>
      </c>
      <c r="G265" s="59"/>
      <c r="H265" s="71">
        <f>'4.pielikums'!B253</f>
        <v>308509</v>
      </c>
    </row>
    <row r="266" spans="1:8" ht="30.75" customHeight="1" x14ac:dyDescent="0.25">
      <c r="A266" s="73"/>
      <c r="B266" s="76" t="s">
        <v>154</v>
      </c>
      <c r="C266" s="75"/>
      <c r="D266" s="59">
        <f t="shared" si="24"/>
        <v>181220</v>
      </c>
      <c r="E266" s="59">
        <f>5030+1440</f>
        <v>6470</v>
      </c>
      <c r="F266" s="59">
        <f>20904+16868</f>
        <v>37772</v>
      </c>
      <c r="G266" s="59"/>
      <c r="H266" s="71">
        <f>'4.pielikums'!B254</f>
        <v>225462</v>
      </c>
    </row>
    <row r="267" spans="1:8" ht="31.5" x14ac:dyDescent="0.25">
      <c r="A267" s="73"/>
      <c r="B267" s="76" t="s">
        <v>155</v>
      </c>
      <c r="C267" s="75"/>
      <c r="D267" s="59">
        <f t="shared" si="24"/>
        <v>137087</v>
      </c>
      <c r="E267" s="59">
        <f>3850+550</f>
        <v>4400</v>
      </c>
      <c r="F267" s="59">
        <f>8816+1716+6864+1546</f>
        <v>18942</v>
      </c>
      <c r="G267" s="59"/>
      <c r="H267" s="71">
        <f>'4.pielikums'!B255</f>
        <v>160429</v>
      </c>
    </row>
    <row r="268" spans="1:8" ht="15" customHeight="1" x14ac:dyDescent="0.25">
      <c r="A268" s="1"/>
      <c r="B268" s="86" t="s">
        <v>307</v>
      </c>
      <c r="C268" s="70"/>
      <c r="D268" s="59"/>
      <c r="E268" s="59"/>
      <c r="F268" s="59"/>
      <c r="G268" s="59"/>
      <c r="H268" s="71"/>
    </row>
    <row r="269" spans="1:8" ht="15" customHeight="1" x14ac:dyDescent="0.25">
      <c r="A269" s="1"/>
      <c r="B269" s="54" t="s">
        <v>308</v>
      </c>
      <c r="C269" s="55">
        <f t="shared" ref="C269:H269" si="25">SUM(C270:C279)</f>
        <v>0</v>
      </c>
      <c r="D269" s="55">
        <f t="shared" si="25"/>
        <v>1976030</v>
      </c>
      <c r="E269" s="55">
        <f t="shared" si="25"/>
        <v>60950</v>
      </c>
      <c r="F269" s="55">
        <f t="shared" si="25"/>
        <v>2439993</v>
      </c>
      <c r="G269" s="55">
        <f t="shared" si="25"/>
        <v>0</v>
      </c>
      <c r="H269" s="71">
        <f t="shared" si="25"/>
        <v>4476973</v>
      </c>
    </row>
    <row r="270" spans="1:8" ht="15" customHeight="1" x14ac:dyDescent="0.25">
      <c r="A270" s="73"/>
      <c r="B270" s="58" t="s">
        <v>78</v>
      </c>
      <c r="C270" s="74"/>
      <c r="D270" s="59">
        <f t="shared" ref="D270:D340" si="26">H270-E270-G270-F270-C270</f>
        <v>364973</v>
      </c>
      <c r="E270" s="59">
        <f>1332+6047</f>
        <v>7379</v>
      </c>
      <c r="F270" s="59">
        <f>547688+12888+53949+293520+7756+11477</f>
        <v>927278</v>
      </c>
      <c r="G270" s="59"/>
      <c r="H270" s="71">
        <f>'4.pielikums'!B257</f>
        <v>1299630</v>
      </c>
    </row>
    <row r="271" spans="1:8" ht="17.25" customHeight="1" x14ac:dyDescent="0.25">
      <c r="A271" s="73"/>
      <c r="B271" s="58" t="s">
        <v>162</v>
      </c>
      <c r="C271" s="74"/>
      <c r="D271" s="59">
        <f t="shared" si="26"/>
        <v>323915</v>
      </c>
      <c r="E271" s="59">
        <f>43+9100+2125+1600</f>
        <v>12868</v>
      </c>
      <c r="F271" s="59">
        <f>156107+253</f>
        <v>156360</v>
      </c>
      <c r="G271" s="59"/>
      <c r="H271" s="71">
        <f>'4.pielikums'!B258</f>
        <v>493143</v>
      </c>
    </row>
    <row r="272" spans="1:8" ht="29.25" customHeight="1" x14ac:dyDescent="0.25">
      <c r="A272" s="73"/>
      <c r="B272" s="61" t="s">
        <v>309</v>
      </c>
      <c r="C272" s="75"/>
      <c r="D272" s="59">
        <f t="shared" si="26"/>
        <v>40424</v>
      </c>
      <c r="E272" s="59">
        <f>2296+80+500</f>
        <v>2876</v>
      </c>
      <c r="F272" s="59"/>
      <c r="G272" s="59"/>
      <c r="H272" s="71">
        <f>'4.pielikums'!B260</f>
        <v>43300</v>
      </c>
    </row>
    <row r="273" spans="1:8" ht="15" customHeight="1" x14ac:dyDescent="0.25">
      <c r="A273" s="73"/>
      <c r="B273" s="58" t="s">
        <v>156</v>
      </c>
      <c r="C273" s="74"/>
      <c r="D273" s="59">
        <f t="shared" si="26"/>
        <v>199820</v>
      </c>
      <c r="E273" s="59">
        <f>4880+1175+1000</f>
        <v>7055</v>
      </c>
      <c r="F273" s="59">
        <f>195936+2712+10280+5019+55171+95984+968+4432+253</f>
        <v>370755</v>
      </c>
      <c r="G273" s="59"/>
      <c r="H273" s="71">
        <f>'4.pielikums'!B261</f>
        <v>577630</v>
      </c>
    </row>
    <row r="274" spans="1:8" ht="15" customHeight="1" x14ac:dyDescent="0.25">
      <c r="A274" s="73"/>
      <c r="B274" s="58" t="s">
        <v>41</v>
      </c>
      <c r="C274" s="74"/>
      <c r="D274" s="59">
        <f>H274-E274-G274-F274-C274</f>
        <v>177828</v>
      </c>
      <c r="E274" s="59">
        <f>2574</f>
        <v>2574</v>
      </c>
      <c r="F274" s="59">
        <f>155368+3728+5189+84552+1940+437</f>
        <v>251214</v>
      </c>
      <c r="G274" s="59"/>
      <c r="H274" s="71">
        <f>'4.pielikums'!B262</f>
        <v>431616</v>
      </c>
    </row>
    <row r="275" spans="1:8" ht="15" customHeight="1" x14ac:dyDescent="0.25">
      <c r="A275" s="73"/>
      <c r="B275" s="58" t="s">
        <v>223</v>
      </c>
      <c r="C275" s="74"/>
      <c r="D275" s="59">
        <f t="shared" si="26"/>
        <v>280605</v>
      </c>
      <c r="E275" s="59">
        <f>3000+1500+1688+6300</f>
        <v>12488</v>
      </c>
      <c r="F275" s="59">
        <f>293784+6104+10054+27585+5000+134404+4460+7436+1088</f>
        <v>489915</v>
      </c>
      <c r="G275" s="59"/>
      <c r="H275" s="71">
        <f>'4.pielikums'!B263</f>
        <v>783008</v>
      </c>
    </row>
    <row r="276" spans="1:8" ht="33.75" customHeight="1" x14ac:dyDescent="0.25">
      <c r="A276" s="73"/>
      <c r="B276" s="61" t="s">
        <v>598</v>
      </c>
      <c r="C276" s="75"/>
      <c r="D276" s="59">
        <f t="shared" si="26"/>
        <v>127025</v>
      </c>
      <c r="E276" s="59">
        <f>6500+1456</f>
        <v>7956</v>
      </c>
      <c r="F276" s="59">
        <f>14016</f>
        <v>14016</v>
      </c>
      <c r="G276" s="59"/>
      <c r="H276" s="71">
        <f>'4.pielikums'!B264</f>
        <v>148997</v>
      </c>
    </row>
    <row r="277" spans="1:8" ht="33" customHeight="1" x14ac:dyDescent="0.25">
      <c r="A277" s="73"/>
      <c r="B277" s="61" t="s">
        <v>224</v>
      </c>
      <c r="C277" s="75"/>
      <c r="D277" s="59">
        <f t="shared" si="26"/>
        <v>69764</v>
      </c>
      <c r="E277" s="59">
        <f>2819+500</f>
        <v>3319</v>
      </c>
      <c r="F277" s="59">
        <f>7512</f>
        <v>7512</v>
      </c>
      <c r="G277" s="59"/>
      <c r="H277" s="71">
        <f>'4.pielikums'!B265</f>
        <v>80595</v>
      </c>
    </row>
    <row r="278" spans="1:8" ht="15" customHeight="1" x14ac:dyDescent="0.25">
      <c r="A278" s="73"/>
      <c r="B278" s="76" t="s">
        <v>152</v>
      </c>
      <c r="C278" s="75"/>
      <c r="D278" s="59">
        <f t="shared" si="26"/>
        <v>266437</v>
      </c>
      <c r="E278" s="59">
        <f>675+2500</f>
        <v>3175</v>
      </c>
      <c r="F278" s="59">
        <f>126288+5424+7368+3312+70112+2132+2288+636+1983</f>
        <v>219543</v>
      </c>
      <c r="G278" s="59"/>
      <c r="H278" s="71">
        <f>'4.pielikums'!B266</f>
        <v>489155</v>
      </c>
    </row>
    <row r="279" spans="1:8" ht="15" customHeight="1" x14ac:dyDescent="0.25">
      <c r="A279" s="1"/>
      <c r="B279" s="58" t="s">
        <v>250</v>
      </c>
      <c r="C279" s="74"/>
      <c r="D279" s="59">
        <f t="shared" si="26"/>
        <v>125239</v>
      </c>
      <c r="E279" s="59">
        <f>1150+110</f>
        <v>1260</v>
      </c>
      <c r="F279" s="59">
        <v>3400</v>
      </c>
      <c r="G279" s="59"/>
      <c r="H279" s="71">
        <f>'4.pielikums'!B268</f>
        <v>129899</v>
      </c>
    </row>
    <row r="280" spans="1:8" ht="15" customHeight="1" x14ac:dyDescent="0.25">
      <c r="A280" s="73"/>
      <c r="B280" s="54" t="s">
        <v>310</v>
      </c>
      <c r="C280" s="55">
        <f t="shared" ref="C280:H280" si="27">SUM(C281:C287)</f>
        <v>0</v>
      </c>
      <c r="D280" s="55">
        <f t="shared" si="27"/>
        <v>2285575</v>
      </c>
      <c r="E280" s="55">
        <f t="shared" si="27"/>
        <v>93135</v>
      </c>
      <c r="F280" s="55">
        <f t="shared" si="27"/>
        <v>2615236</v>
      </c>
      <c r="G280" s="55">
        <f t="shared" si="27"/>
        <v>0</v>
      </c>
      <c r="H280" s="71">
        <f t="shared" si="27"/>
        <v>4993946</v>
      </c>
    </row>
    <row r="281" spans="1:8" ht="15" customHeight="1" x14ac:dyDescent="0.25">
      <c r="A281" s="73"/>
      <c r="B281" s="58" t="s">
        <v>42</v>
      </c>
      <c r="C281" s="74"/>
      <c r="D281" s="59">
        <f t="shared" si="26"/>
        <v>419556</v>
      </c>
      <c r="E281" s="59">
        <f>15000+3000</f>
        <v>18000</v>
      </c>
      <c r="F281" s="59">
        <f>422144+5768+224788+4656+2701</f>
        <v>660057</v>
      </c>
      <c r="G281" s="59"/>
      <c r="H281" s="71">
        <f>'4.pielikums'!B269</f>
        <v>1097613</v>
      </c>
    </row>
    <row r="282" spans="1:8" ht="18" customHeight="1" x14ac:dyDescent="0.25">
      <c r="A282" s="73"/>
      <c r="B282" s="58" t="s">
        <v>649</v>
      </c>
      <c r="C282" s="74"/>
      <c r="D282" s="59">
        <f t="shared" si="26"/>
        <v>301430</v>
      </c>
      <c r="E282" s="59">
        <f>2000+3900+307</f>
        <v>6207</v>
      </c>
      <c r="F282" s="59">
        <f>358932+253</f>
        <v>359185</v>
      </c>
      <c r="G282" s="59"/>
      <c r="H282" s="71">
        <f>'4.pielikums'!B271</f>
        <v>666822</v>
      </c>
    </row>
    <row r="283" spans="1:8" ht="30.75" customHeight="1" x14ac:dyDescent="0.25">
      <c r="A283" s="73"/>
      <c r="B283" s="61" t="s">
        <v>625</v>
      </c>
      <c r="C283" s="75"/>
      <c r="D283" s="59">
        <f t="shared" si="26"/>
        <v>415400</v>
      </c>
      <c r="E283" s="59">
        <f>13779+1417</f>
        <v>15196</v>
      </c>
      <c r="F283" s="59">
        <f>223224+152480+9152+124416+81064+4848+1247</f>
        <v>596431</v>
      </c>
      <c r="G283" s="59"/>
      <c r="H283" s="71">
        <f>'4.pielikums'!B273</f>
        <v>1027027</v>
      </c>
    </row>
    <row r="284" spans="1:8" ht="45" customHeight="1" x14ac:dyDescent="0.25">
      <c r="A284" s="73"/>
      <c r="B284" s="61" t="s">
        <v>626</v>
      </c>
      <c r="C284" s="75"/>
      <c r="D284" s="59">
        <f t="shared" si="26"/>
        <v>81842</v>
      </c>
      <c r="E284" s="59">
        <f>7000+13500</f>
        <v>20500</v>
      </c>
      <c r="F284" s="59">
        <f>13000</f>
        <v>13000</v>
      </c>
      <c r="G284" s="59"/>
      <c r="H284" s="71">
        <f>'4.pielikums'!B275</f>
        <v>115342</v>
      </c>
    </row>
    <row r="285" spans="1:8" ht="15" customHeight="1" x14ac:dyDescent="0.25">
      <c r="A285" s="73"/>
      <c r="B285" s="61" t="s">
        <v>159</v>
      </c>
      <c r="C285" s="75"/>
      <c r="D285" s="59">
        <f t="shared" si="26"/>
        <v>336899</v>
      </c>
      <c r="E285" s="59">
        <f>4066+800</f>
        <v>4866</v>
      </c>
      <c r="F285" s="59">
        <f>153136+5760+14640+7893+6896+75152+4460+12584+297</f>
        <v>280818</v>
      </c>
      <c r="G285" s="59"/>
      <c r="H285" s="71">
        <f>'4.pielikums'!B276</f>
        <v>622583</v>
      </c>
    </row>
    <row r="286" spans="1:8" ht="15" customHeight="1" x14ac:dyDescent="0.25">
      <c r="A286" s="73"/>
      <c r="B286" s="61" t="s">
        <v>151</v>
      </c>
      <c r="C286" s="75"/>
      <c r="D286" s="59">
        <f t="shared" si="26"/>
        <v>341882</v>
      </c>
      <c r="E286" s="59">
        <f>4100+2201+1560+5440</f>
        <v>13301</v>
      </c>
      <c r="F286" s="59">
        <f>300580+253+4729</f>
        <v>305562</v>
      </c>
      <c r="G286" s="59"/>
      <c r="H286" s="71">
        <f>'4.pielikums'!B277</f>
        <v>660745</v>
      </c>
    </row>
    <row r="287" spans="1:8" ht="17.25" customHeight="1" x14ac:dyDescent="0.25">
      <c r="A287" s="87"/>
      <c r="B287" s="61" t="s">
        <v>163</v>
      </c>
      <c r="C287" s="75"/>
      <c r="D287" s="59">
        <f t="shared" si="26"/>
        <v>388566</v>
      </c>
      <c r="E287" s="59">
        <f>4255+1000+1660+2250+5900</f>
        <v>15065</v>
      </c>
      <c r="F287" s="59">
        <f>226912+6800+25168+7871+108004+4072+19448+1908</f>
        <v>400183</v>
      </c>
      <c r="G287" s="59"/>
      <c r="H287" s="71">
        <f>'4.pielikums'!B279</f>
        <v>803814</v>
      </c>
    </row>
    <row r="288" spans="1:8" ht="15" customHeight="1" x14ac:dyDescent="0.25">
      <c r="A288" s="73"/>
      <c r="B288" s="86" t="s">
        <v>311</v>
      </c>
      <c r="C288" s="55">
        <f t="shared" ref="C288:H288" si="28">SUM(C289:C295)</f>
        <v>0</v>
      </c>
      <c r="D288" s="55">
        <f t="shared" si="28"/>
        <v>951767</v>
      </c>
      <c r="E288" s="55">
        <f t="shared" si="28"/>
        <v>114393</v>
      </c>
      <c r="F288" s="55">
        <f t="shared" si="28"/>
        <v>1035528</v>
      </c>
      <c r="G288" s="55">
        <f t="shared" si="28"/>
        <v>0</v>
      </c>
      <c r="H288" s="71">
        <f t="shared" si="28"/>
        <v>2101688</v>
      </c>
    </row>
    <row r="289" spans="1:8" ht="15" customHeight="1" x14ac:dyDescent="0.25">
      <c r="A289" s="73"/>
      <c r="B289" s="58" t="s">
        <v>43</v>
      </c>
      <c r="C289" s="74"/>
      <c r="D289" s="59">
        <f t="shared" si="26"/>
        <v>139699</v>
      </c>
      <c r="E289" s="59">
        <f>420+11745+800</f>
        <v>12965</v>
      </c>
      <c r="F289" s="59">
        <f>4744+261825+2908+149286</f>
        <v>418763</v>
      </c>
      <c r="G289" s="59"/>
      <c r="H289" s="71">
        <f>'4.pielikums'!B280</f>
        <v>571427</v>
      </c>
    </row>
    <row r="290" spans="1:8" ht="15" customHeight="1" x14ac:dyDescent="0.25">
      <c r="A290" s="73"/>
      <c r="B290" s="58" t="s">
        <v>44</v>
      </c>
      <c r="C290" s="74"/>
      <c r="D290" s="59">
        <f t="shared" si="26"/>
        <v>118788</v>
      </c>
      <c r="E290" s="59">
        <f>8268</f>
        <v>8268</v>
      </c>
      <c r="F290" s="59">
        <f>2032+32964+1164+18624</f>
        <v>54784</v>
      </c>
      <c r="G290" s="59"/>
      <c r="H290" s="71">
        <f>'4.pielikums'!B281</f>
        <v>181840</v>
      </c>
    </row>
    <row r="291" spans="1:8" ht="15" customHeight="1" x14ac:dyDescent="0.25">
      <c r="A291" s="73"/>
      <c r="B291" s="63" t="s">
        <v>158</v>
      </c>
      <c r="C291" s="75"/>
      <c r="D291" s="59">
        <f t="shared" si="26"/>
        <v>90182</v>
      </c>
      <c r="E291" s="59">
        <f>1600+25</f>
        <v>1625</v>
      </c>
      <c r="F291" s="59">
        <f>1352+51696+196+29207</f>
        <v>82451</v>
      </c>
      <c r="G291" s="59"/>
      <c r="H291" s="71">
        <f>'4.pielikums'!B282</f>
        <v>174258</v>
      </c>
    </row>
    <row r="292" spans="1:8" ht="15" customHeight="1" x14ac:dyDescent="0.25">
      <c r="A292" s="73"/>
      <c r="B292" s="76" t="s">
        <v>150</v>
      </c>
      <c r="C292" s="75"/>
      <c r="D292" s="59">
        <f t="shared" si="26"/>
        <v>35076</v>
      </c>
      <c r="E292" s="59">
        <f>4100+396</f>
        <v>4496</v>
      </c>
      <c r="F292" s="59">
        <f>1352+88217+776+46353</f>
        <v>136698</v>
      </c>
      <c r="G292" s="59"/>
      <c r="H292" s="71">
        <f>'4.pielikums'!B283</f>
        <v>176270</v>
      </c>
    </row>
    <row r="293" spans="1:8" ht="15" customHeight="1" x14ac:dyDescent="0.25">
      <c r="A293" s="73"/>
      <c r="B293" s="58" t="s">
        <v>45</v>
      </c>
      <c r="C293" s="74"/>
      <c r="D293" s="59">
        <f t="shared" si="26"/>
        <v>244729</v>
      </c>
      <c r="E293" s="59">
        <f>250+650+300</f>
        <v>1200</v>
      </c>
      <c r="F293" s="59">
        <f>2984+277541+3520+12335</f>
        <v>296380</v>
      </c>
      <c r="G293" s="59"/>
      <c r="H293" s="71">
        <f>'4.pielikums'!B284</f>
        <v>542309</v>
      </c>
    </row>
    <row r="294" spans="1:8" ht="15" customHeight="1" x14ac:dyDescent="0.25">
      <c r="A294" s="73"/>
      <c r="B294" s="58" t="s">
        <v>312</v>
      </c>
      <c r="C294" s="74"/>
      <c r="D294" s="59">
        <f t="shared" si="26"/>
        <v>137478</v>
      </c>
      <c r="E294" s="59">
        <f>687+82800</f>
        <v>83487</v>
      </c>
      <c r="F294" s="59"/>
      <c r="G294" s="59"/>
      <c r="H294" s="71">
        <f>'4.pielikums'!B285</f>
        <v>220965</v>
      </c>
    </row>
    <row r="295" spans="1:8" ht="15" customHeight="1" x14ac:dyDescent="0.25">
      <c r="A295" s="1"/>
      <c r="B295" s="58" t="s">
        <v>313</v>
      </c>
      <c r="C295" s="74"/>
      <c r="D295" s="59">
        <f t="shared" si="26"/>
        <v>185815</v>
      </c>
      <c r="E295" s="59">
        <f>1800+552</f>
        <v>2352</v>
      </c>
      <c r="F295" s="59">
        <f>30496+15956</f>
        <v>46452</v>
      </c>
      <c r="G295" s="59"/>
      <c r="H295" s="71">
        <f>'4.pielikums'!B286</f>
        <v>234619</v>
      </c>
    </row>
    <row r="296" spans="1:8" ht="15" customHeight="1" x14ac:dyDescent="0.25">
      <c r="A296" s="82"/>
      <c r="B296" s="86" t="s">
        <v>314</v>
      </c>
      <c r="C296" s="55">
        <f t="shared" ref="C296:H296" si="29">C297</f>
        <v>0</v>
      </c>
      <c r="D296" s="55">
        <f t="shared" si="29"/>
        <v>271060</v>
      </c>
      <c r="E296" s="55">
        <f t="shared" si="29"/>
        <v>0</v>
      </c>
      <c r="F296" s="55">
        <f t="shared" si="29"/>
        <v>0</v>
      </c>
      <c r="G296" s="55">
        <f t="shared" si="29"/>
        <v>0</v>
      </c>
      <c r="H296" s="71">
        <f t="shared" si="29"/>
        <v>271060</v>
      </c>
    </row>
    <row r="297" spans="1:8" ht="20.25" customHeight="1" x14ac:dyDescent="0.25">
      <c r="A297" s="85"/>
      <c r="B297" s="63" t="s">
        <v>157</v>
      </c>
      <c r="C297" s="75"/>
      <c r="D297" s="59">
        <f t="shared" si="26"/>
        <v>271060</v>
      </c>
      <c r="E297" s="59"/>
      <c r="F297" s="59"/>
      <c r="G297" s="59"/>
      <c r="H297" s="71">
        <f>'4.pielikums'!B287</f>
        <v>271060</v>
      </c>
    </row>
    <row r="298" spans="1:8" ht="15" customHeight="1" x14ac:dyDescent="0.25">
      <c r="A298" s="58"/>
      <c r="B298" s="86" t="s">
        <v>315</v>
      </c>
      <c r="C298" s="55">
        <f t="shared" ref="C298:G298" si="30">SUM(C299:C335)</f>
        <v>151400</v>
      </c>
      <c r="D298" s="55">
        <f t="shared" si="30"/>
        <v>753270</v>
      </c>
      <c r="E298" s="55">
        <f t="shared" si="30"/>
        <v>6400</v>
      </c>
      <c r="F298" s="55">
        <f t="shared" si="30"/>
        <v>529610</v>
      </c>
      <c r="G298" s="55">
        <f t="shared" si="30"/>
        <v>923934</v>
      </c>
      <c r="H298" s="71">
        <f>SUM(H299:H335)</f>
        <v>2364614</v>
      </c>
    </row>
    <row r="299" spans="1:8" ht="15" customHeight="1" x14ac:dyDescent="0.25">
      <c r="A299" s="73"/>
      <c r="B299" s="61" t="s">
        <v>166</v>
      </c>
      <c r="C299" s="75"/>
      <c r="D299" s="59">
        <f t="shared" si="26"/>
        <v>57449</v>
      </c>
      <c r="E299" s="59">
        <f>5000</f>
        <v>5000</v>
      </c>
      <c r="F299" s="59"/>
      <c r="G299" s="59"/>
      <c r="H299" s="71">
        <f>'4.pielikums'!B288</f>
        <v>62449</v>
      </c>
    </row>
    <row r="300" spans="1:8" ht="15" customHeight="1" x14ac:dyDescent="0.25">
      <c r="A300" s="73"/>
      <c r="B300" s="58" t="s">
        <v>293</v>
      </c>
      <c r="C300" s="74"/>
      <c r="D300" s="59">
        <f t="shared" si="26"/>
        <v>12286</v>
      </c>
      <c r="E300" s="59"/>
      <c r="F300" s="59"/>
      <c r="G300" s="59"/>
      <c r="H300" s="71">
        <f>'4.pielikums'!B206</f>
        <v>12286</v>
      </c>
    </row>
    <row r="301" spans="1:8" ht="15" customHeight="1" x14ac:dyDescent="0.25">
      <c r="A301" s="73"/>
      <c r="B301" s="76" t="s">
        <v>62</v>
      </c>
      <c r="C301" s="75"/>
      <c r="D301" s="59">
        <f t="shared" si="26"/>
        <v>928</v>
      </c>
      <c r="E301" s="59"/>
      <c r="F301" s="59">
        <f>11861+12789</f>
        <v>24650</v>
      </c>
      <c r="G301" s="59"/>
      <c r="H301" s="71">
        <f>'4.pielikums'!B289</f>
        <v>25578</v>
      </c>
    </row>
    <row r="302" spans="1:8" ht="19.5" customHeight="1" x14ac:dyDescent="0.25">
      <c r="A302" s="73"/>
      <c r="B302" s="80" t="s">
        <v>200</v>
      </c>
      <c r="C302" s="75"/>
      <c r="D302" s="59">
        <f t="shared" si="26"/>
        <v>23294</v>
      </c>
      <c r="E302" s="59"/>
      <c r="F302" s="59"/>
      <c r="G302" s="59"/>
      <c r="H302" s="71">
        <f>'4.pielikums'!B290</f>
        <v>23294</v>
      </c>
    </row>
    <row r="303" spans="1:8" ht="15" customHeight="1" x14ac:dyDescent="0.25">
      <c r="A303" s="58"/>
      <c r="B303" s="88" t="s">
        <v>185</v>
      </c>
      <c r="C303" s="75"/>
      <c r="D303" s="59">
        <f t="shared" si="26"/>
        <v>20596</v>
      </c>
      <c r="E303" s="59"/>
      <c r="F303" s="59"/>
      <c r="G303" s="59"/>
      <c r="H303" s="71">
        <f>'4.pielikums'!B291</f>
        <v>20596</v>
      </c>
    </row>
    <row r="304" spans="1:8" ht="15" customHeight="1" x14ac:dyDescent="0.25">
      <c r="A304" s="58"/>
      <c r="B304" s="88" t="s">
        <v>186</v>
      </c>
      <c r="C304" s="75"/>
      <c r="D304" s="59">
        <f t="shared" si="26"/>
        <v>24098</v>
      </c>
      <c r="E304" s="59"/>
      <c r="F304" s="59"/>
      <c r="G304" s="59"/>
      <c r="H304" s="71">
        <f>'4.pielikums'!B292</f>
        <v>24098</v>
      </c>
    </row>
    <row r="305" spans="1:8" ht="15" customHeight="1" x14ac:dyDescent="0.25">
      <c r="A305" s="58"/>
      <c r="B305" s="88" t="s">
        <v>182</v>
      </c>
      <c r="C305" s="75"/>
      <c r="D305" s="59">
        <f t="shared" si="26"/>
        <v>23863</v>
      </c>
      <c r="E305" s="59"/>
      <c r="F305" s="59"/>
      <c r="G305" s="59"/>
      <c r="H305" s="71">
        <f>'4.pielikums'!B293</f>
        <v>23863</v>
      </c>
    </row>
    <row r="306" spans="1:8" ht="15" customHeight="1" x14ac:dyDescent="0.25">
      <c r="A306" s="58"/>
      <c r="B306" s="88" t="s">
        <v>203</v>
      </c>
      <c r="C306" s="75"/>
      <c r="D306" s="59">
        <f t="shared" si="26"/>
        <v>22060</v>
      </c>
      <c r="E306" s="59"/>
      <c r="F306" s="59"/>
      <c r="G306" s="59"/>
      <c r="H306" s="71">
        <f>'4.pielikums'!B294</f>
        <v>22060</v>
      </c>
    </row>
    <row r="307" spans="1:8" ht="15" customHeight="1" x14ac:dyDescent="0.25">
      <c r="A307" s="58"/>
      <c r="B307" s="88" t="s">
        <v>184</v>
      </c>
      <c r="C307" s="75"/>
      <c r="D307" s="59">
        <f t="shared" si="26"/>
        <v>21883</v>
      </c>
      <c r="E307" s="59"/>
      <c r="F307" s="59"/>
      <c r="G307" s="59"/>
      <c r="H307" s="71">
        <f>'4.pielikums'!B295</f>
        <v>21883</v>
      </c>
    </row>
    <row r="308" spans="1:8" ht="15" customHeight="1" x14ac:dyDescent="0.25">
      <c r="A308" s="58"/>
      <c r="B308" s="89" t="s">
        <v>192</v>
      </c>
      <c r="C308" s="75"/>
      <c r="D308" s="59">
        <f t="shared" si="26"/>
        <v>92220</v>
      </c>
      <c r="E308" s="59"/>
      <c r="F308" s="59"/>
      <c r="G308" s="59"/>
      <c r="H308" s="71">
        <f>'4.pielikums'!B296</f>
        <v>92220</v>
      </c>
    </row>
    <row r="309" spans="1:8" ht="15" customHeight="1" x14ac:dyDescent="0.25">
      <c r="A309" s="58"/>
      <c r="B309" s="88" t="s">
        <v>592</v>
      </c>
      <c r="C309" s="75"/>
      <c r="D309" s="59">
        <f t="shared" si="26"/>
        <v>31814</v>
      </c>
      <c r="E309" s="59">
        <v>200</v>
      </c>
      <c r="F309" s="59"/>
      <c r="G309" s="59"/>
      <c r="H309" s="71">
        <f>'4.pielikums'!B297</f>
        <v>32014</v>
      </c>
    </row>
    <row r="310" spans="1:8" ht="15" customHeight="1" x14ac:dyDescent="0.25">
      <c r="A310" s="58"/>
      <c r="B310" s="88" t="s">
        <v>149</v>
      </c>
      <c r="C310" s="75"/>
      <c r="D310" s="59">
        <f t="shared" si="26"/>
        <v>27161</v>
      </c>
      <c r="E310" s="59">
        <v>900</v>
      </c>
      <c r="F310" s="59"/>
      <c r="G310" s="59"/>
      <c r="H310" s="71">
        <f>'4.pielikums'!B298</f>
        <v>28061</v>
      </c>
    </row>
    <row r="311" spans="1:8" ht="15" customHeight="1" x14ac:dyDescent="0.25">
      <c r="A311" s="58"/>
      <c r="B311" s="88" t="s">
        <v>205</v>
      </c>
      <c r="C311" s="75"/>
      <c r="D311" s="59">
        <f t="shared" si="26"/>
        <v>35185</v>
      </c>
      <c r="E311" s="59"/>
      <c r="F311" s="59"/>
      <c r="G311" s="59"/>
      <c r="H311" s="71">
        <f>'4.pielikums'!B299</f>
        <v>35185</v>
      </c>
    </row>
    <row r="312" spans="1:8" ht="15" customHeight="1" x14ac:dyDescent="0.25">
      <c r="A312" s="58"/>
      <c r="B312" s="88" t="s">
        <v>199</v>
      </c>
      <c r="C312" s="75"/>
      <c r="D312" s="59">
        <f t="shared" si="26"/>
        <v>21535</v>
      </c>
      <c r="E312" s="59"/>
      <c r="F312" s="59"/>
      <c r="G312" s="59"/>
      <c r="H312" s="71">
        <f>'4.pielikums'!B300</f>
        <v>21535</v>
      </c>
    </row>
    <row r="313" spans="1:8" ht="15" customHeight="1" x14ac:dyDescent="0.25">
      <c r="A313" s="58"/>
      <c r="B313" s="88" t="s">
        <v>201</v>
      </c>
      <c r="C313" s="75"/>
      <c r="D313" s="59">
        <f t="shared" si="26"/>
        <v>23282</v>
      </c>
      <c r="E313" s="59">
        <v>300</v>
      </c>
      <c r="F313" s="59"/>
      <c r="G313" s="59"/>
      <c r="H313" s="71">
        <f>'4.pielikums'!B301</f>
        <v>23582</v>
      </c>
    </row>
    <row r="314" spans="1:8" ht="15" customHeight="1" x14ac:dyDescent="0.25">
      <c r="A314" s="58"/>
      <c r="B314" s="88" t="s">
        <v>191</v>
      </c>
      <c r="C314" s="75"/>
      <c r="D314" s="59">
        <f t="shared" si="26"/>
        <v>40624.000000000015</v>
      </c>
      <c r="E314" s="59"/>
      <c r="F314" s="59"/>
      <c r="G314" s="59">
        <f>141328/1.1</f>
        <v>128479.99999999999</v>
      </c>
      <c r="H314" s="71">
        <f>'4.pielikums'!B303</f>
        <v>169104</v>
      </c>
    </row>
    <row r="315" spans="1:8" ht="30" customHeight="1" x14ac:dyDescent="0.25">
      <c r="A315" s="58"/>
      <c r="B315" s="61" t="s">
        <v>46</v>
      </c>
      <c r="C315" s="75"/>
      <c r="D315" s="59">
        <f t="shared" si="26"/>
        <v>8000</v>
      </c>
      <c r="E315" s="59"/>
      <c r="F315" s="59"/>
      <c r="G315" s="59"/>
      <c r="H315" s="71">
        <f>'4.pielikums'!B304</f>
        <v>8000</v>
      </c>
    </row>
    <row r="316" spans="1:8" ht="30" customHeight="1" x14ac:dyDescent="0.25">
      <c r="A316" s="58"/>
      <c r="B316" s="63" t="s">
        <v>76</v>
      </c>
      <c r="C316" s="75"/>
      <c r="D316" s="59">
        <f>H316-E316-G316-F316-C316</f>
        <v>151350</v>
      </c>
      <c r="E316" s="59"/>
      <c r="F316" s="59"/>
      <c r="G316" s="59"/>
      <c r="H316" s="71">
        <f>'4.pielikums'!B305</f>
        <v>151350</v>
      </c>
    </row>
    <row r="317" spans="1:8" ht="30" customHeight="1" x14ac:dyDescent="0.25">
      <c r="A317" s="82"/>
      <c r="B317" s="63" t="s">
        <v>59</v>
      </c>
      <c r="C317" s="75">
        <v>4999</v>
      </c>
      <c r="D317" s="59">
        <f t="shared" si="26"/>
        <v>0</v>
      </c>
      <c r="E317" s="59"/>
      <c r="F317" s="59"/>
      <c r="G317" s="59"/>
      <c r="H317" s="71">
        <f>'4.pielikums'!B306</f>
        <v>4999</v>
      </c>
    </row>
    <row r="318" spans="1:8" ht="30" customHeight="1" x14ac:dyDescent="0.25">
      <c r="A318" s="82"/>
      <c r="B318" s="63" t="s">
        <v>217</v>
      </c>
      <c r="C318" s="75">
        <v>58699</v>
      </c>
      <c r="D318" s="59">
        <f t="shared" si="26"/>
        <v>0</v>
      </c>
      <c r="E318" s="59"/>
      <c r="F318" s="59">
        <v>2760</v>
      </c>
      <c r="G318" s="59"/>
      <c r="H318" s="71">
        <f>'4.pielikums'!B307</f>
        <v>61459</v>
      </c>
    </row>
    <row r="319" spans="1:8" ht="15" customHeight="1" x14ac:dyDescent="0.25">
      <c r="A319" s="82"/>
      <c r="B319" s="76" t="s">
        <v>153</v>
      </c>
      <c r="C319" s="75">
        <v>56655</v>
      </c>
      <c r="D319" s="59">
        <f t="shared" si="26"/>
        <v>0</v>
      </c>
      <c r="E319" s="59"/>
      <c r="F319" s="59">
        <v>20000</v>
      </c>
      <c r="G319" s="59"/>
      <c r="H319" s="71">
        <f>'4.pielikums'!B308</f>
        <v>76655</v>
      </c>
    </row>
    <row r="320" spans="1:8" ht="30" customHeight="1" x14ac:dyDescent="0.25">
      <c r="A320" s="82"/>
      <c r="B320" s="76" t="s">
        <v>239</v>
      </c>
      <c r="C320" s="75">
        <v>2150</v>
      </c>
      <c r="D320" s="59">
        <f t="shared" si="26"/>
        <v>0</v>
      </c>
      <c r="E320" s="59"/>
      <c r="F320" s="59"/>
      <c r="G320" s="59"/>
      <c r="H320" s="71">
        <f>'4.pielikums'!B309</f>
        <v>2150</v>
      </c>
    </row>
    <row r="321" spans="1:8" ht="33" customHeight="1" x14ac:dyDescent="0.25">
      <c r="A321" s="82"/>
      <c r="B321" s="76" t="s">
        <v>599</v>
      </c>
      <c r="C321" s="75">
        <v>2585</v>
      </c>
      <c r="D321" s="59">
        <f t="shared" si="26"/>
        <v>1830</v>
      </c>
      <c r="E321" s="59"/>
      <c r="F321" s="59"/>
      <c r="G321" s="59"/>
      <c r="H321" s="71">
        <f>'4.pielikums'!B310</f>
        <v>4415</v>
      </c>
    </row>
    <row r="322" spans="1:8" ht="62.1" customHeight="1" x14ac:dyDescent="0.25">
      <c r="A322" s="82"/>
      <c r="B322" s="76" t="s">
        <v>600</v>
      </c>
      <c r="C322" s="75">
        <v>2326</v>
      </c>
      <c r="D322" s="59">
        <f t="shared" si="26"/>
        <v>5785</v>
      </c>
      <c r="E322" s="59"/>
      <c r="F322" s="59"/>
      <c r="G322" s="59"/>
      <c r="H322" s="71">
        <f>'4.pielikums'!B311</f>
        <v>8111</v>
      </c>
    </row>
    <row r="323" spans="1:8" ht="45" customHeight="1" x14ac:dyDescent="0.25">
      <c r="A323" s="82"/>
      <c r="B323" s="76" t="s">
        <v>601</v>
      </c>
      <c r="C323" s="75">
        <v>4370</v>
      </c>
      <c r="D323" s="59">
        <f t="shared" si="26"/>
        <v>0</v>
      </c>
      <c r="E323" s="59"/>
      <c r="F323" s="59"/>
      <c r="G323" s="59"/>
      <c r="H323" s="71">
        <f>'4.pielikums'!B312</f>
        <v>4370</v>
      </c>
    </row>
    <row r="324" spans="1:8" ht="30" customHeight="1" x14ac:dyDescent="0.25">
      <c r="A324" s="82"/>
      <c r="B324" s="76" t="s">
        <v>251</v>
      </c>
      <c r="C324" s="75">
        <v>388</v>
      </c>
      <c r="D324" s="59">
        <f t="shared" si="26"/>
        <v>6235</v>
      </c>
      <c r="E324" s="59"/>
      <c r="F324" s="59">
        <v>8966</v>
      </c>
      <c r="G324" s="59"/>
      <c r="H324" s="71">
        <f>'4.pielikums'!B313</f>
        <v>15589</v>
      </c>
    </row>
    <row r="325" spans="1:8" ht="31.5" customHeight="1" x14ac:dyDescent="0.25">
      <c r="A325" s="82"/>
      <c r="B325" s="76" t="s">
        <v>238</v>
      </c>
      <c r="C325" s="75">
        <v>16490</v>
      </c>
      <c r="D325" s="59">
        <f t="shared" si="26"/>
        <v>1303</v>
      </c>
      <c r="E325" s="59"/>
      <c r="F325" s="59"/>
      <c r="G325" s="59"/>
      <c r="H325" s="71">
        <f>'4.pielikums'!B314</f>
        <v>17793</v>
      </c>
    </row>
    <row r="326" spans="1:8" ht="45" customHeight="1" x14ac:dyDescent="0.25">
      <c r="A326" s="82"/>
      <c r="B326" s="81" t="s">
        <v>560</v>
      </c>
      <c r="C326" s="75"/>
      <c r="D326" s="59">
        <f t="shared" si="26"/>
        <v>6975</v>
      </c>
      <c r="E326" s="59"/>
      <c r="F326" s="59">
        <v>26521</v>
      </c>
      <c r="G326" s="59"/>
      <c r="H326" s="71">
        <f>'4.pielikums'!B315</f>
        <v>33496</v>
      </c>
    </row>
    <row r="327" spans="1:8" ht="30" customHeight="1" x14ac:dyDescent="0.25">
      <c r="A327" s="82"/>
      <c r="B327" s="81" t="s">
        <v>252</v>
      </c>
      <c r="C327" s="75">
        <v>2738</v>
      </c>
      <c r="D327" s="59">
        <f t="shared" si="26"/>
        <v>0</v>
      </c>
      <c r="E327" s="59"/>
      <c r="F327" s="59">
        <v>8712</v>
      </c>
      <c r="G327" s="59"/>
      <c r="H327" s="71">
        <f>'4.pielikums'!B316</f>
        <v>11450</v>
      </c>
    </row>
    <row r="328" spans="1:8" ht="30" customHeight="1" x14ac:dyDescent="0.25">
      <c r="A328" s="82"/>
      <c r="B328" s="81" t="s">
        <v>634</v>
      </c>
      <c r="C328" s="75"/>
      <c r="D328" s="59">
        <f t="shared" si="26"/>
        <v>0</v>
      </c>
      <c r="E328" s="59"/>
      <c r="F328" s="59">
        <v>4000</v>
      </c>
      <c r="G328" s="59"/>
      <c r="H328" s="71">
        <f>'4.pielikums'!B317</f>
        <v>4000</v>
      </c>
    </row>
    <row r="329" spans="1:8" ht="30" customHeight="1" x14ac:dyDescent="0.25">
      <c r="A329" s="82"/>
      <c r="B329" s="81" t="s">
        <v>646</v>
      </c>
      <c r="C329" s="75"/>
      <c r="D329" s="59">
        <f t="shared" si="26"/>
        <v>41754</v>
      </c>
      <c r="E329" s="59"/>
      <c r="F329" s="59">
        <v>38098</v>
      </c>
      <c r="G329" s="59"/>
      <c r="H329" s="71">
        <f>'4.pielikums'!B318</f>
        <v>79852</v>
      </c>
    </row>
    <row r="330" spans="1:8" ht="35.25" customHeight="1" x14ac:dyDescent="0.25">
      <c r="A330" s="82"/>
      <c r="B330" s="81" t="s">
        <v>629</v>
      </c>
      <c r="C330" s="75"/>
      <c r="D330" s="59">
        <f t="shared" si="26"/>
        <v>0</v>
      </c>
      <c r="E330" s="59"/>
      <c r="F330" s="59">
        <v>2000</v>
      </c>
      <c r="G330" s="59"/>
      <c r="H330" s="71">
        <f>'4.pielikums'!B359</f>
        <v>2000</v>
      </c>
    </row>
    <row r="331" spans="1:8" ht="18.75" customHeight="1" x14ac:dyDescent="0.25">
      <c r="A331" s="82"/>
      <c r="B331" s="63" t="s">
        <v>243</v>
      </c>
      <c r="C331" s="75"/>
      <c r="D331" s="59">
        <f t="shared" si="26"/>
        <v>51760</v>
      </c>
      <c r="E331" s="59"/>
      <c r="F331" s="59"/>
      <c r="G331" s="59"/>
      <c r="H331" s="71">
        <f>'4.pielikums'!B319</f>
        <v>51760</v>
      </c>
    </row>
    <row r="332" spans="1:8" ht="49.5" customHeight="1" x14ac:dyDescent="0.25">
      <c r="A332" s="82"/>
      <c r="B332" s="61" t="s">
        <v>651</v>
      </c>
      <c r="C332" s="75"/>
      <c r="D332" s="59">
        <f t="shared" si="26"/>
        <v>0</v>
      </c>
      <c r="E332" s="59"/>
      <c r="F332" s="59">
        <v>7056</v>
      </c>
      <c r="G332" s="59"/>
      <c r="H332" s="71">
        <f>'4.pielikums'!B374</f>
        <v>7056</v>
      </c>
    </row>
    <row r="333" spans="1:8" ht="38.25" customHeight="1" x14ac:dyDescent="0.25">
      <c r="A333" s="82"/>
      <c r="B333" s="61" t="s">
        <v>677</v>
      </c>
      <c r="C333" s="75"/>
      <c r="D333" s="59">
        <f t="shared" si="26"/>
        <v>0</v>
      </c>
      <c r="E333" s="59"/>
      <c r="F333" s="59">
        <v>5513</v>
      </c>
      <c r="G333" s="59"/>
      <c r="H333" s="71">
        <f>'4.pielikums'!B376</f>
        <v>5513</v>
      </c>
    </row>
    <row r="334" spans="1:8" ht="30" customHeight="1" x14ac:dyDescent="0.25">
      <c r="A334" s="82"/>
      <c r="B334" s="63" t="s">
        <v>240</v>
      </c>
      <c r="C334" s="75"/>
      <c r="D334" s="59">
        <f t="shared" si="26"/>
        <v>0</v>
      </c>
      <c r="E334" s="59"/>
      <c r="F334" s="59">
        <v>244109</v>
      </c>
      <c r="G334" s="59">
        <v>551892</v>
      </c>
      <c r="H334" s="71">
        <f>'4.pielikums'!B320</f>
        <v>796001</v>
      </c>
    </row>
    <row r="335" spans="1:8" ht="39" customHeight="1" x14ac:dyDescent="0.25">
      <c r="B335" s="63" t="s">
        <v>242</v>
      </c>
      <c r="C335" s="75"/>
      <c r="D335" s="59">
        <f t="shared" si="26"/>
        <v>0</v>
      </c>
      <c r="E335" s="59"/>
      <c r="F335" s="59">
        <v>137225</v>
      </c>
      <c r="G335" s="59">
        <v>243562</v>
      </c>
      <c r="H335" s="71">
        <f>'4.pielikums'!B321</f>
        <v>380787</v>
      </c>
    </row>
    <row r="336" spans="1:8" ht="15" customHeight="1" x14ac:dyDescent="0.25">
      <c r="A336" s="1" t="s">
        <v>316</v>
      </c>
      <c r="B336" s="54" t="s">
        <v>317</v>
      </c>
      <c r="C336" s="55">
        <f t="shared" ref="C336:H336" si="31">C337+C338</f>
        <v>40119</v>
      </c>
      <c r="D336" s="55">
        <f t="shared" si="31"/>
        <v>2742433</v>
      </c>
      <c r="E336" s="55">
        <f t="shared" si="31"/>
        <v>1540641</v>
      </c>
      <c r="F336" s="55">
        <f t="shared" si="31"/>
        <v>1934636</v>
      </c>
      <c r="G336" s="55">
        <f t="shared" si="31"/>
        <v>0</v>
      </c>
      <c r="H336" s="71">
        <f t="shared" si="31"/>
        <v>6257829</v>
      </c>
    </row>
    <row r="337" spans="1:8" ht="30" customHeight="1" x14ac:dyDescent="0.25">
      <c r="A337" s="85"/>
      <c r="B337" s="58" t="s">
        <v>48</v>
      </c>
      <c r="C337" s="74"/>
      <c r="D337" s="59">
        <f t="shared" si="26"/>
        <v>226717</v>
      </c>
      <c r="E337" s="59">
        <v>11000</v>
      </c>
      <c r="F337" s="59"/>
      <c r="G337" s="59"/>
      <c r="H337" s="71">
        <f>'4.pielikums'!B322</f>
        <v>237717</v>
      </c>
    </row>
    <row r="338" spans="1:8" ht="15" customHeight="1" x14ac:dyDescent="0.25">
      <c r="A338" s="1"/>
      <c r="B338" s="86" t="s">
        <v>318</v>
      </c>
      <c r="C338" s="55">
        <f t="shared" ref="C338:H338" si="32">SUM(C339:C359)</f>
        <v>40119</v>
      </c>
      <c r="D338" s="55">
        <f>SUM(D339:D359)</f>
        <v>2515716</v>
      </c>
      <c r="E338" s="55">
        <f t="shared" si="32"/>
        <v>1529641</v>
      </c>
      <c r="F338" s="55">
        <f>SUM(F339:F359)</f>
        <v>1934636</v>
      </c>
      <c r="G338" s="55">
        <f t="shared" si="32"/>
        <v>0</v>
      </c>
      <c r="H338" s="71">
        <f t="shared" si="32"/>
        <v>6020112</v>
      </c>
    </row>
    <row r="339" spans="1:8" ht="15" customHeight="1" x14ac:dyDescent="0.25">
      <c r="A339" s="1"/>
      <c r="B339" s="58" t="s">
        <v>176</v>
      </c>
      <c r="C339" s="74"/>
      <c r="D339" s="59">
        <f t="shared" si="26"/>
        <v>608189</v>
      </c>
      <c r="E339" s="59">
        <f>25190+3000+400</f>
        <v>28590</v>
      </c>
      <c r="F339" s="59"/>
      <c r="G339" s="59"/>
      <c r="H339" s="71">
        <f>'4.pielikums'!B323</f>
        <v>636779</v>
      </c>
    </row>
    <row r="340" spans="1:8" ht="15" customHeight="1" x14ac:dyDescent="0.25">
      <c r="A340" s="1"/>
      <c r="B340" s="58" t="s">
        <v>226</v>
      </c>
      <c r="C340" s="74"/>
      <c r="D340" s="59">
        <f t="shared" si="26"/>
        <v>754052</v>
      </c>
      <c r="E340" s="59"/>
      <c r="F340" s="59">
        <f>25441+53978+231715</f>
        <v>311134</v>
      </c>
      <c r="G340" s="59"/>
      <c r="H340" s="71">
        <f>'4.pielikums'!B325</f>
        <v>1065186</v>
      </c>
    </row>
    <row r="341" spans="1:8" ht="15" customHeight="1" x14ac:dyDescent="0.25">
      <c r="A341" s="1"/>
      <c r="B341" s="58" t="s">
        <v>170</v>
      </c>
      <c r="C341" s="74"/>
      <c r="D341" s="59">
        <f t="shared" ref="D341:D359" si="33">H341-E341-G341-F341-C341</f>
        <v>22990</v>
      </c>
      <c r="E341" s="59"/>
      <c r="F341" s="59"/>
      <c r="G341" s="59"/>
      <c r="H341" s="71">
        <f>'4.pielikums'!B327</f>
        <v>22990</v>
      </c>
    </row>
    <row r="342" spans="1:8" ht="15" customHeight="1" x14ac:dyDescent="0.25">
      <c r="A342" s="1"/>
      <c r="B342" s="58" t="s">
        <v>49</v>
      </c>
      <c r="C342" s="74"/>
      <c r="D342" s="59">
        <f t="shared" si="33"/>
        <v>11213</v>
      </c>
      <c r="E342" s="59">
        <f>10600</f>
        <v>10600</v>
      </c>
      <c r="F342" s="59"/>
      <c r="G342" s="59"/>
      <c r="H342" s="71">
        <f>'4.pielikums'!B328</f>
        <v>21813</v>
      </c>
    </row>
    <row r="343" spans="1:8" ht="15" customHeight="1" x14ac:dyDescent="0.25">
      <c r="A343" s="73"/>
      <c r="B343" s="58" t="s">
        <v>61</v>
      </c>
      <c r="C343" s="74"/>
      <c r="D343" s="59">
        <f t="shared" si="33"/>
        <v>143002</v>
      </c>
      <c r="E343" s="59">
        <f>2910</f>
        <v>2910</v>
      </c>
      <c r="F343" s="59">
        <v>828</v>
      </c>
      <c r="G343" s="59"/>
      <c r="H343" s="71">
        <f>'4.pielikums'!B329</f>
        <v>146740</v>
      </c>
    </row>
    <row r="344" spans="1:8" ht="15" customHeight="1" x14ac:dyDescent="0.25">
      <c r="A344" s="73"/>
      <c r="B344" s="58" t="s">
        <v>47</v>
      </c>
      <c r="C344" s="74"/>
      <c r="D344" s="59">
        <f t="shared" si="33"/>
        <v>694143</v>
      </c>
      <c r="E344" s="59">
        <f>2700+9000+884800+12000+2000+1000</f>
        <v>911500</v>
      </c>
      <c r="F344" s="59">
        <f>23544+29000+40524</f>
        <v>93068</v>
      </c>
      <c r="G344" s="59"/>
      <c r="H344" s="71">
        <f>'4.pielikums'!B330</f>
        <v>1698711</v>
      </c>
    </row>
    <row r="345" spans="1:8" ht="15" customHeight="1" x14ac:dyDescent="0.25">
      <c r="A345" s="73"/>
      <c r="B345" s="61" t="s">
        <v>121</v>
      </c>
      <c r="C345" s="75"/>
      <c r="D345" s="59">
        <f t="shared" si="33"/>
        <v>151497</v>
      </c>
      <c r="E345" s="59">
        <f>147580+2314</f>
        <v>149894</v>
      </c>
      <c r="F345" s="59">
        <f>7752+96+16650</f>
        <v>24498</v>
      </c>
      <c r="G345" s="59"/>
      <c r="H345" s="71">
        <f>'4.pielikums'!B332</f>
        <v>325889</v>
      </c>
    </row>
    <row r="346" spans="1:8" ht="15" customHeight="1" x14ac:dyDescent="0.25">
      <c r="A346" s="73"/>
      <c r="B346" s="84" t="s">
        <v>123</v>
      </c>
      <c r="C346" s="75"/>
      <c r="D346" s="59">
        <f t="shared" si="33"/>
        <v>21415</v>
      </c>
      <c r="E346" s="59">
        <f>172055+1850</f>
        <v>173905</v>
      </c>
      <c r="F346" s="59">
        <f>12000</f>
        <v>12000</v>
      </c>
      <c r="G346" s="59"/>
      <c r="H346" s="71">
        <f>'4.pielikums'!B334</f>
        <v>207320</v>
      </c>
    </row>
    <row r="347" spans="1:8" ht="30" customHeight="1" x14ac:dyDescent="0.25">
      <c r="A347" s="73"/>
      <c r="B347" s="84" t="s">
        <v>122</v>
      </c>
      <c r="C347" s="75"/>
      <c r="D347" s="59">
        <f t="shared" si="33"/>
        <v>29912</v>
      </c>
      <c r="E347" s="59">
        <f>227440+1250</f>
        <v>228690</v>
      </c>
      <c r="F347" s="59">
        <f>15500</f>
        <v>15500</v>
      </c>
      <c r="G347" s="59"/>
      <c r="H347" s="71">
        <f>'4.pielikums'!B336</f>
        <v>274102</v>
      </c>
    </row>
    <row r="348" spans="1:8" ht="30" customHeight="1" x14ac:dyDescent="0.25">
      <c r="A348" s="73"/>
      <c r="B348" s="63" t="s">
        <v>79</v>
      </c>
      <c r="C348" s="75"/>
      <c r="D348" s="59">
        <f t="shared" si="33"/>
        <v>0</v>
      </c>
      <c r="E348" s="59">
        <f>2502+10796</f>
        <v>13298</v>
      </c>
      <c r="F348" s="59">
        <v>298623</v>
      </c>
      <c r="G348" s="59"/>
      <c r="H348" s="71">
        <f>'4.pielikums'!B337</f>
        <v>311921</v>
      </c>
    </row>
    <row r="349" spans="1:8" ht="30" customHeight="1" x14ac:dyDescent="0.25">
      <c r="A349" s="73"/>
      <c r="B349" s="81" t="s">
        <v>177</v>
      </c>
      <c r="C349" s="75"/>
      <c r="D349" s="59">
        <f t="shared" si="33"/>
        <v>31534</v>
      </c>
      <c r="E349" s="59"/>
      <c r="F349" s="59">
        <v>49643</v>
      </c>
      <c r="G349" s="59"/>
      <c r="H349" s="71">
        <f>'4.pielikums'!B338</f>
        <v>81177</v>
      </c>
    </row>
    <row r="350" spans="1:8" ht="30" customHeight="1" x14ac:dyDescent="0.25">
      <c r="A350" s="73"/>
      <c r="B350" s="76" t="s">
        <v>178</v>
      </c>
      <c r="C350" s="75"/>
      <c r="D350" s="59">
        <f t="shared" si="33"/>
        <v>21187</v>
      </c>
      <c r="E350" s="59">
        <f>9034</f>
        <v>9034</v>
      </c>
      <c r="F350" s="59">
        <v>101834</v>
      </c>
      <c r="G350" s="59"/>
      <c r="H350" s="71">
        <f>'4.pielikums'!B339</f>
        <v>132055</v>
      </c>
    </row>
    <row r="351" spans="1:8" ht="30" customHeight="1" x14ac:dyDescent="0.25">
      <c r="A351" s="73"/>
      <c r="B351" s="81" t="s">
        <v>160</v>
      </c>
      <c r="C351" s="75"/>
      <c r="D351" s="59">
        <f t="shared" si="33"/>
        <v>4935</v>
      </c>
      <c r="E351" s="59">
        <f>600</f>
        <v>600</v>
      </c>
      <c r="F351" s="59"/>
      <c r="G351" s="59"/>
      <c r="H351" s="71">
        <f>'4.pielikums'!B340</f>
        <v>5535</v>
      </c>
    </row>
    <row r="352" spans="1:8" ht="30" customHeight="1" x14ac:dyDescent="0.25">
      <c r="A352" s="73"/>
      <c r="B352" s="81" t="s">
        <v>559</v>
      </c>
      <c r="C352" s="75"/>
      <c r="D352" s="59">
        <f t="shared" si="33"/>
        <v>0</v>
      </c>
      <c r="E352" s="59">
        <f>620</f>
        <v>620</v>
      </c>
      <c r="F352" s="59"/>
      <c r="G352" s="59"/>
      <c r="H352" s="71">
        <f>'4.pielikums'!B341</f>
        <v>620</v>
      </c>
    </row>
    <row r="353" spans="1:8" ht="30" customHeight="1" x14ac:dyDescent="0.25">
      <c r="A353" s="73"/>
      <c r="B353" s="63" t="s">
        <v>320</v>
      </c>
      <c r="C353" s="75"/>
      <c r="D353" s="59">
        <f t="shared" si="33"/>
        <v>0</v>
      </c>
      <c r="E353" s="59"/>
      <c r="F353" s="59">
        <f>484637+8165</f>
        <v>492802</v>
      </c>
      <c r="G353" s="59"/>
      <c r="H353" s="71">
        <f>'4.pielikums'!B342</f>
        <v>492802</v>
      </c>
    </row>
    <row r="354" spans="1:8" ht="30" customHeight="1" x14ac:dyDescent="0.25">
      <c r="A354" s="73"/>
      <c r="B354" s="63" t="s">
        <v>658</v>
      </c>
      <c r="C354" s="75"/>
      <c r="D354" s="59">
        <f t="shared" si="33"/>
        <v>2530</v>
      </c>
      <c r="E354" s="59"/>
      <c r="F354" s="59"/>
      <c r="G354" s="59"/>
      <c r="H354" s="71">
        <f>'4.pielikums'!B372</f>
        <v>2530</v>
      </c>
    </row>
    <row r="355" spans="1:8" ht="30" customHeight="1" x14ac:dyDescent="0.25">
      <c r="A355" s="73"/>
      <c r="B355" s="63" t="s">
        <v>56</v>
      </c>
      <c r="C355" s="75"/>
      <c r="D355" s="59">
        <f t="shared" si="33"/>
        <v>0</v>
      </c>
      <c r="E355" s="59"/>
      <c r="F355" s="59">
        <v>462678</v>
      </c>
      <c r="G355" s="59"/>
      <c r="H355" s="71">
        <f>'4.pielikums'!B344</f>
        <v>462678</v>
      </c>
    </row>
    <row r="356" spans="1:8" ht="30" customHeight="1" x14ac:dyDescent="0.25">
      <c r="A356" s="73"/>
      <c r="B356" s="61" t="s">
        <v>55</v>
      </c>
      <c r="C356" s="75">
        <v>1518</v>
      </c>
      <c r="D356" s="59">
        <f t="shared" si="33"/>
        <v>10467</v>
      </c>
      <c r="E356" s="59"/>
      <c r="F356" s="59">
        <v>46327</v>
      </c>
      <c r="G356" s="59"/>
      <c r="H356" s="71">
        <f>'4.pielikums'!B345</f>
        <v>58312</v>
      </c>
    </row>
    <row r="357" spans="1:8" ht="30" customHeight="1" x14ac:dyDescent="0.25">
      <c r="A357" s="73"/>
      <c r="B357" s="61" t="s">
        <v>561</v>
      </c>
      <c r="C357" s="75">
        <v>38601</v>
      </c>
      <c r="D357" s="59">
        <f t="shared" si="33"/>
        <v>0</v>
      </c>
      <c r="E357" s="59"/>
      <c r="F357" s="59">
        <f>9781+15920</f>
        <v>25701</v>
      </c>
      <c r="G357" s="59"/>
      <c r="H357" s="71">
        <f>'4.pielikums'!B364</f>
        <v>64302</v>
      </c>
    </row>
    <row r="358" spans="1:8" ht="19.5" customHeight="1" x14ac:dyDescent="0.25">
      <c r="A358" s="73"/>
      <c r="B358" s="61" t="s">
        <v>678</v>
      </c>
      <c r="C358" s="75"/>
      <c r="D358" s="59">
        <f t="shared" si="33"/>
        <v>3000</v>
      </c>
      <c r="E358" s="59"/>
      <c r="F358" s="59"/>
      <c r="G358" s="59"/>
      <c r="H358" s="71">
        <f>'4.pielikums'!B373</f>
        <v>3000</v>
      </c>
    </row>
    <row r="359" spans="1:8" ht="31.5" x14ac:dyDescent="0.25">
      <c r="A359" s="77"/>
      <c r="B359" s="84" t="s">
        <v>319</v>
      </c>
      <c r="C359" s="75"/>
      <c r="D359" s="59">
        <f t="shared" si="33"/>
        <v>5650</v>
      </c>
      <c r="E359" s="59"/>
      <c r="F359" s="59"/>
      <c r="G359" s="59"/>
      <c r="H359" s="71">
        <f>'4.pielikums'!B236+'4.pielikums'!B237+'4.pielikums'!B346+'4.pielikums'!B347+'4.pielikums'!B348</f>
        <v>5650</v>
      </c>
    </row>
    <row r="360" spans="1:8" s="66" customFormat="1" x14ac:dyDescent="0.25">
      <c r="B360" s="64"/>
      <c r="C360" s="64"/>
      <c r="D360" s="65"/>
      <c r="E360" s="65"/>
      <c r="F360" s="65"/>
      <c r="G360" s="65"/>
      <c r="H360" s="65"/>
    </row>
    <row r="361" spans="1:8" x14ac:dyDescent="0.25">
      <c r="B361" s="133" t="s">
        <v>689</v>
      </c>
      <c r="C361" s="133"/>
      <c r="D361" s="133"/>
      <c r="E361" s="133"/>
      <c r="F361" s="133"/>
      <c r="G361" s="133"/>
      <c r="H361" s="133"/>
    </row>
    <row r="362" spans="1:8" x14ac:dyDescent="0.25">
      <c r="B362" s="48"/>
      <c r="C362" s="64"/>
    </row>
  </sheetData>
  <mergeCells count="7">
    <mergeCell ref="B361:H361"/>
    <mergeCell ref="H14:H15"/>
    <mergeCell ref="B11:G11"/>
    <mergeCell ref="B12:G12"/>
    <mergeCell ref="A14:A15"/>
    <mergeCell ref="B14:B15"/>
    <mergeCell ref="D14:G14"/>
  </mergeCells>
  <pageMargins left="0.7" right="0.7" top="0.75" bottom="0.75" header="0.3" footer="0.3"/>
  <pageSetup paperSize="9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95"/>
  <sheetViews>
    <sheetView tabSelected="1" topLeftCell="A4" workbookViewId="0">
      <selection activeCell="A201" sqref="A201"/>
    </sheetView>
  </sheetViews>
  <sheetFormatPr defaultColWidth="9.140625" defaultRowHeight="15" x14ac:dyDescent="0.25"/>
  <cols>
    <col min="1" max="1" width="34.5703125" style="29" customWidth="1"/>
    <col min="2" max="5" width="17.5703125" style="48" customWidth="1"/>
    <col min="6" max="6" width="16.42578125" style="48" customWidth="1"/>
    <col min="7" max="9" width="17.5703125" style="48" customWidth="1"/>
    <col min="10" max="10" width="9.140625" style="29"/>
    <col min="11" max="11" width="14.85546875" style="29" customWidth="1"/>
    <col min="12" max="16384" width="9.140625" style="29"/>
  </cols>
  <sheetData>
    <row r="1" spans="1:9" ht="15.75" x14ac:dyDescent="0.25">
      <c r="I1" s="51" t="s">
        <v>680</v>
      </c>
    </row>
    <row r="2" spans="1:9" ht="15.75" x14ac:dyDescent="0.25">
      <c r="I2" s="51" t="s">
        <v>593</v>
      </c>
    </row>
    <row r="3" spans="1:9" ht="15.75" x14ac:dyDescent="0.25">
      <c r="I3" s="51" t="s">
        <v>682</v>
      </c>
    </row>
    <row r="4" spans="1:9" ht="15.75" x14ac:dyDescent="0.25">
      <c r="I4" s="51" t="s">
        <v>681</v>
      </c>
    </row>
    <row r="5" spans="1:9" ht="15.75" x14ac:dyDescent="0.25">
      <c r="I5" s="51" t="s">
        <v>679</v>
      </c>
    </row>
    <row r="7" spans="1:9" ht="15" customHeight="1" x14ac:dyDescent="0.25">
      <c r="E7" s="51"/>
      <c r="F7" s="51"/>
      <c r="G7" s="51"/>
      <c r="H7" s="51"/>
      <c r="I7" s="51" t="s">
        <v>680</v>
      </c>
    </row>
    <row r="8" spans="1:9" ht="15" customHeight="1" x14ac:dyDescent="0.25">
      <c r="E8" s="51"/>
      <c r="F8" s="51"/>
      <c r="G8" s="51"/>
      <c r="H8" s="51"/>
      <c r="I8" s="51" t="s">
        <v>593</v>
      </c>
    </row>
    <row r="9" spans="1:9" ht="15" customHeight="1" x14ac:dyDescent="0.25">
      <c r="E9" s="51"/>
      <c r="F9" s="51"/>
      <c r="G9" s="51"/>
      <c r="H9" s="51"/>
      <c r="I9" s="51" t="s">
        <v>683</v>
      </c>
    </row>
    <row r="10" spans="1:9" ht="15" customHeight="1" x14ac:dyDescent="0.25">
      <c r="E10" s="51"/>
      <c r="F10" s="90"/>
      <c r="G10" s="51"/>
      <c r="H10" s="51"/>
      <c r="I10" s="51" t="s">
        <v>684</v>
      </c>
    </row>
    <row r="11" spans="1:9" ht="15" customHeight="1" x14ac:dyDescent="0.25">
      <c r="E11" s="51"/>
      <c r="F11" s="90"/>
      <c r="G11" s="51"/>
      <c r="H11" s="51"/>
      <c r="I11" s="51"/>
    </row>
    <row r="12" spans="1:9" ht="15" customHeight="1" x14ac:dyDescent="0.25">
      <c r="E12" s="90"/>
      <c r="F12" s="90"/>
      <c r="G12" s="90"/>
      <c r="H12" s="90"/>
      <c r="I12" s="90"/>
    </row>
    <row r="13" spans="1:9" ht="15" customHeight="1" x14ac:dyDescent="0.3">
      <c r="A13" s="129" t="s">
        <v>685</v>
      </c>
      <c r="B13" s="129"/>
      <c r="C13" s="129"/>
      <c r="D13" s="129"/>
      <c r="E13" s="129"/>
      <c r="F13" s="129"/>
      <c r="G13" s="129"/>
      <c r="H13" s="129"/>
      <c r="I13" s="129"/>
    </row>
    <row r="14" spans="1:9" ht="15" customHeight="1" x14ac:dyDescent="0.25"/>
    <row r="15" spans="1:9" s="6" customFormat="1" ht="15" customHeight="1" x14ac:dyDescent="0.25">
      <c r="A15" s="130" t="s">
        <v>0</v>
      </c>
      <c r="B15" s="123" t="s">
        <v>574</v>
      </c>
      <c r="C15" s="128" t="s">
        <v>88</v>
      </c>
      <c r="D15" s="128"/>
      <c r="E15" s="128"/>
      <c r="F15" s="128"/>
      <c r="G15" s="128"/>
      <c r="H15" s="128"/>
      <c r="I15" s="128"/>
    </row>
    <row r="16" spans="1:9" s="6" customFormat="1" ht="15" customHeight="1" x14ac:dyDescent="0.25">
      <c r="A16" s="130"/>
      <c r="B16" s="123"/>
      <c r="C16" s="73">
        <v>1000</v>
      </c>
      <c r="D16" s="73">
        <v>2000</v>
      </c>
      <c r="E16" s="73">
        <v>3000</v>
      </c>
      <c r="F16" s="73">
        <v>4000</v>
      </c>
      <c r="G16" s="73">
        <v>5000</v>
      </c>
      <c r="H16" s="91">
        <v>6000</v>
      </c>
      <c r="I16" s="91">
        <v>7000</v>
      </c>
    </row>
    <row r="17" spans="1:9" s="6" customFormat="1" ht="47.25" x14ac:dyDescent="0.25">
      <c r="A17" s="130"/>
      <c r="B17" s="123"/>
      <c r="C17" s="91" t="s">
        <v>83</v>
      </c>
      <c r="D17" s="91" t="s">
        <v>84</v>
      </c>
      <c r="E17" s="91" t="s">
        <v>85</v>
      </c>
      <c r="F17" s="91" t="s">
        <v>86</v>
      </c>
      <c r="G17" s="91" t="s">
        <v>87</v>
      </c>
      <c r="H17" s="91" t="s">
        <v>81</v>
      </c>
      <c r="I17" s="91" t="s">
        <v>82</v>
      </c>
    </row>
    <row r="18" spans="1:9" ht="15" customHeight="1" x14ac:dyDescent="0.25">
      <c r="A18" s="31" t="s">
        <v>1</v>
      </c>
      <c r="B18" s="92">
        <f>SUM(C18:I18)</f>
        <v>1609782</v>
      </c>
      <c r="C18" s="93">
        <v>1385996</v>
      </c>
      <c r="D18" s="93">
        <f>197892+D19</f>
        <v>216857</v>
      </c>
      <c r="E18" s="93"/>
      <c r="F18" s="93"/>
      <c r="G18" s="93">
        <f>1000+G19</f>
        <v>6929</v>
      </c>
      <c r="H18" s="93"/>
      <c r="I18" s="93"/>
    </row>
    <row r="19" spans="1:9" ht="15" customHeight="1" x14ac:dyDescent="0.25">
      <c r="A19" s="117" t="s">
        <v>633</v>
      </c>
      <c r="B19" s="92">
        <f>SUM(C19:I19)</f>
        <v>24894</v>
      </c>
      <c r="C19" s="93"/>
      <c r="D19" s="93">
        <v>18965</v>
      </c>
      <c r="E19" s="93"/>
      <c r="F19" s="93"/>
      <c r="G19" s="93">
        <v>5929</v>
      </c>
      <c r="H19" s="93"/>
      <c r="I19" s="93"/>
    </row>
    <row r="20" spans="1:9" ht="15" customHeight="1" x14ac:dyDescent="0.25">
      <c r="A20" s="31" t="s">
        <v>2</v>
      </c>
      <c r="B20" s="92">
        <f t="shared" ref="B20:B97" si="0">SUM(C20:I20)</f>
        <v>152160</v>
      </c>
      <c r="C20" s="93">
        <f>155358+C21</f>
        <v>152160</v>
      </c>
      <c r="D20" s="93"/>
      <c r="E20" s="93"/>
      <c r="F20" s="93"/>
      <c r="G20" s="93"/>
      <c r="H20" s="93"/>
      <c r="I20" s="93"/>
    </row>
    <row r="21" spans="1:9" ht="15" customHeight="1" x14ac:dyDescent="0.25">
      <c r="A21" s="116" t="s">
        <v>633</v>
      </c>
      <c r="B21" s="92">
        <f t="shared" si="0"/>
        <v>-3198</v>
      </c>
      <c r="C21" s="93">
        <v>-3198</v>
      </c>
      <c r="D21" s="93"/>
      <c r="E21" s="93"/>
      <c r="F21" s="93"/>
      <c r="G21" s="93"/>
      <c r="H21" s="93"/>
      <c r="I21" s="93"/>
    </row>
    <row r="22" spans="1:9" ht="30" customHeight="1" x14ac:dyDescent="0.25">
      <c r="A22" s="31" t="s">
        <v>169</v>
      </c>
      <c r="B22" s="92">
        <f t="shared" si="0"/>
        <v>250642</v>
      </c>
      <c r="C22" s="93">
        <v>0</v>
      </c>
      <c r="D22" s="93"/>
      <c r="E22" s="93"/>
      <c r="F22" s="93"/>
      <c r="G22" s="93"/>
      <c r="H22" s="93">
        <v>250642</v>
      </c>
      <c r="I22" s="93"/>
    </row>
    <row r="23" spans="1:9" ht="15" customHeight="1" x14ac:dyDescent="0.25">
      <c r="A23" s="31" t="s">
        <v>202</v>
      </c>
      <c r="B23" s="92">
        <f t="shared" si="0"/>
        <v>37776</v>
      </c>
      <c r="C23" s="93">
        <f>34578+C24</f>
        <v>37776</v>
      </c>
      <c r="D23" s="93"/>
      <c r="E23" s="93"/>
      <c r="F23" s="93"/>
      <c r="G23" s="93"/>
      <c r="H23" s="93"/>
      <c r="I23" s="93"/>
    </row>
    <row r="24" spans="1:9" ht="15" customHeight="1" x14ac:dyDescent="0.25">
      <c r="A24" s="116" t="s">
        <v>633</v>
      </c>
      <c r="B24" s="92">
        <f t="shared" si="0"/>
        <v>3198</v>
      </c>
      <c r="C24" s="93">
        <v>3198</v>
      </c>
      <c r="D24" s="93"/>
      <c r="E24" s="93"/>
      <c r="F24" s="93"/>
      <c r="G24" s="93"/>
      <c r="H24" s="93"/>
      <c r="I24" s="93"/>
    </row>
    <row r="25" spans="1:9" ht="15" customHeight="1" x14ac:dyDescent="0.25">
      <c r="A25" s="31" t="s">
        <v>195</v>
      </c>
      <c r="B25" s="92">
        <f t="shared" si="0"/>
        <v>620235</v>
      </c>
      <c r="C25" s="93">
        <f>158924</f>
        <v>158924</v>
      </c>
      <c r="D25" s="93">
        <v>85359</v>
      </c>
      <c r="E25" s="93"/>
      <c r="F25" s="93"/>
      <c r="G25" s="93">
        <v>375952</v>
      </c>
      <c r="H25" s="93"/>
      <c r="I25" s="93"/>
    </row>
    <row r="26" spans="1:9" ht="15" customHeight="1" x14ac:dyDescent="0.25">
      <c r="A26" s="32" t="s">
        <v>3</v>
      </c>
      <c r="B26" s="92">
        <f t="shared" si="0"/>
        <v>34564</v>
      </c>
      <c r="C26" s="93">
        <v>30978</v>
      </c>
      <c r="D26" s="93">
        <v>3586</v>
      </c>
      <c r="E26" s="93"/>
      <c r="F26" s="93"/>
      <c r="G26" s="93"/>
      <c r="H26" s="93"/>
      <c r="I26" s="93"/>
    </row>
    <row r="27" spans="1:9" ht="15" customHeight="1" x14ac:dyDescent="0.25">
      <c r="A27" s="32" t="s">
        <v>91</v>
      </c>
      <c r="B27" s="92">
        <f t="shared" si="0"/>
        <v>74805</v>
      </c>
      <c r="C27" s="93">
        <v>47368</v>
      </c>
      <c r="D27" s="93">
        <v>27437</v>
      </c>
      <c r="E27" s="93"/>
      <c r="F27" s="93"/>
      <c r="G27" s="93"/>
      <c r="H27" s="93"/>
      <c r="I27" s="93"/>
    </row>
    <row r="28" spans="1:9" ht="15" customHeight="1" x14ac:dyDescent="0.25">
      <c r="A28" s="32" t="s">
        <v>4</v>
      </c>
      <c r="B28" s="92">
        <f t="shared" si="0"/>
        <v>34798</v>
      </c>
      <c r="C28" s="93">
        <v>31299</v>
      </c>
      <c r="D28" s="93">
        <v>3499</v>
      </c>
      <c r="E28" s="93"/>
      <c r="F28" s="93"/>
      <c r="G28" s="93"/>
      <c r="H28" s="93"/>
      <c r="I28" s="93"/>
    </row>
    <row r="29" spans="1:9" ht="15" customHeight="1" x14ac:dyDescent="0.25">
      <c r="A29" s="32" t="s">
        <v>5</v>
      </c>
      <c r="B29" s="92">
        <f t="shared" si="0"/>
        <v>49595</v>
      </c>
      <c r="C29" s="93">
        <v>36831</v>
      </c>
      <c r="D29" s="93">
        <v>12764</v>
      </c>
      <c r="E29" s="93"/>
      <c r="F29" s="93"/>
      <c r="G29" s="93"/>
      <c r="H29" s="93"/>
      <c r="I29" s="93"/>
    </row>
    <row r="30" spans="1:9" ht="15" customHeight="1" x14ac:dyDescent="0.25">
      <c r="A30" s="32" t="s">
        <v>6</v>
      </c>
      <c r="B30" s="92">
        <f t="shared" si="0"/>
        <v>40318</v>
      </c>
      <c r="C30" s="93">
        <v>29342</v>
      </c>
      <c r="D30" s="93">
        <v>10976</v>
      </c>
      <c r="E30" s="93"/>
      <c r="F30" s="93"/>
      <c r="G30" s="93"/>
      <c r="H30" s="93"/>
      <c r="I30" s="93"/>
    </row>
    <row r="31" spans="1:9" ht="15" customHeight="1" x14ac:dyDescent="0.25">
      <c r="A31" s="32" t="s">
        <v>7</v>
      </c>
      <c r="B31" s="92">
        <f t="shared" si="0"/>
        <v>39996</v>
      </c>
      <c r="C31" s="93">
        <v>30631</v>
      </c>
      <c r="D31" s="93">
        <v>9365</v>
      </c>
      <c r="E31" s="93"/>
      <c r="F31" s="93"/>
      <c r="G31" s="93"/>
      <c r="H31" s="93"/>
      <c r="I31" s="93"/>
    </row>
    <row r="32" spans="1:9" ht="15" customHeight="1" x14ac:dyDescent="0.25">
      <c r="A32" s="32" t="s">
        <v>8</v>
      </c>
      <c r="B32" s="92">
        <f t="shared" si="0"/>
        <v>43440</v>
      </c>
      <c r="C32" s="93">
        <v>34818</v>
      </c>
      <c r="D32" s="93">
        <v>8622</v>
      </c>
      <c r="E32" s="93"/>
      <c r="F32" s="93"/>
      <c r="G32" s="93"/>
      <c r="H32" s="93"/>
      <c r="I32" s="93"/>
    </row>
    <row r="33" spans="1:9" ht="15" customHeight="1" x14ac:dyDescent="0.25">
      <c r="A33" s="32" t="s">
        <v>92</v>
      </c>
      <c r="B33" s="92">
        <f t="shared" si="0"/>
        <v>35446</v>
      </c>
      <c r="C33" s="93">
        <v>30502</v>
      </c>
      <c r="D33" s="93">
        <v>4944</v>
      </c>
      <c r="E33" s="93"/>
      <c r="F33" s="93"/>
      <c r="G33" s="93"/>
      <c r="H33" s="93"/>
      <c r="I33" s="93"/>
    </row>
    <row r="34" spans="1:9" ht="15" customHeight="1" x14ac:dyDescent="0.25">
      <c r="A34" s="32" t="s">
        <v>127</v>
      </c>
      <c r="B34" s="92">
        <f t="shared" si="0"/>
        <v>36877</v>
      </c>
      <c r="C34" s="93">
        <v>29109</v>
      </c>
      <c r="D34" s="93">
        <v>7768</v>
      </c>
      <c r="E34" s="93"/>
      <c r="F34" s="93"/>
      <c r="G34" s="93"/>
      <c r="H34" s="93"/>
      <c r="I34" s="93"/>
    </row>
    <row r="35" spans="1:9" ht="15" customHeight="1" x14ac:dyDescent="0.25">
      <c r="A35" s="32" t="s">
        <v>9</v>
      </c>
      <c r="B35" s="92">
        <f t="shared" si="0"/>
        <v>23494</v>
      </c>
      <c r="C35" s="93">
        <v>20880</v>
      </c>
      <c r="D35" s="93">
        <v>2614</v>
      </c>
      <c r="E35" s="93"/>
      <c r="F35" s="93"/>
      <c r="G35" s="93"/>
      <c r="H35" s="93"/>
      <c r="I35" s="93"/>
    </row>
    <row r="36" spans="1:9" ht="15" customHeight="1" x14ac:dyDescent="0.25">
      <c r="A36" s="32" t="s">
        <v>93</v>
      </c>
      <c r="B36" s="92">
        <f>SUM(C36:I36)</f>
        <v>44864</v>
      </c>
      <c r="C36" s="93">
        <v>29340</v>
      </c>
      <c r="D36" s="93">
        <v>15524</v>
      </c>
      <c r="E36" s="93"/>
      <c r="F36" s="93"/>
      <c r="G36" s="93"/>
      <c r="H36" s="93"/>
      <c r="I36" s="93"/>
    </row>
    <row r="37" spans="1:9" ht="15" customHeight="1" x14ac:dyDescent="0.25">
      <c r="A37" s="32" t="s">
        <v>128</v>
      </c>
      <c r="B37" s="92">
        <f t="shared" si="0"/>
        <v>50043</v>
      </c>
      <c r="C37" s="93">
        <v>34703</v>
      </c>
      <c r="D37" s="93">
        <v>15340</v>
      </c>
      <c r="E37" s="93"/>
      <c r="F37" s="93"/>
      <c r="G37" s="93"/>
      <c r="H37" s="93"/>
      <c r="I37" s="93"/>
    </row>
    <row r="38" spans="1:9" ht="15" customHeight="1" x14ac:dyDescent="0.25">
      <c r="A38" s="32" t="s">
        <v>94</v>
      </c>
      <c r="B38" s="92">
        <f t="shared" si="0"/>
        <v>20658</v>
      </c>
      <c r="C38" s="93">
        <v>15232</v>
      </c>
      <c r="D38" s="93">
        <v>5426</v>
      </c>
      <c r="E38" s="93"/>
      <c r="F38" s="93"/>
      <c r="G38" s="93"/>
      <c r="H38" s="93"/>
      <c r="I38" s="93"/>
    </row>
    <row r="39" spans="1:9" ht="15" customHeight="1" x14ac:dyDescent="0.25">
      <c r="A39" s="32" t="s">
        <v>95</v>
      </c>
      <c r="B39" s="92">
        <f t="shared" si="0"/>
        <v>48906</v>
      </c>
      <c r="C39" s="93">
        <v>42976</v>
      </c>
      <c r="D39" s="93">
        <v>5930</v>
      </c>
      <c r="E39" s="93"/>
      <c r="F39" s="93"/>
      <c r="G39" s="93"/>
      <c r="H39" s="93"/>
      <c r="I39" s="93"/>
    </row>
    <row r="40" spans="1:9" ht="15" customHeight="1" x14ac:dyDescent="0.25">
      <c r="A40" s="32" t="s">
        <v>10</v>
      </c>
      <c r="B40" s="92">
        <f t="shared" si="0"/>
        <v>44053</v>
      </c>
      <c r="C40" s="93">
        <v>34026</v>
      </c>
      <c r="D40" s="93">
        <v>10027</v>
      </c>
      <c r="E40" s="93"/>
      <c r="F40" s="93"/>
      <c r="G40" s="93"/>
      <c r="H40" s="93"/>
      <c r="I40" s="93"/>
    </row>
    <row r="41" spans="1:9" ht="15" customHeight="1" x14ac:dyDescent="0.25">
      <c r="A41" s="32" t="s">
        <v>11</v>
      </c>
      <c r="B41" s="92">
        <f t="shared" si="0"/>
        <v>34012</v>
      </c>
      <c r="C41" s="93">
        <v>28627</v>
      </c>
      <c r="D41" s="93">
        <v>5385</v>
      </c>
      <c r="E41" s="93"/>
      <c r="F41" s="93"/>
      <c r="G41" s="93"/>
      <c r="H41" s="93"/>
      <c r="I41" s="93"/>
    </row>
    <row r="42" spans="1:9" ht="15" customHeight="1" x14ac:dyDescent="0.25">
      <c r="A42" s="32" t="s">
        <v>96</v>
      </c>
      <c r="B42" s="92">
        <f t="shared" si="0"/>
        <v>38568</v>
      </c>
      <c r="C42" s="93">
        <v>26699</v>
      </c>
      <c r="D42" s="93">
        <v>7391</v>
      </c>
      <c r="E42" s="93"/>
      <c r="F42" s="93"/>
      <c r="G42" s="93">
        <v>4478</v>
      </c>
      <c r="H42" s="93"/>
      <c r="I42" s="93"/>
    </row>
    <row r="43" spans="1:9" ht="15" customHeight="1" x14ac:dyDescent="0.25">
      <c r="A43" s="32" t="s">
        <v>12</v>
      </c>
      <c r="B43" s="92">
        <f t="shared" si="0"/>
        <v>39193</v>
      </c>
      <c r="C43" s="93">
        <v>34031</v>
      </c>
      <c r="D43" s="93">
        <v>5162</v>
      </c>
      <c r="E43" s="93"/>
      <c r="F43" s="93"/>
      <c r="G43" s="93"/>
      <c r="H43" s="93"/>
      <c r="I43" s="93"/>
    </row>
    <row r="44" spans="1:9" ht="15" customHeight="1" x14ac:dyDescent="0.25">
      <c r="A44" s="32" t="s">
        <v>89</v>
      </c>
      <c r="B44" s="92">
        <f t="shared" si="0"/>
        <v>77350</v>
      </c>
      <c r="C44" s="93">
        <v>48121</v>
      </c>
      <c r="D44" s="93">
        <v>29229</v>
      </c>
      <c r="E44" s="93"/>
      <c r="F44" s="93"/>
      <c r="G44" s="93"/>
      <c r="H44" s="93"/>
      <c r="I44" s="93"/>
    </row>
    <row r="45" spans="1:9" ht="15" customHeight="1" x14ac:dyDescent="0.25">
      <c r="A45" s="32" t="s">
        <v>97</v>
      </c>
      <c r="B45" s="92">
        <f t="shared" si="0"/>
        <v>37510</v>
      </c>
      <c r="C45" s="93">
        <v>30183</v>
      </c>
      <c r="D45" s="93">
        <v>7327</v>
      </c>
      <c r="E45" s="93"/>
      <c r="F45" s="93"/>
      <c r="G45" s="93"/>
      <c r="H45" s="93"/>
      <c r="I45" s="93"/>
    </row>
    <row r="46" spans="1:9" ht="33" customHeight="1" x14ac:dyDescent="0.25">
      <c r="A46" s="32" t="s">
        <v>90</v>
      </c>
      <c r="B46" s="92">
        <f t="shared" si="0"/>
        <v>123888</v>
      </c>
      <c r="C46" s="93">
        <v>88457</v>
      </c>
      <c r="D46" s="93">
        <v>28431</v>
      </c>
      <c r="E46" s="93"/>
      <c r="F46" s="93"/>
      <c r="G46" s="93">
        <v>7000</v>
      </c>
      <c r="H46" s="93"/>
      <c r="I46" s="93"/>
    </row>
    <row r="47" spans="1:9" ht="30" customHeight="1" x14ac:dyDescent="0.25">
      <c r="A47" s="32" t="s">
        <v>13</v>
      </c>
      <c r="B47" s="92">
        <f t="shared" si="0"/>
        <v>0</v>
      </c>
      <c r="C47" s="93"/>
      <c r="D47" s="93">
        <f>2470+D48</f>
        <v>0</v>
      </c>
      <c r="E47" s="93"/>
      <c r="F47" s="93"/>
      <c r="G47" s="93"/>
      <c r="H47" s="93"/>
      <c r="I47" s="93"/>
    </row>
    <row r="48" spans="1:9" ht="21" customHeight="1" x14ac:dyDescent="0.25">
      <c r="A48" s="116" t="s">
        <v>633</v>
      </c>
      <c r="B48" s="92">
        <f t="shared" si="0"/>
        <v>-2470</v>
      </c>
      <c r="C48" s="93"/>
      <c r="D48" s="93">
        <f>-500-942-1028</f>
        <v>-2470</v>
      </c>
      <c r="E48" s="93"/>
      <c r="F48" s="93"/>
      <c r="G48" s="93"/>
      <c r="H48" s="93"/>
      <c r="I48" s="93"/>
    </row>
    <row r="49" spans="1:9" ht="15" customHeight="1" x14ac:dyDescent="0.25">
      <c r="A49" s="32" t="s">
        <v>14</v>
      </c>
      <c r="B49" s="92">
        <f t="shared" si="0"/>
        <v>45250</v>
      </c>
      <c r="C49" s="93"/>
      <c r="D49" s="93">
        <v>41850</v>
      </c>
      <c r="E49" s="93">
        <v>3400</v>
      </c>
      <c r="F49" s="93"/>
      <c r="G49" s="93"/>
      <c r="H49" s="93"/>
      <c r="I49" s="93"/>
    </row>
    <row r="50" spans="1:9" ht="32.25" customHeight="1" x14ac:dyDescent="0.25">
      <c r="A50" s="32" t="s">
        <v>172</v>
      </c>
      <c r="B50" s="92">
        <f t="shared" si="0"/>
        <v>490050</v>
      </c>
      <c r="C50" s="93"/>
      <c r="D50" s="93">
        <f>23776+D51</f>
        <v>23779</v>
      </c>
      <c r="E50" s="93"/>
      <c r="F50" s="93">
        <f>417830+F51</f>
        <v>466271</v>
      </c>
      <c r="G50" s="93"/>
      <c r="H50" s="93"/>
      <c r="I50" s="93"/>
    </row>
    <row r="51" spans="1:9" ht="27" customHeight="1" x14ac:dyDescent="0.25">
      <c r="A51" s="116" t="s">
        <v>633</v>
      </c>
      <c r="B51" s="92">
        <f t="shared" si="0"/>
        <v>48444</v>
      </c>
      <c r="C51" s="93"/>
      <c r="D51" s="93">
        <v>3</v>
      </c>
      <c r="E51" s="93"/>
      <c r="F51" s="93">
        <v>48441</v>
      </c>
      <c r="G51" s="93"/>
      <c r="H51" s="93"/>
      <c r="I51" s="93"/>
    </row>
    <row r="52" spans="1:9" ht="24" customHeight="1" x14ac:dyDescent="0.25">
      <c r="A52" s="32" t="s">
        <v>249</v>
      </c>
      <c r="B52" s="92">
        <f t="shared" si="0"/>
        <v>0</v>
      </c>
      <c r="C52" s="93"/>
      <c r="D52" s="93"/>
      <c r="E52" s="93"/>
      <c r="F52" s="93"/>
      <c r="G52" s="93">
        <v>0</v>
      </c>
      <c r="H52" s="93"/>
      <c r="I52" s="93"/>
    </row>
    <row r="53" spans="1:9" ht="15" customHeight="1" x14ac:dyDescent="0.25">
      <c r="A53" s="32" t="s">
        <v>15</v>
      </c>
      <c r="B53" s="92">
        <f t="shared" si="0"/>
        <v>85105</v>
      </c>
      <c r="C53" s="93">
        <v>67634</v>
      </c>
      <c r="D53" s="93">
        <v>17471</v>
      </c>
      <c r="E53" s="93"/>
      <c r="F53" s="93"/>
      <c r="G53" s="93"/>
      <c r="H53" s="93"/>
      <c r="I53" s="93"/>
    </row>
    <row r="54" spans="1:9" ht="15" customHeight="1" x14ac:dyDescent="0.25">
      <c r="A54" s="32" t="s">
        <v>16</v>
      </c>
      <c r="B54" s="92">
        <f t="shared" si="0"/>
        <v>171958</v>
      </c>
      <c r="C54" s="93">
        <f>153754+C55</f>
        <v>152070</v>
      </c>
      <c r="D54" s="93">
        <v>19888</v>
      </c>
      <c r="E54" s="93"/>
      <c r="F54" s="93"/>
      <c r="G54" s="93"/>
      <c r="H54" s="93"/>
      <c r="I54" s="93"/>
    </row>
    <row r="55" spans="1:9" ht="15" customHeight="1" x14ac:dyDescent="0.25">
      <c r="A55" s="116" t="s">
        <v>633</v>
      </c>
      <c r="B55" s="92">
        <f t="shared" si="0"/>
        <v>-1684</v>
      </c>
      <c r="C55" s="93">
        <v>-1684</v>
      </c>
      <c r="D55" s="93"/>
      <c r="E55" s="93"/>
      <c r="F55" s="93"/>
      <c r="G55" s="93"/>
      <c r="H55" s="93"/>
      <c r="I55" s="93"/>
    </row>
    <row r="56" spans="1:9" ht="15" customHeight="1" x14ac:dyDescent="0.25">
      <c r="A56" s="33" t="s">
        <v>54</v>
      </c>
      <c r="B56" s="92">
        <f t="shared" si="0"/>
        <v>58605</v>
      </c>
      <c r="C56" s="93">
        <f>54104+C57</f>
        <v>55788</v>
      </c>
      <c r="D56" s="93">
        <v>2817</v>
      </c>
      <c r="E56" s="93"/>
      <c r="F56" s="93"/>
      <c r="G56" s="93"/>
      <c r="H56" s="93"/>
      <c r="I56" s="93"/>
    </row>
    <row r="57" spans="1:9" ht="15" customHeight="1" x14ac:dyDescent="0.25">
      <c r="A57" s="116" t="s">
        <v>633</v>
      </c>
      <c r="B57" s="92">
        <f t="shared" si="0"/>
        <v>1684</v>
      </c>
      <c r="C57" s="93">
        <v>1684</v>
      </c>
      <c r="D57" s="93"/>
      <c r="E57" s="93"/>
      <c r="F57" s="93"/>
      <c r="G57" s="93"/>
      <c r="H57" s="93"/>
      <c r="I57" s="93"/>
    </row>
    <row r="58" spans="1:9" ht="15" customHeight="1" x14ac:dyDescent="0.25">
      <c r="A58" s="32" t="s">
        <v>17</v>
      </c>
      <c r="B58" s="92">
        <f t="shared" si="0"/>
        <v>75147</v>
      </c>
      <c r="C58" s="93">
        <v>73519</v>
      </c>
      <c r="D58" s="93">
        <v>1628</v>
      </c>
      <c r="E58" s="93"/>
      <c r="F58" s="93"/>
      <c r="G58" s="93"/>
      <c r="H58" s="93"/>
      <c r="I58" s="93"/>
    </row>
    <row r="59" spans="1:9" ht="15" customHeight="1" x14ac:dyDescent="0.25">
      <c r="A59" s="32" t="s">
        <v>18</v>
      </c>
      <c r="B59" s="92">
        <f t="shared" si="0"/>
        <v>96522</v>
      </c>
      <c r="C59" s="93"/>
      <c r="D59" s="93">
        <v>96522</v>
      </c>
      <c r="E59" s="93"/>
      <c r="F59" s="93"/>
      <c r="G59" s="93"/>
      <c r="H59" s="93"/>
      <c r="I59" s="93"/>
    </row>
    <row r="60" spans="1:9" ht="33.75" customHeight="1" x14ac:dyDescent="0.25">
      <c r="A60" s="32" t="s">
        <v>58</v>
      </c>
      <c r="B60" s="92">
        <f t="shared" si="0"/>
        <v>3244</v>
      </c>
      <c r="C60" s="93"/>
      <c r="D60" s="93"/>
      <c r="E60" s="93"/>
      <c r="F60" s="93"/>
      <c r="G60" s="93"/>
      <c r="H60" s="93"/>
      <c r="I60" s="93">
        <v>3244</v>
      </c>
    </row>
    <row r="61" spans="1:9" ht="30" customHeight="1" x14ac:dyDescent="0.25">
      <c r="A61" s="32" t="s">
        <v>60</v>
      </c>
      <c r="B61" s="92">
        <f t="shared" si="0"/>
        <v>183983</v>
      </c>
      <c r="C61" s="93">
        <v>83117</v>
      </c>
      <c r="D61" s="93">
        <v>84162</v>
      </c>
      <c r="E61" s="93"/>
      <c r="F61" s="93"/>
      <c r="G61" s="93">
        <v>16704</v>
      </c>
      <c r="H61" s="93"/>
      <c r="I61" s="93"/>
    </row>
    <row r="62" spans="1:9" ht="23.25" customHeight="1" x14ac:dyDescent="0.25">
      <c r="A62" s="34" t="s">
        <v>181</v>
      </c>
      <c r="B62" s="92">
        <f t="shared" si="0"/>
        <v>50000</v>
      </c>
      <c r="C62" s="93"/>
      <c r="D62" s="93"/>
      <c r="E62" s="93">
        <v>50000</v>
      </c>
      <c r="F62" s="93"/>
      <c r="G62" s="93"/>
      <c r="H62" s="93"/>
      <c r="I62" s="93"/>
    </row>
    <row r="63" spans="1:9" ht="15" customHeight="1" x14ac:dyDescent="0.25">
      <c r="A63" s="33" t="s">
        <v>63</v>
      </c>
      <c r="B63" s="92">
        <f>SUM(C63:I63)</f>
        <v>129119</v>
      </c>
      <c r="C63" s="93"/>
      <c r="D63" s="93">
        <f>114937+11226</f>
        <v>126163</v>
      </c>
      <c r="E63" s="93"/>
      <c r="F63" s="93"/>
      <c r="G63" s="93">
        <v>2956</v>
      </c>
      <c r="H63" s="93"/>
      <c r="I63" s="93"/>
    </row>
    <row r="64" spans="1:9" ht="30" customHeight="1" x14ac:dyDescent="0.25">
      <c r="A64" s="33" t="s">
        <v>211</v>
      </c>
      <c r="B64" s="92">
        <f t="shared" si="0"/>
        <v>50713</v>
      </c>
      <c r="C64" s="93"/>
      <c r="D64" s="93">
        <f>46305+4408</f>
        <v>50713</v>
      </c>
      <c r="E64" s="93"/>
      <c r="F64" s="93"/>
      <c r="G64" s="93"/>
      <c r="H64" s="93"/>
      <c r="I64" s="93"/>
    </row>
    <row r="65" spans="1:10" ht="30" customHeight="1" x14ac:dyDescent="0.25">
      <c r="A65" s="33" t="s">
        <v>64</v>
      </c>
      <c r="B65" s="92">
        <f t="shared" si="0"/>
        <v>49403</v>
      </c>
      <c r="C65" s="93"/>
      <c r="D65" s="93">
        <f>36965+D66</f>
        <v>17980</v>
      </c>
      <c r="E65" s="93"/>
      <c r="F65" s="93"/>
      <c r="G65" s="93">
        <f>G66</f>
        <v>31423</v>
      </c>
      <c r="H65" s="93"/>
      <c r="I65" s="93"/>
      <c r="J65" s="46"/>
    </row>
    <row r="66" spans="1:10" ht="15" customHeight="1" x14ac:dyDescent="0.25">
      <c r="A66" s="115" t="s">
        <v>633</v>
      </c>
      <c r="B66" s="92">
        <f t="shared" si="0"/>
        <v>12438</v>
      </c>
      <c r="C66" s="93"/>
      <c r="D66" s="93">
        <v>-18985</v>
      </c>
      <c r="E66" s="93"/>
      <c r="F66" s="93"/>
      <c r="G66" s="93">
        <v>31423</v>
      </c>
      <c r="H66" s="93"/>
      <c r="I66" s="93"/>
      <c r="J66" s="46"/>
    </row>
    <row r="67" spans="1:10" ht="30" customHeight="1" x14ac:dyDescent="0.25">
      <c r="A67" s="33" t="s">
        <v>65</v>
      </c>
      <c r="B67" s="92">
        <f t="shared" si="0"/>
        <v>25081</v>
      </c>
      <c r="C67" s="93"/>
      <c r="D67" s="93">
        <v>25081</v>
      </c>
      <c r="E67" s="93"/>
      <c r="F67" s="93"/>
      <c r="G67" s="93"/>
      <c r="H67" s="93"/>
      <c r="I67" s="93"/>
    </row>
    <row r="68" spans="1:10" ht="15" customHeight="1" x14ac:dyDescent="0.25">
      <c r="A68" s="33" t="s">
        <v>66</v>
      </c>
      <c r="B68" s="92">
        <f t="shared" si="0"/>
        <v>57805</v>
      </c>
      <c r="C68" s="93"/>
      <c r="D68" s="93">
        <f>47038+3772</f>
        <v>50810</v>
      </c>
      <c r="E68" s="93"/>
      <c r="F68" s="93"/>
      <c r="G68" s="93">
        <v>6995</v>
      </c>
      <c r="H68" s="93"/>
      <c r="I68" s="93"/>
    </row>
    <row r="69" spans="1:10" ht="30" customHeight="1" x14ac:dyDescent="0.25">
      <c r="A69" s="33" t="s">
        <v>67</v>
      </c>
      <c r="B69" s="92">
        <f t="shared" si="0"/>
        <v>34444</v>
      </c>
      <c r="C69" s="93"/>
      <c r="D69" s="93">
        <f>32382+2062</f>
        <v>34444</v>
      </c>
      <c r="E69" s="93"/>
      <c r="F69" s="93"/>
      <c r="G69" s="93"/>
      <c r="H69" s="93"/>
      <c r="I69" s="93"/>
    </row>
    <row r="70" spans="1:10" ht="15" customHeight="1" x14ac:dyDescent="0.25">
      <c r="A70" s="33" t="s">
        <v>68</v>
      </c>
      <c r="B70" s="92">
        <f t="shared" si="0"/>
        <v>32803</v>
      </c>
      <c r="C70" s="93"/>
      <c r="D70" s="93">
        <f>31174+1629</f>
        <v>32803</v>
      </c>
      <c r="E70" s="93"/>
      <c r="F70" s="93"/>
      <c r="G70" s="93"/>
      <c r="H70" s="93"/>
      <c r="I70" s="93"/>
    </row>
    <row r="71" spans="1:10" ht="30" customHeight="1" x14ac:dyDescent="0.25">
      <c r="A71" s="33" t="s">
        <v>69</v>
      </c>
      <c r="B71" s="92">
        <f t="shared" si="0"/>
        <v>110540</v>
      </c>
      <c r="C71" s="93"/>
      <c r="D71" s="93">
        <v>110540</v>
      </c>
      <c r="E71" s="93"/>
      <c r="F71" s="93"/>
      <c r="G71" s="93"/>
      <c r="H71" s="93"/>
      <c r="I71" s="93"/>
    </row>
    <row r="72" spans="1:10" ht="15" customHeight="1" x14ac:dyDescent="0.25">
      <c r="A72" s="33" t="s">
        <v>209</v>
      </c>
      <c r="B72" s="92">
        <f t="shared" si="0"/>
        <v>14112</v>
      </c>
      <c r="C72" s="93">
        <v>3041</v>
      </c>
      <c r="D72" s="93">
        <f>10137+934</f>
        <v>11071</v>
      </c>
      <c r="E72" s="93"/>
      <c r="F72" s="93"/>
      <c r="G72" s="93"/>
      <c r="H72" s="93"/>
      <c r="I72" s="93"/>
    </row>
    <row r="73" spans="1:10" ht="30" customHeight="1" x14ac:dyDescent="0.25">
      <c r="A73" s="33" t="s">
        <v>70</v>
      </c>
      <c r="B73" s="92">
        <f t="shared" si="0"/>
        <v>16267</v>
      </c>
      <c r="C73" s="93"/>
      <c r="D73" s="93">
        <f>14853+1414</f>
        <v>16267</v>
      </c>
      <c r="E73" s="93"/>
      <c r="F73" s="93"/>
      <c r="G73" s="93"/>
      <c r="H73" s="93"/>
      <c r="I73" s="93"/>
    </row>
    <row r="74" spans="1:10" ht="15" customHeight="1" x14ac:dyDescent="0.25">
      <c r="A74" s="33" t="s">
        <v>207</v>
      </c>
      <c r="B74" s="92">
        <f t="shared" si="0"/>
        <v>69331</v>
      </c>
      <c r="C74" s="93"/>
      <c r="D74" s="93">
        <f>45170+4161</f>
        <v>49331</v>
      </c>
      <c r="E74" s="93"/>
      <c r="F74" s="93"/>
      <c r="G74" s="93">
        <v>20000</v>
      </c>
      <c r="H74" s="93"/>
      <c r="I74" s="93"/>
    </row>
    <row r="75" spans="1:10" ht="30" customHeight="1" x14ac:dyDescent="0.25">
      <c r="A75" s="33" t="s">
        <v>208</v>
      </c>
      <c r="B75" s="92">
        <f t="shared" si="0"/>
        <v>34367</v>
      </c>
      <c r="C75" s="93"/>
      <c r="D75" s="93">
        <f>31380+2987</f>
        <v>34367</v>
      </c>
      <c r="E75" s="93"/>
      <c r="F75" s="93"/>
      <c r="G75" s="93"/>
      <c r="H75" s="93"/>
      <c r="I75" s="93"/>
    </row>
    <row r="76" spans="1:10" ht="30" customHeight="1" x14ac:dyDescent="0.25">
      <c r="A76" s="33" t="s">
        <v>210</v>
      </c>
      <c r="B76" s="92">
        <f t="shared" si="0"/>
        <v>230121</v>
      </c>
      <c r="C76" s="93"/>
      <c r="D76" s="93">
        <f>29110+6011</f>
        <v>35121</v>
      </c>
      <c r="E76" s="93"/>
      <c r="F76" s="93"/>
      <c r="G76" s="93">
        <v>195000</v>
      </c>
      <c r="H76" s="93"/>
      <c r="I76" s="93"/>
    </row>
    <row r="77" spans="1:10" ht="30" customHeight="1" x14ac:dyDescent="0.25">
      <c r="A77" s="33" t="s">
        <v>212</v>
      </c>
      <c r="B77" s="92">
        <f t="shared" si="0"/>
        <v>43410</v>
      </c>
      <c r="C77" s="93">
        <v>6797</v>
      </c>
      <c r="D77" s="93">
        <f>14030+2583</f>
        <v>16613</v>
      </c>
      <c r="E77" s="93"/>
      <c r="F77" s="93"/>
      <c r="G77" s="93">
        <v>20000</v>
      </c>
      <c r="H77" s="93"/>
      <c r="I77" s="93"/>
    </row>
    <row r="78" spans="1:10" ht="15" customHeight="1" x14ac:dyDescent="0.25">
      <c r="A78" s="33" t="s">
        <v>213</v>
      </c>
      <c r="B78" s="92">
        <f t="shared" si="0"/>
        <v>73427</v>
      </c>
      <c r="C78" s="93"/>
      <c r="D78" s="93">
        <f>42017+4410</f>
        <v>46427</v>
      </c>
      <c r="E78" s="93"/>
      <c r="F78" s="93"/>
      <c r="G78" s="93">
        <v>27000</v>
      </c>
      <c r="H78" s="93"/>
      <c r="I78" s="93"/>
    </row>
    <row r="79" spans="1:10" ht="30" customHeight="1" x14ac:dyDescent="0.25">
      <c r="A79" s="33" t="s">
        <v>71</v>
      </c>
      <c r="B79" s="92">
        <f t="shared" si="0"/>
        <v>42152</v>
      </c>
      <c r="C79" s="93"/>
      <c r="D79" s="93">
        <f>38735+3417</f>
        <v>42152</v>
      </c>
      <c r="E79" s="93"/>
      <c r="F79" s="93"/>
      <c r="G79" s="93"/>
      <c r="H79" s="93"/>
      <c r="I79" s="93"/>
    </row>
    <row r="80" spans="1:10" ht="15" customHeight="1" x14ac:dyDescent="0.25">
      <c r="A80" s="33" t="s">
        <v>72</v>
      </c>
      <c r="B80" s="92">
        <f t="shared" si="0"/>
        <v>21814</v>
      </c>
      <c r="C80" s="93"/>
      <c r="D80" s="93">
        <f>20681+1133</f>
        <v>21814</v>
      </c>
      <c r="E80" s="93"/>
      <c r="F80" s="93"/>
      <c r="G80" s="93"/>
      <c r="H80" s="93"/>
      <c r="I80" s="93"/>
    </row>
    <row r="81" spans="1:9" ht="30" customHeight="1" x14ac:dyDescent="0.25">
      <c r="A81" s="33" t="s">
        <v>216</v>
      </c>
      <c r="B81" s="92">
        <f t="shared" si="0"/>
        <v>30582</v>
      </c>
      <c r="C81" s="93">
        <v>7014</v>
      </c>
      <c r="D81" s="93">
        <f>21529+2039</f>
        <v>23568</v>
      </c>
      <c r="E81" s="93"/>
      <c r="F81" s="93"/>
      <c r="G81" s="93"/>
      <c r="H81" s="93"/>
      <c r="I81" s="93"/>
    </row>
    <row r="82" spans="1:9" ht="15" customHeight="1" x14ac:dyDescent="0.25">
      <c r="A82" s="33" t="s">
        <v>73</v>
      </c>
      <c r="B82" s="92">
        <f t="shared" si="0"/>
        <v>27743</v>
      </c>
      <c r="C82" s="93"/>
      <c r="D82" s="93">
        <f>25715+2028</f>
        <v>27743</v>
      </c>
      <c r="E82" s="93"/>
      <c r="F82" s="93"/>
      <c r="G82" s="93"/>
      <c r="H82" s="93"/>
      <c r="I82" s="93"/>
    </row>
    <row r="83" spans="1:9" ht="30.75" customHeight="1" x14ac:dyDescent="0.25">
      <c r="A83" s="33" t="s">
        <v>214</v>
      </c>
      <c r="B83" s="92">
        <f t="shared" si="0"/>
        <v>9699</v>
      </c>
      <c r="C83" s="93"/>
      <c r="D83" s="93">
        <f>8898+801</f>
        <v>9699</v>
      </c>
      <c r="E83" s="93"/>
      <c r="F83" s="93"/>
      <c r="G83" s="93"/>
      <c r="H83" s="93"/>
      <c r="I83" s="93"/>
    </row>
    <row r="84" spans="1:9" ht="15" customHeight="1" x14ac:dyDescent="0.25">
      <c r="A84" s="33" t="s">
        <v>215</v>
      </c>
      <c r="B84" s="92">
        <f t="shared" si="0"/>
        <v>40967</v>
      </c>
      <c r="C84" s="93"/>
      <c r="D84" s="93">
        <f>38471+2496</f>
        <v>40967</v>
      </c>
      <c r="E84" s="93"/>
      <c r="F84" s="93"/>
      <c r="G84" s="93"/>
      <c r="H84" s="93"/>
      <c r="I84" s="93"/>
    </row>
    <row r="85" spans="1:9" ht="30" customHeight="1" x14ac:dyDescent="0.25">
      <c r="A85" s="33" t="s">
        <v>588</v>
      </c>
      <c r="B85" s="92">
        <f t="shared" si="0"/>
        <v>120334</v>
      </c>
      <c r="C85" s="93"/>
      <c r="D85" s="93">
        <v>120334</v>
      </c>
      <c r="E85" s="93"/>
      <c r="F85" s="93"/>
      <c r="G85" s="93"/>
      <c r="H85" s="93"/>
      <c r="I85" s="93"/>
    </row>
    <row r="86" spans="1:9" ht="30" customHeight="1" x14ac:dyDescent="0.25">
      <c r="A86" s="114" t="s">
        <v>652</v>
      </c>
      <c r="B86" s="92">
        <f t="shared" si="0"/>
        <v>88197</v>
      </c>
      <c r="C86" s="93"/>
      <c r="D86" s="93"/>
      <c r="E86" s="93"/>
      <c r="F86" s="93"/>
      <c r="G86" s="93">
        <v>88197</v>
      </c>
      <c r="H86" s="93"/>
      <c r="I86" s="93"/>
    </row>
    <row r="87" spans="1:9" ht="15" customHeight="1" x14ac:dyDescent="0.25">
      <c r="A87" s="31" t="s">
        <v>129</v>
      </c>
      <c r="B87" s="92">
        <f t="shared" si="0"/>
        <v>176606</v>
      </c>
      <c r="C87" s="93">
        <v>2225</v>
      </c>
      <c r="D87" s="93"/>
      <c r="E87" s="93"/>
      <c r="F87" s="93"/>
      <c r="G87" s="93"/>
      <c r="H87" s="93">
        <v>171000</v>
      </c>
      <c r="I87" s="93">
        <v>3381</v>
      </c>
    </row>
    <row r="88" spans="1:9" ht="21.75" customHeight="1" x14ac:dyDescent="0.25">
      <c r="A88" s="31" t="s">
        <v>130</v>
      </c>
      <c r="B88" s="92">
        <f t="shared" si="0"/>
        <v>21860</v>
      </c>
      <c r="C88" s="93">
        <v>17524</v>
      </c>
      <c r="D88" s="93">
        <v>4336</v>
      </c>
      <c r="E88" s="93"/>
      <c r="F88" s="93"/>
      <c r="G88" s="93"/>
      <c r="H88" s="93"/>
      <c r="I88" s="93"/>
    </row>
    <row r="89" spans="1:9" ht="38.25" customHeight="1" x14ac:dyDescent="0.25">
      <c r="A89" s="32" t="s">
        <v>80</v>
      </c>
      <c r="B89" s="92">
        <f t="shared" si="0"/>
        <v>3057</v>
      </c>
      <c r="C89" s="93"/>
      <c r="D89" s="93"/>
      <c r="E89" s="93"/>
      <c r="F89" s="93"/>
      <c r="G89" s="93">
        <v>3057</v>
      </c>
      <c r="H89" s="93"/>
      <c r="I89" s="93"/>
    </row>
    <row r="90" spans="1:9" ht="42.75" customHeight="1" x14ac:dyDescent="0.25">
      <c r="A90" s="33" t="s">
        <v>590</v>
      </c>
      <c r="B90" s="92">
        <f t="shared" si="0"/>
        <v>21910</v>
      </c>
      <c r="C90" s="93"/>
      <c r="D90" s="93">
        <v>21910</v>
      </c>
      <c r="E90" s="93"/>
      <c r="F90" s="93"/>
      <c r="G90" s="93"/>
      <c r="H90" s="93"/>
      <c r="I90" s="93"/>
    </row>
    <row r="91" spans="1:9" ht="51" customHeight="1" x14ac:dyDescent="0.25">
      <c r="A91" s="34" t="s">
        <v>241</v>
      </c>
      <c r="B91" s="92">
        <f t="shared" si="0"/>
        <v>134310</v>
      </c>
      <c r="C91" s="93"/>
      <c r="D91" s="93"/>
      <c r="E91" s="93"/>
      <c r="F91" s="93"/>
      <c r="G91" s="93">
        <v>134310</v>
      </c>
      <c r="H91" s="93"/>
      <c r="I91" s="93"/>
    </row>
    <row r="92" spans="1:9" ht="30" customHeight="1" x14ac:dyDescent="0.25">
      <c r="A92" s="34" t="s">
        <v>636</v>
      </c>
      <c r="B92" s="92">
        <f t="shared" si="0"/>
        <v>80000</v>
      </c>
      <c r="C92" s="93">
        <v>4360</v>
      </c>
      <c r="D92" s="93">
        <v>300</v>
      </c>
      <c r="E92" s="93"/>
      <c r="F92" s="93"/>
      <c r="G92" s="93">
        <v>75340</v>
      </c>
      <c r="H92" s="93"/>
      <c r="I92" s="93"/>
    </row>
    <row r="93" spans="1:9" ht="35.25" customHeight="1" x14ac:dyDescent="0.25">
      <c r="A93" s="34" t="s">
        <v>637</v>
      </c>
      <c r="B93" s="92">
        <f t="shared" si="0"/>
        <v>40000</v>
      </c>
      <c r="C93" s="93"/>
      <c r="D93" s="93">
        <v>10355</v>
      </c>
      <c r="E93" s="93"/>
      <c r="F93" s="93"/>
      <c r="G93" s="93">
        <v>29645</v>
      </c>
      <c r="H93" s="93"/>
      <c r="I93" s="93"/>
    </row>
    <row r="94" spans="1:9" ht="46.5" customHeight="1" x14ac:dyDescent="0.25">
      <c r="A94" s="34" t="s">
        <v>638</v>
      </c>
      <c r="B94" s="92">
        <f t="shared" si="0"/>
        <v>20000</v>
      </c>
      <c r="C94" s="93"/>
      <c r="D94" s="93">
        <v>8000</v>
      </c>
      <c r="E94" s="93"/>
      <c r="F94" s="93"/>
      <c r="G94" s="93">
        <v>12000</v>
      </c>
      <c r="H94" s="93"/>
      <c r="I94" s="93"/>
    </row>
    <row r="95" spans="1:9" ht="42.75" customHeight="1" x14ac:dyDescent="0.25">
      <c r="A95" s="34" t="s">
        <v>639</v>
      </c>
      <c r="B95" s="92">
        <f t="shared" si="0"/>
        <v>67000</v>
      </c>
      <c r="C95" s="93"/>
      <c r="D95" s="93">
        <v>16443</v>
      </c>
      <c r="E95" s="93"/>
      <c r="F95" s="93"/>
      <c r="G95" s="93">
        <v>50557</v>
      </c>
      <c r="H95" s="93"/>
      <c r="I95" s="93"/>
    </row>
    <row r="96" spans="1:9" ht="36.75" customHeight="1" x14ac:dyDescent="0.25">
      <c r="A96" s="34" t="s">
        <v>642</v>
      </c>
      <c r="B96" s="92">
        <f t="shared" si="0"/>
        <v>35786</v>
      </c>
      <c r="C96" s="93">
        <v>2796</v>
      </c>
      <c r="D96" s="93">
        <v>27490</v>
      </c>
      <c r="E96" s="93"/>
      <c r="F96" s="93"/>
      <c r="G96" s="93">
        <v>5500</v>
      </c>
      <c r="H96" s="93"/>
      <c r="I96" s="93"/>
    </row>
    <row r="97" spans="1:11" ht="48" customHeight="1" x14ac:dyDescent="0.25">
      <c r="A97" s="34" t="s">
        <v>648</v>
      </c>
      <c r="B97" s="92">
        <f t="shared" si="0"/>
        <v>15000</v>
      </c>
      <c r="C97" s="93"/>
      <c r="D97" s="93">
        <v>15000</v>
      </c>
      <c r="E97" s="93"/>
      <c r="F97" s="93"/>
      <c r="G97" s="93"/>
      <c r="H97" s="93"/>
      <c r="I97" s="93"/>
    </row>
    <row r="98" spans="1:11" ht="45.75" customHeight="1" x14ac:dyDescent="0.25">
      <c r="A98" s="32" t="s">
        <v>74</v>
      </c>
      <c r="B98" s="92">
        <f t="shared" ref="B98:B167" si="1">SUM(C98:I98)</f>
        <v>85012</v>
      </c>
      <c r="C98" s="93"/>
      <c r="D98" s="93">
        <v>85012</v>
      </c>
      <c r="E98" s="93"/>
      <c r="F98" s="93"/>
      <c r="G98" s="93"/>
      <c r="H98" s="93"/>
      <c r="I98" s="93"/>
    </row>
    <row r="99" spans="1:11" ht="32.25" customHeight="1" x14ac:dyDescent="0.25">
      <c r="A99" s="31" t="s">
        <v>322</v>
      </c>
      <c r="B99" s="92">
        <f t="shared" si="1"/>
        <v>10600</v>
      </c>
      <c r="C99" s="93"/>
      <c r="D99" s="93">
        <v>10600</v>
      </c>
      <c r="E99" s="93"/>
      <c r="F99" s="93"/>
      <c r="G99" s="93"/>
      <c r="H99" s="93"/>
      <c r="I99" s="93"/>
    </row>
    <row r="100" spans="1:11" ht="30" customHeight="1" x14ac:dyDescent="0.25">
      <c r="A100" s="34" t="s">
        <v>587</v>
      </c>
      <c r="B100" s="92">
        <f t="shared" si="1"/>
        <v>5438</v>
      </c>
      <c r="C100" s="93"/>
      <c r="D100" s="93">
        <f>6625+D101</f>
        <v>5438</v>
      </c>
      <c r="E100" s="93"/>
      <c r="F100" s="93"/>
      <c r="G100" s="93"/>
      <c r="H100" s="93"/>
      <c r="I100" s="93"/>
    </row>
    <row r="101" spans="1:11" ht="21" customHeight="1" x14ac:dyDescent="0.25">
      <c r="A101" s="120" t="s">
        <v>633</v>
      </c>
      <c r="B101" s="92">
        <f t="shared" si="1"/>
        <v>-1187</v>
      </c>
      <c r="C101" s="93"/>
      <c r="D101" s="93">
        <v>-1187</v>
      </c>
      <c r="E101" s="93"/>
      <c r="F101" s="93"/>
      <c r="G101" s="93"/>
      <c r="H101" s="93"/>
      <c r="I101" s="93"/>
    </row>
    <row r="102" spans="1:11" ht="33" customHeight="1" x14ac:dyDescent="0.25">
      <c r="A102" s="34" t="s">
        <v>244</v>
      </c>
      <c r="B102" s="92">
        <f t="shared" si="1"/>
        <v>4824</v>
      </c>
      <c r="C102" s="93"/>
      <c r="D102" s="93">
        <f>5359+D103</f>
        <v>4824</v>
      </c>
      <c r="E102" s="93"/>
      <c r="F102" s="93"/>
      <c r="G102" s="93"/>
      <c r="H102" s="93"/>
      <c r="I102" s="93"/>
    </row>
    <row r="103" spans="1:11" ht="24" customHeight="1" x14ac:dyDescent="0.25">
      <c r="A103" s="120" t="s">
        <v>633</v>
      </c>
      <c r="B103" s="92">
        <f t="shared" si="1"/>
        <v>-535</v>
      </c>
      <c r="C103" s="93"/>
      <c r="D103" s="93">
        <v>-535</v>
      </c>
      <c r="E103" s="93"/>
      <c r="F103" s="93"/>
      <c r="G103" s="93"/>
      <c r="H103" s="93"/>
      <c r="I103" s="93"/>
      <c r="K103" s="46"/>
    </row>
    <row r="104" spans="1:11" ht="30" customHeight="1" x14ac:dyDescent="0.25">
      <c r="A104" s="34" t="s">
        <v>583</v>
      </c>
      <c r="B104" s="92">
        <f t="shared" si="1"/>
        <v>5539</v>
      </c>
      <c r="C104" s="93"/>
      <c r="D104" s="93">
        <v>5539</v>
      </c>
      <c r="E104" s="93"/>
      <c r="F104" s="93"/>
      <c r="G104" s="93"/>
      <c r="H104" s="93"/>
      <c r="I104" s="93"/>
    </row>
    <row r="105" spans="1:11" ht="36" customHeight="1" x14ac:dyDescent="0.25">
      <c r="A105" s="34" t="s">
        <v>231</v>
      </c>
      <c r="B105" s="92">
        <f t="shared" si="1"/>
        <v>4042</v>
      </c>
      <c r="C105" s="93"/>
      <c r="D105" s="93">
        <v>4042</v>
      </c>
      <c r="E105" s="93"/>
      <c r="F105" s="93"/>
      <c r="G105" s="93"/>
      <c r="H105" s="93"/>
      <c r="I105" s="93"/>
    </row>
    <row r="106" spans="1:11" ht="30" customHeight="1" x14ac:dyDescent="0.25">
      <c r="A106" s="34" t="s">
        <v>234</v>
      </c>
      <c r="B106" s="92">
        <f t="shared" si="1"/>
        <v>6752</v>
      </c>
      <c r="C106" s="93"/>
      <c r="D106" s="93">
        <v>6752</v>
      </c>
      <c r="E106" s="93"/>
      <c r="F106" s="93"/>
      <c r="G106" s="93"/>
      <c r="H106" s="93"/>
      <c r="I106" s="93"/>
    </row>
    <row r="107" spans="1:11" ht="35.25" customHeight="1" x14ac:dyDescent="0.25">
      <c r="A107" s="34" t="s">
        <v>135</v>
      </c>
      <c r="B107" s="92">
        <f t="shared" si="1"/>
        <v>4700</v>
      </c>
      <c r="C107" s="93"/>
      <c r="D107" s="93">
        <v>4700</v>
      </c>
      <c r="E107" s="93"/>
      <c r="F107" s="93"/>
      <c r="G107" s="93"/>
      <c r="H107" s="93"/>
      <c r="I107" s="93"/>
    </row>
    <row r="108" spans="1:11" ht="30" customHeight="1" x14ac:dyDescent="0.25">
      <c r="A108" s="33" t="s">
        <v>323</v>
      </c>
      <c r="B108" s="92">
        <f t="shared" si="1"/>
        <v>9944</v>
      </c>
      <c r="C108" s="93"/>
      <c r="D108" s="93">
        <v>9944</v>
      </c>
      <c r="E108" s="93"/>
      <c r="F108" s="93"/>
      <c r="G108" s="93"/>
      <c r="H108" s="93"/>
      <c r="I108" s="93"/>
    </row>
    <row r="109" spans="1:11" ht="34.5" customHeight="1" x14ac:dyDescent="0.25">
      <c r="A109" s="33" t="s">
        <v>582</v>
      </c>
      <c r="B109" s="92">
        <f t="shared" si="1"/>
        <v>550</v>
      </c>
      <c r="C109" s="93"/>
      <c r="D109" s="93">
        <v>550</v>
      </c>
      <c r="E109" s="93"/>
      <c r="F109" s="93"/>
      <c r="G109" s="93"/>
      <c r="H109" s="93"/>
      <c r="I109" s="93"/>
    </row>
    <row r="110" spans="1:11" ht="30" customHeight="1" x14ac:dyDescent="0.25">
      <c r="A110" s="34" t="s">
        <v>132</v>
      </c>
      <c r="B110" s="92">
        <f t="shared" si="1"/>
        <v>10106</v>
      </c>
      <c r="C110" s="93"/>
      <c r="D110" s="93">
        <v>10106</v>
      </c>
      <c r="E110" s="93"/>
      <c r="F110" s="93"/>
      <c r="G110" s="93"/>
      <c r="H110" s="93"/>
      <c r="I110" s="93"/>
      <c r="K110" s="46"/>
    </row>
    <row r="111" spans="1:11" ht="30" customHeight="1" x14ac:dyDescent="0.25">
      <c r="A111" s="34" t="s">
        <v>134</v>
      </c>
      <c r="B111" s="92">
        <f t="shared" si="1"/>
        <v>1513</v>
      </c>
      <c r="C111" s="93"/>
      <c r="D111" s="93">
        <v>1513</v>
      </c>
      <c r="E111" s="93"/>
      <c r="F111" s="93"/>
      <c r="G111" s="93"/>
      <c r="H111" s="93"/>
      <c r="I111" s="93"/>
    </row>
    <row r="112" spans="1:11" ht="31.5" customHeight="1" x14ac:dyDescent="0.25">
      <c r="A112" s="33" t="s">
        <v>321</v>
      </c>
      <c r="B112" s="92">
        <f t="shared" si="1"/>
        <v>9464</v>
      </c>
      <c r="C112" s="93"/>
      <c r="D112" s="93">
        <v>9464</v>
      </c>
      <c r="E112" s="93"/>
      <c r="F112" s="93"/>
      <c r="G112" s="93"/>
      <c r="H112" s="93"/>
      <c r="I112" s="93"/>
    </row>
    <row r="113" spans="1:9" ht="27.75" customHeight="1" x14ac:dyDescent="0.25">
      <c r="A113" s="34" t="s">
        <v>246</v>
      </c>
      <c r="B113" s="92">
        <f t="shared" si="1"/>
        <v>10230</v>
      </c>
      <c r="C113" s="93"/>
      <c r="D113" s="93">
        <v>10230</v>
      </c>
      <c r="E113" s="93"/>
      <c r="F113" s="93"/>
      <c r="G113" s="93"/>
      <c r="H113" s="93"/>
      <c r="I113" s="93"/>
    </row>
    <row r="114" spans="1:9" ht="30" customHeight="1" x14ac:dyDescent="0.25">
      <c r="A114" s="34" t="s">
        <v>133</v>
      </c>
      <c r="B114" s="92">
        <f t="shared" si="1"/>
        <v>730</v>
      </c>
      <c r="C114" s="93"/>
      <c r="D114" s="93">
        <v>730</v>
      </c>
      <c r="E114" s="93"/>
      <c r="F114" s="93"/>
      <c r="G114" s="93"/>
      <c r="H114" s="93"/>
      <c r="I114" s="93"/>
    </row>
    <row r="115" spans="1:9" ht="32.25" customHeight="1" x14ac:dyDescent="0.25">
      <c r="A115" s="34" t="s">
        <v>136</v>
      </c>
      <c r="B115" s="92">
        <f t="shared" si="1"/>
        <v>3508</v>
      </c>
      <c r="C115" s="93"/>
      <c r="D115" s="93">
        <v>3508</v>
      </c>
      <c r="E115" s="93"/>
      <c r="F115" s="93"/>
      <c r="G115" s="93"/>
      <c r="H115" s="93"/>
      <c r="I115" s="93"/>
    </row>
    <row r="116" spans="1:9" ht="45" customHeight="1" x14ac:dyDescent="0.25">
      <c r="A116" s="34" t="s">
        <v>623</v>
      </c>
      <c r="B116" s="92">
        <f t="shared" si="1"/>
        <v>22206</v>
      </c>
      <c r="C116" s="93"/>
      <c r="D116" s="93">
        <f>18269+D117</f>
        <v>22206</v>
      </c>
      <c r="E116" s="93"/>
      <c r="F116" s="93"/>
      <c r="G116" s="93"/>
      <c r="H116" s="93"/>
      <c r="I116" s="93"/>
    </row>
    <row r="117" spans="1:9" ht="26.25" customHeight="1" x14ac:dyDescent="0.25">
      <c r="A117" s="120" t="s">
        <v>633</v>
      </c>
      <c r="B117" s="92">
        <f t="shared" si="1"/>
        <v>3937</v>
      </c>
      <c r="C117" s="93"/>
      <c r="D117" s="93">
        <v>3937</v>
      </c>
      <c r="E117" s="93"/>
      <c r="F117" s="93"/>
      <c r="G117" s="93"/>
      <c r="H117" s="93"/>
      <c r="I117" s="93"/>
    </row>
    <row r="118" spans="1:9" ht="30" customHeight="1" x14ac:dyDescent="0.25">
      <c r="A118" s="34" t="s">
        <v>584</v>
      </c>
      <c r="B118" s="92">
        <f t="shared" si="1"/>
        <v>6870</v>
      </c>
      <c r="C118" s="93"/>
      <c r="D118" s="93">
        <v>6870</v>
      </c>
      <c r="E118" s="93"/>
      <c r="F118" s="93"/>
      <c r="G118" s="93"/>
      <c r="H118" s="93"/>
      <c r="I118" s="93"/>
    </row>
    <row r="119" spans="1:9" ht="30" customHeight="1" x14ac:dyDescent="0.25">
      <c r="A119" s="34" t="s">
        <v>137</v>
      </c>
      <c r="B119" s="92">
        <f t="shared" si="1"/>
        <v>7985</v>
      </c>
      <c r="C119" s="93"/>
      <c r="D119" s="93">
        <v>7985</v>
      </c>
      <c r="E119" s="93"/>
      <c r="F119" s="93"/>
      <c r="G119" s="93"/>
      <c r="H119" s="93"/>
      <c r="I119" s="93"/>
    </row>
    <row r="120" spans="1:9" ht="45" customHeight="1" x14ac:dyDescent="0.25">
      <c r="A120" s="34" t="s">
        <v>131</v>
      </c>
      <c r="B120" s="92">
        <f t="shared" si="1"/>
        <v>3510</v>
      </c>
      <c r="C120" s="93"/>
      <c r="D120" s="93">
        <v>3510</v>
      </c>
      <c r="E120" s="93"/>
      <c r="F120" s="93"/>
      <c r="G120" s="93"/>
      <c r="H120" s="93"/>
      <c r="I120" s="93"/>
    </row>
    <row r="121" spans="1:9" ht="24" customHeight="1" x14ac:dyDescent="0.25">
      <c r="A121" s="32" t="s">
        <v>19</v>
      </c>
      <c r="B121" s="92">
        <f t="shared" si="1"/>
        <v>138101</v>
      </c>
      <c r="C121" s="93"/>
      <c r="D121" s="93">
        <v>119842</v>
      </c>
      <c r="E121" s="93"/>
      <c r="F121" s="93"/>
      <c r="G121" s="93">
        <v>18259</v>
      </c>
      <c r="H121" s="93"/>
      <c r="I121" s="93"/>
    </row>
    <row r="122" spans="1:9" ht="30" customHeight="1" x14ac:dyDescent="0.25">
      <c r="A122" s="35" t="s">
        <v>174</v>
      </c>
      <c r="B122" s="92">
        <f t="shared" si="1"/>
        <v>6601</v>
      </c>
      <c r="C122" s="94"/>
      <c r="D122" s="93">
        <v>6601</v>
      </c>
      <c r="E122" s="93"/>
      <c r="F122" s="93"/>
      <c r="G122" s="94"/>
      <c r="H122" s="93"/>
      <c r="I122" s="93"/>
    </row>
    <row r="123" spans="1:9" ht="45" customHeight="1" x14ac:dyDescent="0.25">
      <c r="A123" s="35" t="s">
        <v>173</v>
      </c>
      <c r="B123" s="92">
        <f t="shared" si="1"/>
        <v>3089</v>
      </c>
      <c r="C123" s="95"/>
      <c r="D123" s="93">
        <v>3089</v>
      </c>
      <c r="E123" s="93"/>
      <c r="F123" s="93"/>
      <c r="G123" s="95"/>
      <c r="H123" s="93"/>
      <c r="I123" s="93"/>
    </row>
    <row r="124" spans="1:9" ht="33" customHeight="1" x14ac:dyDescent="0.25">
      <c r="A124" s="32" t="s">
        <v>180</v>
      </c>
      <c r="B124" s="92">
        <f t="shared" si="1"/>
        <v>95426</v>
      </c>
      <c r="C124" s="93"/>
      <c r="D124" s="93">
        <v>95426</v>
      </c>
      <c r="E124" s="93"/>
      <c r="F124" s="93"/>
      <c r="G124" s="93"/>
      <c r="H124" s="93"/>
      <c r="I124" s="93"/>
    </row>
    <row r="125" spans="1:9" ht="30" customHeight="1" x14ac:dyDescent="0.25">
      <c r="A125" s="32" t="s">
        <v>183</v>
      </c>
      <c r="B125" s="92">
        <f>SUM(C125:I125)</f>
        <v>205575</v>
      </c>
      <c r="C125" s="93"/>
      <c r="D125" s="93">
        <v>160391</v>
      </c>
      <c r="E125" s="93"/>
      <c r="F125" s="93"/>
      <c r="G125" s="93">
        <v>6934</v>
      </c>
      <c r="H125" s="93">
        <v>38250</v>
      </c>
      <c r="I125" s="93"/>
    </row>
    <row r="126" spans="1:9" ht="30" customHeight="1" x14ac:dyDescent="0.25">
      <c r="A126" s="32" t="s">
        <v>20</v>
      </c>
      <c r="B126" s="92">
        <f t="shared" si="1"/>
        <v>30049</v>
      </c>
      <c r="C126" s="93">
        <v>24958</v>
      </c>
      <c r="D126" s="93">
        <v>5091</v>
      </c>
      <c r="E126" s="93"/>
      <c r="F126" s="93"/>
      <c r="G126" s="93"/>
      <c r="H126" s="93"/>
      <c r="I126" s="93"/>
    </row>
    <row r="127" spans="1:9" ht="30" customHeight="1" x14ac:dyDescent="0.25">
      <c r="A127" s="32" t="s">
        <v>278</v>
      </c>
      <c r="B127" s="92">
        <f t="shared" si="1"/>
        <v>64424</v>
      </c>
      <c r="C127" s="93">
        <v>40502</v>
      </c>
      <c r="D127" s="93">
        <v>23922</v>
      </c>
      <c r="E127" s="93"/>
      <c r="F127" s="93"/>
      <c r="G127" s="93"/>
      <c r="H127" s="93"/>
      <c r="I127" s="93"/>
    </row>
    <row r="128" spans="1:9" ht="30" customHeight="1" x14ac:dyDescent="0.25">
      <c r="A128" s="32" t="s">
        <v>21</v>
      </c>
      <c r="B128" s="92">
        <f t="shared" si="1"/>
        <v>34740</v>
      </c>
      <c r="C128" s="93">
        <f>29649+C129</f>
        <v>30184</v>
      </c>
      <c r="D128" s="93">
        <v>4556</v>
      </c>
      <c r="E128" s="93"/>
      <c r="F128" s="93"/>
      <c r="G128" s="93"/>
      <c r="H128" s="93"/>
      <c r="I128" s="93"/>
    </row>
    <row r="129" spans="1:9" ht="23.25" customHeight="1" x14ac:dyDescent="0.25">
      <c r="A129" s="116" t="s">
        <v>633</v>
      </c>
      <c r="B129" s="92">
        <f t="shared" si="1"/>
        <v>535</v>
      </c>
      <c r="C129" s="93">
        <v>535</v>
      </c>
      <c r="D129" s="93"/>
      <c r="E129" s="93"/>
      <c r="F129" s="93"/>
      <c r="G129" s="93"/>
      <c r="H129" s="93"/>
      <c r="I129" s="93"/>
    </row>
    <row r="130" spans="1:9" ht="30" customHeight="1" x14ac:dyDescent="0.25">
      <c r="A130" s="32" t="s">
        <v>22</v>
      </c>
      <c r="B130" s="92">
        <f t="shared" si="1"/>
        <v>41764</v>
      </c>
      <c r="C130" s="93">
        <v>32370</v>
      </c>
      <c r="D130" s="93">
        <v>9394</v>
      </c>
      <c r="E130" s="93"/>
      <c r="F130" s="93"/>
      <c r="G130" s="93"/>
      <c r="H130" s="93"/>
      <c r="I130" s="93"/>
    </row>
    <row r="131" spans="1:9" ht="30" customHeight="1" x14ac:dyDescent="0.25">
      <c r="A131" s="32" t="s">
        <v>23</v>
      </c>
      <c r="B131" s="92">
        <f t="shared" si="1"/>
        <v>21120</v>
      </c>
      <c r="C131" s="93">
        <v>12851</v>
      </c>
      <c r="D131" s="93">
        <v>8269</v>
      </c>
      <c r="E131" s="93"/>
      <c r="F131" s="93"/>
      <c r="G131" s="93"/>
      <c r="H131" s="93"/>
      <c r="I131" s="93"/>
    </row>
    <row r="132" spans="1:9" ht="30" customHeight="1" x14ac:dyDescent="0.25">
      <c r="A132" s="32" t="s">
        <v>24</v>
      </c>
      <c r="B132" s="92">
        <f t="shared" si="1"/>
        <v>65563</v>
      </c>
      <c r="C132" s="93">
        <v>53633</v>
      </c>
      <c r="D132" s="93">
        <v>11930</v>
      </c>
      <c r="E132" s="93"/>
      <c r="F132" s="93"/>
      <c r="G132" s="93"/>
      <c r="H132" s="93"/>
      <c r="I132" s="93"/>
    </row>
    <row r="133" spans="1:9" ht="30" customHeight="1" x14ac:dyDescent="0.25">
      <c r="A133" s="34" t="s">
        <v>324</v>
      </c>
      <c r="B133" s="92">
        <f t="shared" si="1"/>
        <v>78154</v>
      </c>
      <c r="C133" s="93">
        <v>26654</v>
      </c>
      <c r="D133" s="93">
        <v>51500</v>
      </c>
      <c r="E133" s="93"/>
      <c r="F133" s="93"/>
      <c r="G133" s="93"/>
      <c r="H133" s="93"/>
      <c r="I133" s="93"/>
    </row>
    <row r="134" spans="1:9" ht="30" customHeight="1" x14ac:dyDescent="0.25">
      <c r="A134" s="35" t="s">
        <v>139</v>
      </c>
      <c r="B134" s="92">
        <f t="shared" si="1"/>
        <v>89018</v>
      </c>
      <c r="C134" s="96">
        <v>65249</v>
      </c>
      <c r="D134" s="93">
        <v>23769</v>
      </c>
      <c r="E134" s="93"/>
      <c r="F134" s="93"/>
      <c r="G134" s="96"/>
      <c r="H134" s="93"/>
      <c r="I134" s="93"/>
    </row>
    <row r="135" spans="1:9" ht="30" customHeight="1" x14ac:dyDescent="0.25">
      <c r="A135" s="32" t="s">
        <v>25</v>
      </c>
      <c r="B135" s="92">
        <f t="shared" si="1"/>
        <v>52144</v>
      </c>
      <c r="C135" s="93">
        <v>37346</v>
      </c>
      <c r="D135" s="93">
        <v>14798</v>
      </c>
      <c r="E135" s="93"/>
      <c r="F135" s="93"/>
      <c r="G135" s="93"/>
      <c r="H135" s="93"/>
      <c r="I135" s="93"/>
    </row>
    <row r="136" spans="1:9" ht="30" customHeight="1" x14ac:dyDescent="0.25">
      <c r="A136" s="34" t="s">
        <v>325</v>
      </c>
      <c r="B136" s="92">
        <f t="shared" si="1"/>
        <v>8857</v>
      </c>
      <c r="C136" s="93">
        <v>7160</v>
      </c>
      <c r="D136" s="93">
        <v>1697</v>
      </c>
      <c r="E136" s="93"/>
      <c r="F136" s="93"/>
      <c r="G136" s="93"/>
      <c r="H136" s="93"/>
      <c r="I136" s="93"/>
    </row>
    <row r="137" spans="1:9" ht="30" customHeight="1" x14ac:dyDescent="0.25">
      <c r="A137" s="35" t="s">
        <v>140</v>
      </c>
      <c r="B137" s="92">
        <f t="shared" si="1"/>
        <v>200551</v>
      </c>
      <c r="C137" s="96">
        <v>163629</v>
      </c>
      <c r="D137" s="93">
        <v>36922</v>
      </c>
      <c r="E137" s="93"/>
      <c r="F137" s="93"/>
      <c r="G137" s="96"/>
      <c r="H137" s="93"/>
      <c r="I137" s="93"/>
    </row>
    <row r="138" spans="1:9" ht="30" customHeight="1" x14ac:dyDescent="0.25">
      <c r="A138" s="34" t="s">
        <v>326</v>
      </c>
      <c r="B138" s="92">
        <f t="shared" si="1"/>
        <v>7017</v>
      </c>
      <c r="C138" s="93">
        <v>4373</v>
      </c>
      <c r="D138" s="93">
        <v>2644</v>
      </c>
      <c r="E138" s="93"/>
      <c r="F138" s="93"/>
      <c r="G138" s="93"/>
      <c r="H138" s="93"/>
      <c r="I138" s="93"/>
    </row>
    <row r="139" spans="1:9" ht="30" customHeight="1" x14ac:dyDescent="0.25">
      <c r="A139" s="32" t="s">
        <v>26</v>
      </c>
      <c r="B139" s="92">
        <f t="shared" si="1"/>
        <v>90813</v>
      </c>
      <c r="C139" s="93">
        <v>52637</v>
      </c>
      <c r="D139" s="93">
        <v>37074</v>
      </c>
      <c r="E139" s="93"/>
      <c r="F139" s="93"/>
      <c r="G139" s="93">
        <v>1102</v>
      </c>
      <c r="H139" s="93"/>
      <c r="I139" s="93"/>
    </row>
    <row r="140" spans="1:9" ht="45" customHeight="1" x14ac:dyDescent="0.25">
      <c r="A140" s="32" t="s">
        <v>27</v>
      </c>
      <c r="B140" s="92">
        <f t="shared" si="1"/>
        <v>45796</v>
      </c>
      <c r="C140" s="93">
        <v>35954</v>
      </c>
      <c r="D140" s="93">
        <v>9842</v>
      </c>
      <c r="E140" s="93"/>
      <c r="F140" s="93"/>
      <c r="G140" s="93"/>
      <c r="H140" s="93"/>
      <c r="I140" s="93"/>
    </row>
    <row r="141" spans="1:9" ht="30" customHeight="1" x14ac:dyDescent="0.25">
      <c r="A141" s="34" t="s">
        <v>188</v>
      </c>
      <c r="B141" s="92">
        <f t="shared" si="1"/>
        <v>4478</v>
      </c>
      <c r="C141" s="93"/>
      <c r="D141" s="93">
        <v>4478</v>
      </c>
      <c r="E141" s="93"/>
      <c r="F141" s="93"/>
      <c r="G141" s="93"/>
      <c r="H141" s="93"/>
      <c r="I141" s="93"/>
    </row>
    <row r="142" spans="1:9" ht="30" customHeight="1" x14ac:dyDescent="0.25">
      <c r="A142" s="32" t="s">
        <v>28</v>
      </c>
      <c r="B142" s="92">
        <f t="shared" si="1"/>
        <v>91488</v>
      </c>
      <c r="C142" s="93">
        <v>77681</v>
      </c>
      <c r="D142" s="93">
        <v>8074</v>
      </c>
      <c r="E142" s="93"/>
      <c r="F142" s="93"/>
      <c r="G142" s="93">
        <v>5733</v>
      </c>
      <c r="H142" s="93"/>
      <c r="I142" s="93"/>
    </row>
    <row r="143" spans="1:9" ht="22.5" customHeight="1" x14ac:dyDescent="0.25">
      <c r="A143" s="32" t="s">
        <v>29</v>
      </c>
      <c r="B143" s="92">
        <f t="shared" si="1"/>
        <v>1727437</v>
      </c>
      <c r="C143" s="93">
        <f>709140+C145+C144</f>
        <v>711318</v>
      </c>
      <c r="D143" s="93">
        <f>734954+D144+D145</f>
        <v>993972</v>
      </c>
      <c r="E143" s="93">
        <f t="shared" ref="E143:I143" si="2">E144</f>
        <v>0</v>
      </c>
      <c r="F143" s="93">
        <f t="shared" si="2"/>
        <v>0</v>
      </c>
      <c r="G143" s="93">
        <f>8250+2600+G144+G145</f>
        <v>22147</v>
      </c>
      <c r="H143" s="93">
        <f t="shared" si="2"/>
        <v>0</v>
      </c>
      <c r="I143" s="93">
        <f t="shared" si="2"/>
        <v>0</v>
      </c>
    </row>
    <row r="144" spans="1:9" ht="15" customHeight="1" x14ac:dyDescent="0.25">
      <c r="A144" s="32" t="s">
        <v>230</v>
      </c>
      <c r="B144" s="92">
        <f t="shared" si="1"/>
        <v>132493</v>
      </c>
      <c r="C144" s="93">
        <v>82178</v>
      </c>
      <c r="D144" s="93">
        <v>49318</v>
      </c>
      <c r="E144" s="93"/>
      <c r="F144" s="93"/>
      <c r="G144" s="93">
        <v>997</v>
      </c>
      <c r="H144" s="93"/>
      <c r="I144" s="93"/>
    </row>
    <row r="145" spans="1:9" ht="15" customHeight="1" x14ac:dyDescent="0.25">
      <c r="A145" s="116" t="s">
        <v>633</v>
      </c>
      <c r="B145" s="92">
        <f t="shared" si="1"/>
        <v>140000</v>
      </c>
      <c r="C145" s="93">
        <v>-80000</v>
      </c>
      <c r="D145" s="93">
        <f>129700+80000</f>
        <v>209700</v>
      </c>
      <c r="E145" s="93"/>
      <c r="F145" s="93"/>
      <c r="G145" s="93">
        <v>10300</v>
      </c>
      <c r="H145" s="93"/>
      <c r="I145" s="93"/>
    </row>
    <row r="146" spans="1:9" ht="30" customHeight="1" x14ac:dyDescent="0.25">
      <c r="A146" s="34" t="s">
        <v>171</v>
      </c>
      <c r="B146" s="92">
        <f t="shared" si="1"/>
        <v>24391</v>
      </c>
      <c r="C146" s="93"/>
      <c r="D146" s="93">
        <f>33391+D147</f>
        <v>24391</v>
      </c>
      <c r="E146" s="93"/>
      <c r="F146" s="93"/>
      <c r="G146" s="93"/>
      <c r="H146" s="93"/>
      <c r="I146" s="93"/>
    </row>
    <row r="147" spans="1:9" ht="30" customHeight="1" x14ac:dyDescent="0.25">
      <c r="A147" s="116" t="s">
        <v>633</v>
      </c>
      <c r="B147" s="92">
        <f t="shared" si="1"/>
        <v>-9000</v>
      </c>
      <c r="C147" s="93"/>
      <c r="D147" s="93">
        <v>-9000</v>
      </c>
      <c r="E147" s="93"/>
      <c r="F147" s="93"/>
      <c r="G147" s="93"/>
      <c r="H147" s="93"/>
      <c r="I147" s="93"/>
    </row>
    <row r="148" spans="1:9" ht="30" customHeight="1" x14ac:dyDescent="0.25">
      <c r="A148" s="34" t="s">
        <v>116</v>
      </c>
      <c r="B148" s="92">
        <f t="shared" si="1"/>
        <v>7500</v>
      </c>
      <c r="C148" s="93"/>
      <c r="D148" s="93">
        <v>7500</v>
      </c>
      <c r="E148" s="93"/>
      <c r="F148" s="93"/>
      <c r="G148" s="93"/>
      <c r="H148" s="93"/>
      <c r="I148" s="93"/>
    </row>
    <row r="149" spans="1:9" ht="28.5" customHeight="1" x14ac:dyDescent="0.25">
      <c r="A149" s="34" t="s">
        <v>120</v>
      </c>
      <c r="B149" s="92">
        <f t="shared" si="1"/>
        <v>1000</v>
      </c>
      <c r="C149" s="93"/>
      <c r="D149" s="93">
        <v>1000</v>
      </c>
      <c r="E149" s="93"/>
      <c r="F149" s="93"/>
      <c r="G149" s="93"/>
      <c r="H149" s="93"/>
      <c r="I149" s="93"/>
    </row>
    <row r="150" spans="1:9" ht="37.5" customHeight="1" x14ac:dyDescent="0.25">
      <c r="A150" s="34" t="s">
        <v>117</v>
      </c>
      <c r="B150" s="92">
        <f t="shared" si="1"/>
        <v>9827</v>
      </c>
      <c r="C150" s="93"/>
      <c r="D150" s="93">
        <v>9827</v>
      </c>
      <c r="E150" s="93"/>
      <c r="F150" s="93"/>
      <c r="G150" s="93"/>
      <c r="H150" s="93"/>
      <c r="I150" s="93"/>
    </row>
    <row r="151" spans="1:9" ht="30.75" customHeight="1" x14ac:dyDescent="0.25">
      <c r="A151" s="34" t="s">
        <v>118</v>
      </c>
      <c r="B151" s="92">
        <f t="shared" si="1"/>
        <v>3200</v>
      </c>
      <c r="C151" s="93"/>
      <c r="D151" s="93">
        <v>3200</v>
      </c>
      <c r="E151" s="93"/>
      <c r="F151" s="93"/>
      <c r="G151" s="93"/>
      <c r="H151" s="93"/>
      <c r="I151" s="93"/>
    </row>
    <row r="152" spans="1:9" ht="30" customHeight="1" x14ac:dyDescent="0.25">
      <c r="A152" s="32" t="s">
        <v>591</v>
      </c>
      <c r="B152" s="92">
        <f t="shared" si="1"/>
        <v>129108</v>
      </c>
      <c r="C152" s="93">
        <v>92505</v>
      </c>
      <c r="D152" s="93">
        <v>36603</v>
      </c>
      <c r="E152" s="93"/>
      <c r="F152" s="93"/>
      <c r="G152" s="93"/>
      <c r="H152" s="93"/>
      <c r="I152" s="93"/>
    </row>
    <row r="153" spans="1:9" ht="30" customHeight="1" x14ac:dyDescent="0.25">
      <c r="A153" s="34" t="s">
        <v>102</v>
      </c>
      <c r="B153" s="92">
        <f t="shared" si="1"/>
        <v>17283</v>
      </c>
      <c r="C153" s="93">
        <v>15637</v>
      </c>
      <c r="D153" s="93">
        <v>1646</v>
      </c>
      <c r="E153" s="93"/>
      <c r="F153" s="93"/>
      <c r="G153" s="93"/>
      <c r="H153" s="93"/>
      <c r="I153" s="93"/>
    </row>
    <row r="154" spans="1:9" ht="30" customHeight="1" x14ac:dyDescent="0.25">
      <c r="A154" s="34" t="s">
        <v>98</v>
      </c>
      <c r="B154" s="92">
        <f t="shared" si="1"/>
        <v>16233</v>
      </c>
      <c r="C154" s="93">
        <v>13077</v>
      </c>
      <c r="D154" s="93">
        <v>3156</v>
      </c>
      <c r="E154" s="93"/>
      <c r="F154" s="93"/>
      <c r="G154" s="93"/>
      <c r="H154" s="93"/>
      <c r="I154" s="93"/>
    </row>
    <row r="155" spans="1:9" ht="30" customHeight="1" x14ac:dyDescent="0.25">
      <c r="A155" s="34" t="s">
        <v>104</v>
      </c>
      <c r="B155" s="92">
        <f t="shared" si="1"/>
        <v>25617</v>
      </c>
      <c r="C155" s="93">
        <v>14711</v>
      </c>
      <c r="D155" s="93">
        <v>4608</v>
      </c>
      <c r="E155" s="93"/>
      <c r="F155" s="93"/>
      <c r="G155" s="93">
        <v>6298</v>
      </c>
      <c r="H155" s="93"/>
      <c r="I155" s="93"/>
    </row>
    <row r="156" spans="1:9" ht="30" customHeight="1" x14ac:dyDescent="0.25">
      <c r="A156" s="34" t="s">
        <v>112</v>
      </c>
      <c r="B156" s="92">
        <f t="shared" si="1"/>
        <v>53391</v>
      </c>
      <c r="C156" s="93">
        <v>17297</v>
      </c>
      <c r="D156" s="93">
        <v>2574</v>
      </c>
      <c r="E156" s="93"/>
      <c r="F156" s="93"/>
      <c r="G156" s="93">
        <v>33520</v>
      </c>
      <c r="H156" s="93"/>
      <c r="I156" s="93"/>
    </row>
    <row r="157" spans="1:9" ht="30" customHeight="1" x14ac:dyDescent="0.25">
      <c r="A157" s="34" t="s">
        <v>114</v>
      </c>
      <c r="B157" s="92">
        <f t="shared" si="1"/>
        <v>24403</v>
      </c>
      <c r="C157" s="93">
        <v>19021</v>
      </c>
      <c r="D157" s="93">
        <v>5382</v>
      </c>
      <c r="E157" s="93"/>
      <c r="F157" s="93"/>
      <c r="G157" s="93"/>
      <c r="H157" s="93"/>
      <c r="I157" s="93"/>
    </row>
    <row r="158" spans="1:9" ht="30" customHeight="1" x14ac:dyDescent="0.25">
      <c r="A158" s="34" t="s">
        <v>119</v>
      </c>
      <c r="B158" s="92">
        <f t="shared" si="1"/>
        <v>207984</v>
      </c>
      <c r="C158" s="93">
        <v>173027</v>
      </c>
      <c r="D158" s="93">
        <v>34957</v>
      </c>
      <c r="E158" s="93"/>
      <c r="F158" s="93"/>
      <c r="G158" s="93"/>
      <c r="H158" s="93"/>
      <c r="I158" s="93"/>
    </row>
    <row r="159" spans="1:9" ht="30" customHeight="1" x14ac:dyDescent="0.25">
      <c r="A159" s="34" t="s">
        <v>233</v>
      </c>
      <c r="B159" s="92">
        <f t="shared" si="1"/>
        <v>50091</v>
      </c>
      <c r="C159" s="93">
        <v>34702</v>
      </c>
      <c r="D159" s="93">
        <v>15389</v>
      </c>
      <c r="E159" s="93"/>
      <c r="F159" s="93"/>
      <c r="G159" s="93"/>
      <c r="H159" s="93"/>
      <c r="I159" s="93"/>
    </row>
    <row r="160" spans="1:9" ht="30" customHeight="1" x14ac:dyDescent="0.25">
      <c r="A160" s="34" t="s">
        <v>109</v>
      </c>
      <c r="B160" s="92">
        <f t="shared" si="1"/>
        <v>99443</v>
      </c>
      <c r="C160" s="93">
        <v>27463</v>
      </c>
      <c r="D160" s="93">
        <v>71980</v>
      </c>
      <c r="E160" s="93"/>
      <c r="F160" s="93"/>
      <c r="G160" s="93"/>
      <c r="H160" s="93"/>
      <c r="I160" s="93"/>
    </row>
    <row r="161" spans="1:9" ht="30" customHeight="1" x14ac:dyDescent="0.25">
      <c r="A161" s="34" t="s">
        <v>106</v>
      </c>
      <c r="B161" s="92">
        <f t="shared" si="1"/>
        <v>39564</v>
      </c>
      <c r="C161" s="93">
        <v>28269</v>
      </c>
      <c r="D161" s="93">
        <v>11295</v>
      </c>
      <c r="E161" s="93"/>
      <c r="F161" s="93"/>
      <c r="G161" s="93"/>
      <c r="H161" s="93"/>
      <c r="I161" s="93"/>
    </row>
    <row r="162" spans="1:9" ht="30" customHeight="1" x14ac:dyDescent="0.25">
      <c r="A162" s="34" t="s">
        <v>247</v>
      </c>
      <c r="B162" s="92">
        <f t="shared" si="1"/>
        <v>56232</v>
      </c>
      <c r="C162" s="93">
        <v>34462</v>
      </c>
      <c r="D162" s="93">
        <v>21770</v>
      </c>
      <c r="E162" s="93"/>
      <c r="F162" s="93"/>
      <c r="G162" s="93"/>
      <c r="H162" s="93"/>
      <c r="I162" s="93"/>
    </row>
    <row r="163" spans="1:9" ht="30" customHeight="1" x14ac:dyDescent="0.25">
      <c r="A163" s="34" t="s">
        <v>111</v>
      </c>
      <c r="B163" s="92">
        <f t="shared" si="1"/>
        <v>26275</v>
      </c>
      <c r="C163" s="93">
        <v>19127</v>
      </c>
      <c r="D163" s="93">
        <v>7148</v>
      </c>
      <c r="E163" s="93"/>
      <c r="F163" s="93"/>
      <c r="G163" s="93"/>
      <c r="H163" s="93"/>
      <c r="I163" s="93"/>
    </row>
    <row r="164" spans="1:9" ht="30" customHeight="1" x14ac:dyDescent="0.25">
      <c r="A164" s="34" t="s">
        <v>99</v>
      </c>
      <c r="B164" s="92">
        <f t="shared" si="1"/>
        <v>78995</v>
      </c>
      <c r="C164" s="93">
        <v>24989</v>
      </c>
      <c r="D164" s="93">
        <v>54006</v>
      </c>
      <c r="E164" s="93"/>
      <c r="F164" s="93"/>
      <c r="G164" s="93"/>
      <c r="H164" s="93"/>
      <c r="I164" s="93"/>
    </row>
    <row r="165" spans="1:9" ht="30" customHeight="1" x14ac:dyDescent="0.25">
      <c r="A165" s="34" t="s">
        <v>101</v>
      </c>
      <c r="B165" s="92">
        <f t="shared" si="1"/>
        <v>97125</v>
      </c>
      <c r="C165" s="93">
        <v>27726</v>
      </c>
      <c r="D165" s="93">
        <v>69399</v>
      </c>
      <c r="E165" s="93"/>
      <c r="F165" s="93"/>
      <c r="G165" s="93"/>
      <c r="H165" s="93"/>
      <c r="I165" s="93"/>
    </row>
    <row r="166" spans="1:9" ht="30" customHeight="1" x14ac:dyDescent="0.25">
      <c r="A166" s="31" t="s">
        <v>194</v>
      </c>
      <c r="B166" s="92">
        <f t="shared" si="1"/>
        <v>2843</v>
      </c>
      <c r="C166" s="93"/>
      <c r="D166" s="93">
        <v>2843</v>
      </c>
      <c r="E166" s="93"/>
      <c r="F166" s="93"/>
      <c r="G166" s="93"/>
      <c r="H166" s="93"/>
      <c r="I166" s="93"/>
    </row>
    <row r="167" spans="1:9" ht="30" customHeight="1" x14ac:dyDescent="0.25">
      <c r="A167" s="31" t="s">
        <v>193</v>
      </c>
      <c r="B167" s="92">
        <f t="shared" si="1"/>
        <v>12584</v>
      </c>
      <c r="C167" s="93"/>
      <c r="D167" s="93">
        <v>12584</v>
      </c>
      <c r="E167" s="93"/>
      <c r="F167" s="93"/>
      <c r="G167" s="93"/>
      <c r="H167" s="93"/>
      <c r="I167" s="93"/>
    </row>
    <row r="168" spans="1:9" ht="36" customHeight="1" x14ac:dyDescent="0.25">
      <c r="A168" s="34" t="s">
        <v>577</v>
      </c>
      <c r="B168" s="92">
        <f t="shared" ref="B168:B233" si="3">SUM(C168:I168)</f>
        <v>3809</v>
      </c>
      <c r="C168" s="93"/>
      <c r="D168" s="93">
        <f>2622+D169</f>
        <v>3809</v>
      </c>
      <c r="E168" s="93"/>
      <c r="F168" s="93"/>
      <c r="G168" s="93"/>
      <c r="H168" s="93"/>
      <c r="I168" s="93"/>
    </row>
    <row r="169" spans="1:9" ht="36" customHeight="1" x14ac:dyDescent="0.25">
      <c r="A169" s="120" t="s">
        <v>633</v>
      </c>
      <c r="B169" s="92">
        <f t="shared" si="3"/>
        <v>1187</v>
      </c>
      <c r="C169" s="93"/>
      <c r="D169" s="93">
        <v>1187</v>
      </c>
      <c r="E169" s="93"/>
      <c r="F169" s="93"/>
      <c r="G169" s="93"/>
      <c r="H169" s="93"/>
      <c r="I169" s="93"/>
    </row>
    <row r="170" spans="1:9" ht="33" customHeight="1" x14ac:dyDescent="0.25">
      <c r="A170" s="34" t="s">
        <v>245</v>
      </c>
      <c r="B170" s="92">
        <f t="shared" si="3"/>
        <v>4769</v>
      </c>
      <c r="C170" s="93"/>
      <c r="D170" s="93">
        <v>4769</v>
      </c>
      <c r="E170" s="93"/>
      <c r="F170" s="93"/>
      <c r="G170" s="93"/>
      <c r="H170" s="93"/>
      <c r="I170" s="93"/>
    </row>
    <row r="171" spans="1:9" ht="30" customHeight="1" x14ac:dyDescent="0.25">
      <c r="A171" s="34" t="s">
        <v>578</v>
      </c>
      <c r="B171" s="92">
        <f t="shared" si="3"/>
        <v>6768</v>
      </c>
      <c r="C171" s="93">
        <v>2138</v>
      </c>
      <c r="D171" s="93">
        <v>4630</v>
      </c>
      <c r="E171" s="93"/>
      <c r="F171" s="93"/>
      <c r="G171" s="93"/>
      <c r="H171" s="93"/>
      <c r="I171" s="93"/>
    </row>
    <row r="172" spans="1:9" ht="30" customHeight="1" x14ac:dyDescent="0.25">
      <c r="A172" s="34" t="s">
        <v>232</v>
      </c>
      <c r="B172" s="92">
        <f t="shared" si="3"/>
        <v>4691</v>
      </c>
      <c r="C172" s="93"/>
      <c r="D172" s="93">
        <v>4691</v>
      </c>
      <c r="E172" s="93"/>
      <c r="F172" s="93"/>
      <c r="G172" s="93"/>
      <c r="H172" s="93"/>
      <c r="I172" s="93"/>
    </row>
    <row r="173" spans="1:9" ht="30" customHeight="1" x14ac:dyDescent="0.25">
      <c r="A173" s="34" t="s">
        <v>235</v>
      </c>
      <c r="B173" s="92">
        <f t="shared" si="3"/>
        <v>5348</v>
      </c>
      <c r="C173" s="93"/>
      <c r="D173" s="93">
        <v>5348</v>
      </c>
      <c r="E173" s="93"/>
      <c r="F173" s="93"/>
      <c r="G173" s="93"/>
      <c r="H173" s="93"/>
      <c r="I173" s="93"/>
    </row>
    <row r="174" spans="1:9" ht="30" customHeight="1" x14ac:dyDescent="0.25">
      <c r="A174" s="34" t="s">
        <v>110</v>
      </c>
      <c r="B174" s="92">
        <f t="shared" si="3"/>
        <v>13746</v>
      </c>
      <c r="C174" s="93">
        <v>8746</v>
      </c>
      <c r="D174" s="93">
        <v>5000</v>
      </c>
      <c r="E174" s="93"/>
      <c r="F174" s="93"/>
      <c r="G174" s="93"/>
      <c r="H174" s="93"/>
      <c r="I174" s="93"/>
    </row>
    <row r="175" spans="1:9" ht="30" customHeight="1" x14ac:dyDescent="0.25">
      <c r="A175" s="36" t="s">
        <v>141</v>
      </c>
      <c r="B175" s="92">
        <f t="shared" si="3"/>
        <v>9097</v>
      </c>
      <c r="C175" s="97"/>
      <c r="D175" s="93">
        <v>9097</v>
      </c>
      <c r="E175" s="93"/>
      <c r="F175" s="93"/>
      <c r="G175" s="97"/>
      <c r="H175" s="93"/>
      <c r="I175" s="93"/>
    </row>
    <row r="176" spans="1:9" ht="30" customHeight="1" x14ac:dyDescent="0.25">
      <c r="A176" s="34" t="s">
        <v>579</v>
      </c>
      <c r="B176" s="92">
        <f t="shared" si="3"/>
        <v>2783</v>
      </c>
      <c r="C176" s="98"/>
      <c r="D176" s="93">
        <v>2783</v>
      </c>
      <c r="E176" s="93"/>
      <c r="F176" s="93"/>
      <c r="G176" s="98"/>
      <c r="H176" s="93"/>
      <c r="I176" s="93"/>
    </row>
    <row r="177" spans="1:9" ht="30" customHeight="1" x14ac:dyDescent="0.25">
      <c r="A177" s="34" t="s">
        <v>103</v>
      </c>
      <c r="B177" s="92">
        <f t="shared" si="3"/>
        <v>5313</v>
      </c>
      <c r="C177" s="93"/>
      <c r="D177" s="93">
        <v>5313</v>
      </c>
      <c r="E177" s="93"/>
      <c r="F177" s="93"/>
      <c r="G177" s="93"/>
      <c r="H177" s="93"/>
      <c r="I177" s="93"/>
    </row>
    <row r="178" spans="1:9" ht="30" customHeight="1" x14ac:dyDescent="0.25">
      <c r="A178" s="34" t="s">
        <v>107</v>
      </c>
      <c r="B178" s="92">
        <f t="shared" si="3"/>
        <v>2977</v>
      </c>
      <c r="C178" s="93"/>
      <c r="D178" s="93">
        <v>2977</v>
      </c>
      <c r="E178" s="93"/>
      <c r="F178" s="93"/>
      <c r="G178" s="93"/>
      <c r="H178" s="93"/>
      <c r="I178" s="93"/>
    </row>
    <row r="179" spans="1:9" ht="30" customHeight="1" x14ac:dyDescent="0.25">
      <c r="A179" s="36" t="s">
        <v>142</v>
      </c>
      <c r="B179" s="92">
        <f t="shared" si="3"/>
        <v>9246</v>
      </c>
      <c r="C179" s="97"/>
      <c r="D179" s="93">
        <v>9246</v>
      </c>
      <c r="E179" s="93"/>
      <c r="F179" s="93"/>
      <c r="G179" s="97"/>
      <c r="H179" s="93"/>
      <c r="I179" s="93"/>
    </row>
    <row r="180" spans="1:9" ht="30" customHeight="1" x14ac:dyDescent="0.25">
      <c r="A180" s="34" t="s">
        <v>108</v>
      </c>
      <c r="B180" s="92">
        <f t="shared" si="3"/>
        <v>2490</v>
      </c>
      <c r="C180" s="93"/>
      <c r="D180" s="93">
        <v>2490</v>
      </c>
      <c r="E180" s="93"/>
      <c r="F180" s="93"/>
      <c r="G180" s="93"/>
      <c r="H180" s="93"/>
      <c r="I180" s="93"/>
    </row>
    <row r="181" spans="1:9" ht="30" customHeight="1" x14ac:dyDescent="0.25">
      <c r="A181" s="34" t="s">
        <v>248</v>
      </c>
      <c r="B181" s="92">
        <f t="shared" si="3"/>
        <v>8746</v>
      </c>
      <c r="C181" s="93"/>
      <c r="D181" s="93">
        <v>8746</v>
      </c>
      <c r="E181" s="93"/>
      <c r="F181" s="93"/>
      <c r="G181" s="93"/>
      <c r="H181" s="93"/>
      <c r="I181" s="93"/>
    </row>
    <row r="182" spans="1:9" ht="15" customHeight="1" x14ac:dyDescent="0.25">
      <c r="A182" s="34" t="s">
        <v>105</v>
      </c>
      <c r="B182" s="92">
        <f t="shared" si="3"/>
        <v>2315</v>
      </c>
      <c r="C182" s="93"/>
      <c r="D182" s="93">
        <v>2315</v>
      </c>
      <c r="E182" s="93"/>
      <c r="F182" s="93"/>
      <c r="G182" s="93"/>
      <c r="H182" s="93"/>
      <c r="I182" s="93"/>
    </row>
    <row r="183" spans="1:9" ht="30" customHeight="1" x14ac:dyDescent="0.25">
      <c r="A183" s="34" t="s">
        <v>575</v>
      </c>
      <c r="B183" s="92">
        <f t="shared" si="3"/>
        <v>3500</v>
      </c>
      <c r="C183" s="93"/>
      <c r="D183" s="93">
        <f>2300+1200</f>
        <v>3500</v>
      </c>
      <c r="E183" s="93"/>
      <c r="F183" s="93"/>
      <c r="G183" s="93"/>
      <c r="H183" s="93"/>
      <c r="I183" s="93"/>
    </row>
    <row r="184" spans="1:9" ht="30" customHeight="1" x14ac:dyDescent="0.25">
      <c r="A184" s="34" t="s">
        <v>113</v>
      </c>
      <c r="B184" s="92">
        <f t="shared" si="3"/>
        <v>3974</v>
      </c>
      <c r="C184" s="93"/>
      <c r="D184" s="93">
        <v>3974</v>
      </c>
      <c r="E184" s="93"/>
      <c r="F184" s="93"/>
      <c r="G184" s="93"/>
      <c r="H184" s="93"/>
      <c r="I184" s="93"/>
    </row>
    <row r="185" spans="1:9" ht="30" customHeight="1" x14ac:dyDescent="0.25">
      <c r="A185" s="34" t="s">
        <v>100</v>
      </c>
      <c r="B185" s="92">
        <f>SUM(C185:I185)</f>
        <v>42654</v>
      </c>
      <c r="C185" s="93">
        <f>26611+C186</f>
        <v>29862</v>
      </c>
      <c r="D185" s="93">
        <f>7869+D186</f>
        <v>9162</v>
      </c>
      <c r="E185" s="93"/>
      <c r="F185" s="93"/>
      <c r="G185" s="93">
        <f>G186</f>
        <v>3630</v>
      </c>
      <c r="H185" s="93"/>
      <c r="I185" s="93"/>
    </row>
    <row r="186" spans="1:9" ht="30" customHeight="1" x14ac:dyDescent="0.25">
      <c r="A186" s="120" t="s">
        <v>633</v>
      </c>
      <c r="B186" s="92">
        <f t="shared" si="3"/>
        <v>8174</v>
      </c>
      <c r="C186" s="93">
        <v>3251</v>
      </c>
      <c r="D186" s="93">
        <v>1293</v>
      </c>
      <c r="E186" s="93"/>
      <c r="F186" s="93"/>
      <c r="G186" s="93">
        <v>3630</v>
      </c>
      <c r="H186" s="93"/>
      <c r="I186" s="93"/>
    </row>
    <row r="187" spans="1:9" ht="30" customHeight="1" x14ac:dyDescent="0.25">
      <c r="A187" s="34" t="s">
        <v>585</v>
      </c>
      <c r="B187" s="92">
        <f t="shared" si="3"/>
        <v>2840</v>
      </c>
      <c r="C187" s="93"/>
      <c r="D187" s="93">
        <v>2840</v>
      </c>
      <c r="E187" s="93"/>
      <c r="F187" s="93"/>
      <c r="G187" s="93"/>
      <c r="H187" s="93"/>
      <c r="I187" s="93"/>
    </row>
    <row r="188" spans="1:9" ht="30" customHeight="1" x14ac:dyDescent="0.25">
      <c r="A188" s="34" t="s">
        <v>115</v>
      </c>
      <c r="B188" s="92">
        <f t="shared" si="3"/>
        <v>12964</v>
      </c>
      <c r="C188" s="93">
        <v>10084</v>
      </c>
      <c r="D188" s="93">
        <v>2880</v>
      </c>
      <c r="E188" s="93"/>
      <c r="F188" s="93"/>
      <c r="G188" s="93"/>
      <c r="H188" s="93"/>
      <c r="I188" s="93"/>
    </row>
    <row r="189" spans="1:9" ht="30" customHeight="1" x14ac:dyDescent="0.25">
      <c r="A189" s="35" t="s">
        <v>138</v>
      </c>
      <c r="B189" s="92">
        <f t="shared" si="3"/>
        <v>26000</v>
      </c>
      <c r="C189" s="97"/>
      <c r="D189" s="93">
        <v>0</v>
      </c>
      <c r="E189" s="93"/>
      <c r="F189" s="93"/>
      <c r="G189" s="96">
        <v>26000</v>
      </c>
      <c r="H189" s="93"/>
      <c r="I189" s="93"/>
    </row>
    <row r="190" spans="1:9" ht="30" customHeight="1" x14ac:dyDescent="0.25">
      <c r="A190" s="42" t="s">
        <v>282</v>
      </c>
      <c r="B190" s="92">
        <f t="shared" si="3"/>
        <v>15781</v>
      </c>
      <c r="C190" s="93">
        <f>3887+8978+667</f>
        <v>13532</v>
      </c>
      <c r="D190" s="93">
        <v>2249</v>
      </c>
      <c r="E190" s="93"/>
      <c r="F190" s="93"/>
      <c r="G190" s="93"/>
      <c r="H190" s="93"/>
      <c r="I190" s="93"/>
    </row>
    <row r="191" spans="1:9" ht="15" customHeight="1" x14ac:dyDescent="0.25">
      <c r="A191" s="42" t="s">
        <v>283</v>
      </c>
      <c r="B191" s="92">
        <f t="shared" si="3"/>
        <v>14224</v>
      </c>
      <c r="C191" s="93">
        <f>8772+2920+667</f>
        <v>12359</v>
      </c>
      <c r="D191" s="93">
        <v>1865</v>
      </c>
      <c r="E191" s="93"/>
      <c r="F191" s="93"/>
      <c r="G191" s="93"/>
      <c r="H191" s="93"/>
      <c r="I191" s="93"/>
    </row>
    <row r="192" spans="1:9" ht="15" customHeight="1" x14ac:dyDescent="0.25">
      <c r="A192" s="42" t="s">
        <v>284</v>
      </c>
      <c r="B192" s="92">
        <f t="shared" si="3"/>
        <v>12687</v>
      </c>
      <c r="C192" s="93">
        <f>1333+8978+667</f>
        <v>10978</v>
      </c>
      <c r="D192" s="93">
        <v>1709</v>
      </c>
      <c r="E192" s="93"/>
      <c r="F192" s="93"/>
      <c r="G192" s="93"/>
      <c r="H192" s="93"/>
      <c r="I192" s="93"/>
    </row>
    <row r="193" spans="1:9" ht="30" customHeight="1" x14ac:dyDescent="0.25">
      <c r="A193" s="42" t="s">
        <v>144</v>
      </c>
      <c r="B193" s="92">
        <f t="shared" si="3"/>
        <v>11928</v>
      </c>
      <c r="C193" s="93">
        <f>374+8772+667</f>
        <v>9813</v>
      </c>
      <c r="D193" s="93">
        <v>2115</v>
      </c>
      <c r="E193" s="93"/>
      <c r="F193" s="93"/>
      <c r="G193" s="93"/>
      <c r="H193" s="93"/>
      <c r="I193" s="93"/>
    </row>
    <row r="194" spans="1:9" ht="30" customHeight="1" x14ac:dyDescent="0.25">
      <c r="A194" s="42" t="s">
        <v>285</v>
      </c>
      <c r="B194" s="92">
        <f t="shared" si="3"/>
        <v>11820</v>
      </c>
      <c r="C194" s="93">
        <f>366+8772+667</f>
        <v>9805</v>
      </c>
      <c r="D194" s="93">
        <v>2015</v>
      </c>
      <c r="E194" s="93"/>
      <c r="F194" s="93"/>
      <c r="G194" s="93"/>
      <c r="H194" s="93"/>
      <c r="I194" s="93"/>
    </row>
    <row r="195" spans="1:9" ht="30" customHeight="1" x14ac:dyDescent="0.25">
      <c r="A195" s="42" t="s">
        <v>286</v>
      </c>
      <c r="B195" s="92">
        <f t="shared" si="3"/>
        <v>14324</v>
      </c>
      <c r="C195" s="96">
        <f>8772+2920+667</f>
        <v>12359</v>
      </c>
      <c r="D195" s="93">
        <v>1965</v>
      </c>
      <c r="E195" s="97"/>
      <c r="F195" s="97"/>
      <c r="G195" s="97"/>
      <c r="H195" s="97"/>
      <c r="I195" s="97"/>
    </row>
    <row r="196" spans="1:9" ht="30" customHeight="1" x14ac:dyDescent="0.25">
      <c r="A196" s="43" t="s">
        <v>287</v>
      </c>
      <c r="B196" s="92">
        <f t="shared" si="3"/>
        <v>15270</v>
      </c>
      <c r="C196" s="93">
        <f>8772+3006+667</f>
        <v>12445</v>
      </c>
      <c r="D196" s="93">
        <v>2825</v>
      </c>
      <c r="E196" s="93"/>
      <c r="F196" s="93"/>
      <c r="G196" s="93"/>
      <c r="H196" s="93"/>
      <c r="I196" s="93"/>
    </row>
    <row r="197" spans="1:9" ht="30" customHeight="1" x14ac:dyDescent="0.25">
      <c r="A197" s="42" t="s">
        <v>288</v>
      </c>
      <c r="B197" s="92">
        <f t="shared" si="3"/>
        <v>17259</v>
      </c>
      <c r="C197" s="93">
        <f>2920+8772+667</f>
        <v>12359</v>
      </c>
      <c r="D197" s="93">
        <v>4900</v>
      </c>
      <c r="E197" s="93"/>
      <c r="F197" s="93"/>
      <c r="G197" s="93"/>
      <c r="H197" s="93"/>
      <c r="I197" s="93"/>
    </row>
    <row r="198" spans="1:9" ht="30" customHeight="1" x14ac:dyDescent="0.25">
      <c r="A198" s="42" t="s">
        <v>289</v>
      </c>
      <c r="B198" s="92">
        <f t="shared" si="3"/>
        <v>11728</v>
      </c>
      <c r="C198" s="93">
        <f>374+8772+667</f>
        <v>9813</v>
      </c>
      <c r="D198" s="93">
        <v>1915</v>
      </c>
      <c r="E198" s="93"/>
      <c r="F198" s="93"/>
      <c r="G198" s="93"/>
      <c r="H198" s="93"/>
      <c r="I198" s="93"/>
    </row>
    <row r="199" spans="1:9" ht="40.5" customHeight="1" x14ac:dyDescent="0.25">
      <c r="A199" s="35" t="s">
        <v>179</v>
      </c>
      <c r="B199" s="92">
        <f t="shared" si="3"/>
        <v>34886</v>
      </c>
      <c r="C199" s="96">
        <v>15699</v>
      </c>
      <c r="D199" s="93">
        <v>19187</v>
      </c>
      <c r="E199" s="97"/>
      <c r="F199" s="97"/>
      <c r="G199" s="97"/>
      <c r="H199" s="97"/>
      <c r="I199" s="97"/>
    </row>
    <row r="200" spans="1:9" ht="51.75" customHeight="1" x14ac:dyDescent="0.25">
      <c r="A200" s="33" t="s">
        <v>57</v>
      </c>
      <c r="B200" s="92">
        <f t="shared" si="3"/>
        <v>45525</v>
      </c>
      <c r="C200" s="93"/>
      <c r="D200" s="93">
        <v>45525</v>
      </c>
      <c r="E200" s="93"/>
      <c r="F200" s="93"/>
      <c r="G200" s="93"/>
      <c r="H200" s="93"/>
      <c r="I200" s="93"/>
    </row>
    <row r="201" spans="1:9" ht="72.75" customHeight="1" x14ac:dyDescent="0.25">
      <c r="A201" s="35" t="s">
        <v>690</v>
      </c>
      <c r="B201" s="92">
        <f t="shared" si="3"/>
        <v>15805</v>
      </c>
      <c r="C201" s="94"/>
      <c r="D201" s="93">
        <v>14305</v>
      </c>
      <c r="E201" s="97"/>
      <c r="F201" s="97"/>
      <c r="G201" s="97">
        <v>1500</v>
      </c>
      <c r="H201" s="94"/>
      <c r="I201" s="97"/>
    </row>
    <row r="202" spans="1:9" ht="30" customHeight="1" x14ac:dyDescent="0.25">
      <c r="A202" s="34" t="s">
        <v>143</v>
      </c>
      <c r="B202" s="92">
        <f t="shared" si="3"/>
        <v>3245</v>
      </c>
      <c r="C202" s="93"/>
      <c r="D202" s="93">
        <v>3245</v>
      </c>
      <c r="E202" s="93"/>
      <c r="F202" s="93"/>
      <c r="G202" s="93"/>
      <c r="H202" s="93"/>
      <c r="I202" s="93"/>
    </row>
    <row r="203" spans="1:9" ht="44.25" customHeight="1" x14ac:dyDescent="0.25">
      <c r="A203" s="34" t="s">
        <v>204</v>
      </c>
      <c r="B203" s="92">
        <f t="shared" si="3"/>
        <v>5733</v>
      </c>
      <c r="C203" s="93"/>
      <c r="D203" s="93">
        <v>5733</v>
      </c>
      <c r="E203" s="93"/>
      <c r="F203" s="93"/>
      <c r="G203" s="93"/>
      <c r="H203" s="93"/>
      <c r="I203" s="93"/>
    </row>
    <row r="204" spans="1:9" ht="30" customHeight="1" x14ac:dyDescent="0.25">
      <c r="A204" s="32" t="s">
        <v>165</v>
      </c>
      <c r="B204" s="92">
        <f t="shared" si="3"/>
        <v>83744</v>
      </c>
      <c r="C204" s="93">
        <v>78908</v>
      </c>
      <c r="D204" s="93">
        <v>4836</v>
      </c>
      <c r="E204" s="93"/>
      <c r="F204" s="93"/>
      <c r="G204" s="93"/>
      <c r="H204" s="93"/>
      <c r="I204" s="93"/>
    </row>
    <row r="205" spans="1:9" ht="29.25" customHeight="1" x14ac:dyDescent="0.25">
      <c r="A205" s="32" t="s">
        <v>197</v>
      </c>
      <c r="B205" s="92">
        <f t="shared" si="3"/>
        <v>44140</v>
      </c>
      <c r="C205" s="93">
        <v>2143</v>
      </c>
      <c r="D205" s="93">
        <v>41997</v>
      </c>
      <c r="E205" s="93"/>
      <c r="F205" s="93"/>
      <c r="G205" s="93"/>
      <c r="H205" s="93"/>
      <c r="I205" s="93"/>
    </row>
    <row r="206" spans="1:9" ht="30" customHeight="1" x14ac:dyDescent="0.25">
      <c r="A206" s="32" t="s">
        <v>30</v>
      </c>
      <c r="B206" s="92">
        <f t="shared" si="3"/>
        <v>12286</v>
      </c>
      <c r="C206" s="93">
        <v>400</v>
      </c>
      <c r="D206" s="93">
        <v>11886</v>
      </c>
      <c r="E206" s="93"/>
      <c r="F206" s="93"/>
      <c r="G206" s="93"/>
      <c r="H206" s="93"/>
      <c r="I206" s="93"/>
    </row>
    <row r="207" spans="1:9" ht="30" customHeight="1" x14ac:dyDescent="0.25">
      <c r="A207" s="32" t="s">
        <v>218</v>
      </c>
      <c r="B207" s="92">
        <f t="shared" si="3"/>
        <v>23496</v>
      </c>
      <c r="C207" s="93">
        <v>18974</v>
      </c>
      <c r="D207" s="93">
        <v>4522</v>
      </c>
      <c r="E207" s="93"/>
      <c r="F207" s="93"/>
      <c r="G207" s="93"/>
      <c r="H207" s="93"/>
      <c r="I207" s="93"/>
    </row>
    <row r="208" spans="1:9" ht="30" customHeight="1" x14ac:dyDescent="0.25">
      <c r="A208" s="32" t="s">
        <v>31</v>
      </c>
      <c r="B208" s="92">
        <f t="shared" si="3"/>
        <v>531006</v>
      </c>
      <c r="C208" s="93">
        <v>458917</v>
      </c>
      <c r="D208" s="93">
        <v>47689</v>
      </c>
      <c r="E208" s="93"/>
      <c r="F208" s="93"/>
      <c r="G208" s="93">
        <v>24400</v>
      </c>
      <c r="H208" s="93"/>
      <c r="I208" s="93"/>
    </row>
    <row r="209" spans="1:9" ht="30" customHeight="1" x14ac:dyDescent="0.25">
      <c r="A209" s="33" t="s">
        <v>77</v>
      </c>
      <c r="B209" s="92">
        <f t="shared" si="3"/>
        <v>134974</v>
      </c>
      <c r="C209" s="93">
        <v>107255</v>
      </c>
      <c r="D209" s="93">
        <v>27719</v>
      </c>
      <c r="E209" s="93"/>
      <c r="F209" s="93"/>
      <c r="G209" s="93"/>
      <c r="H209" s="93"/>
      <c r="I209" s="93"/>
    </row>
    <row r="210" spans="1:9" ht="30" customHeight="1" x14ac:dyDescent="0.25">
      <c r="A210" s="33" t="s">
        <v>145</v>
      </c>
      <c r="B210" s="92">
        <f t="shared" si="3"/>
        <v>54020</v>
      </c>
      <c r="C210" s="93">
        <v>47113</v>
      </c>
      <c r="D210" s="93">
        <v>6807</v>
      </c>
      <c r="E210" s="93"/>
      <c r="F210" s="93"/>
      <c r="G210" s="93">
        <v>100</v>
      </c>
      <c r="H210" s="93"/>
      <c r="I210" s="93"/>
    </row>
    <row r="211" spans="1:9" ht="30" customHeight="1" x14ac:dyDescent="0.25">
      <c r="A211" s="35" t="s">
        <v>126</v>
      </c>
      <c r="B211" s="92">
        <f t="shared" si="3"/>
        <v>13729</v>
      </c>
      <c r="C211" s="99">
        <v>12137</v>
      </c>
      <c r="D211" s="93">
        <v>1592</v>
      </c>
      <c r="E211" s="100"/>
      <c r="F211" s="100"/>
      <c r="G211" s="100"/>
      <c r="H211" s="100"/>
      <c r="I211" s="100"/>
    </row>
    <row r="212" spans="1:9" ht="30" customHeight="1" x14ac:dyDescent="0.25">
      <c r="A212" s="34" t="s">
        <v>125</v>
      </c>
      <c r="B212" s="92">
        <f t="shared" si="3"/>
        <v>44813</v>
      </c>
      <c r="C212" s="93">
        <v>30889</v>
      </c>
      <c r="D212" s="93">
        <v>13924</v>
      </c>
      <c r="E212" s="93"/>
      <c r="F212" s="93"/>
      <c r="G212" s="93"/>
      <c r="H212" s="93"/>
      <c r="I212" s="93"/>
    </row>
    <row r="213" spans="1:9" ht="30.75" customHeight="1" x14ac:dyDescent="0.25">
      <c r="A213" s="34" t="s">
        <v>124</v>
      </c>
      <c r="B213" s="92">
        <f t="shared" si="3"/>
        <v>15181</v>
      </c>
      <c r="C213" s="93">
        <v>11523</v>
      </c>
      <c r="D213" s="93">
        <v>3658</v>
      </c>
      <c r="E213" s="93"/>
      <c r="F213" s="93"/>
      <c r="G213" s="93"/>
      <c r="H213" s="93"/>
      <c r="I213" s="93"/>
    </row>
    <row r="214" spans="1:9" ht="15" customHeight="1" x14ac:dyDescent="0.25">
      <c r="A214" s="32" t="s">
        <v>75</v>
      </c>
      <c r="B214" s="92">
        <f t="shared" si="3"/>
        <v>267331</v>
      </c>
      <c r="C214" s="93">
        <v>204628</v>
      </c>
      <c r="D214" s="93">
        <v>62703</v>
      </c>
      <c r="E214" s="93"/>
      <c r="F214" s="93"/>
      <c r="G214" s="93"/>
      <c r="H214" s="93"/>
      <c r="I214" s="93"/>
    </row>
    <row r="215" spans="1:9" ht="15" customHeight="1" x14ac:dyDescent="0.25">
      <c r="A215" s="32" t="s">
        <v>32</v>
      </c>
      <c r="B215" s="92">
        <f t="shared" si="3"/>
        <v>112906</v>
      </c>
      <c r="C215" s="93">
        <v>3685</v>
      </c>
      <c r="D215" s="93">
        <v>109221</v>
      </c>
      <c r="E215" s="93"/>
      <c r="F215" s="93"/>
      <c r="G215" s="93"/>
      <c r="H215" s="93"/>
      <c r="I215" s="93"/>
    </row>
    <row r="216" spans="1:9" ht="15" customHeight="1" x14ac:dyDescent="0.25">
      <c r="A216" s="34" t="s">
        <v>608</v>
      </c>
      <c r="B216" s="92">
        <f t="shared" si="3"/>
        <v>46924</v>
      </c>
      <c r="C216" s="93">
        <v>44791</v>
      </c>
      <c r="D216" s="93">
        <v>2133</v>
      </c>
      <c r="E216" s="93"/>
      <c r="F216" s="93"/>
      <c r="G216" s="93"/>
      <c r="H216" s="93"/>
      <c r="I216" s="93"/>
    </row>
    <row r="217" spans="1:9" ht="15" customHeight="1" x14ac:dyDescent="0.25">
      <c r="A217" s="34" t="s">
        <v>161</v>
      </c>
      <c r="B217" s="92">
        <f t="shared" si="3"/>
        <v>10531</v>
      </c>
      <c r="C217" s="93">
        <v>4732</v>
      </c>
      <c r="D217" s="93">
        <v>5799</v>
      </c>
      <c r="E217" s="93"/>
      <c r="F217" s="93"/>
      <c r="G217" s="93"/>
      <c r="H217" s="93"/>
      <c r="I217" s="93"/>
    </row>
    <row r="218" spans="1:9" ht="15" customHeight="1" x14ac:dyDescent="0.25">
      <c r="A218" s="32" t="s">
        <v>190</v>
      </c>
      <c r="B218" s="92">
        <f t="shared" si="3"/>
        <v>47041</v>
      </c>
      <c r="C218" s="93">
        <v>37858</v>
      </c>
      <c r="D218" s="93">
        <v>9183</v>
      </c>
      <c r="E218" s="93"/>
      <c r="F218" s="93"/>
      <c r="G218" s="93"/>
      <c r="H218" s="93"/>
      <c r="I218" s="93"/>
    </row>
    <row r="219" spans="1:9" ht="15" customHeight="1" x14ac:dyDescent="0.25">
      <c r="A219" s="32" t="s">
        <v>33</v>
      </c>
      <c r="B219" s="92">
        <f t="shared" si="3"/>
        <v>45300</v>
      </c>
      <c r="C219" s="93">
        <v>36908</v>
      </c>
      <c r="D219" s="93">
        <v>8392</v>
      </c>
      <c r="E219" s="93"/>
      <c r="F219" s="93"/>
      <c r="G219" s="93"/>
      <c r="H219" s="93"/>
      <c r="I219" s="93"/>
    </row>
    <row r="220" spans="1:9" ht="15" customHeight="1" x14ac:dyDescent="0.25">
      <c r="A220" s="32" t="s">
        <v>34</v>
      </c>
      <c r="B220" s="92">
        <f t="shared" si="3"/>
        <v>29992</v>
      </c>
      <c r="C220" s="93">
        <v>25825</v>
      </c>
      <c r="D220" s="93">
        <v>4167</v>
      </c>
      <c r="E220" s="93"/>
      <c r="F220" s="93"/>
      <c r="G220" s="93"/>
      <c r="H220" s="93"/>
      <c r="I220" s="93"/>
    </row>
    <row r="221" spans="1:9" ht="15" customHeight="1" x14ac:dyDescent="0.25">
      <c r="A221" s="32" t="s">
        <v>607</v>
      </c>
      <c r="B221" s="92">
        <f t="shared" si="3"/>
        <v>59734</v>
      </c>
      <c r="C221" s="93">
        <v>36494</v>
      </c>
      <c r="D221" s="93">
        <v>23240</v>
      </c>
      <c r="E221" s="93"/>
      <c r="F221" s="93"/>
      <c r="G221" s="93"/>
      <c r="H221" s="93"/>
      <c r="I221" s="93"/>
    </row>
    <row r="222" spans="1:9" ht="15" customHeight="1" x14ac:dyDescent="0.25">
      <c r="A222" s="35" t="s">
        <v>596</v>
      </c>
      <c r="B222" s="92">
        <f t="shared" si="3"/>
        <v>52746</v>
      </c>
      <c r="C222" s="96">
        <v>33824</v>
      </c>
      <c r="D222" s="93">
        <v>18922</v>
      </c>
      <c r="E222" s="107"/>
      <c r="F222" s="107"/>
      <c r="G222" s="106"/>
      <c r="H222" s="107"/>
      <c r="I222" s="107"/>
    </row>
    <row r="223" spans="1:9" ht="15" customHeight="1" x14ac:dyDescent="0.25">
      <c r="A223" s="32" t="s">
        <v>189</v>
      </c>
      <c r="B223" s="92">
        <f t="shared" si="3"/>
        <v>13232</v>
      </c>
      <c r="C223" s="93">
        <v>11004</v>
      </c>
      <c r="D223" s="93">
        <v>2228</v>
      </c>
      <c r="E223" s="93"/>
      <c r="F223" s="93"/>
      <c r="G223" s="93"/>
      <c r="H223" s="93"/>
      <c r="I223" s="93"/>
    </row>
    <row r="224" spans="1:9" ht="15" customHeight="1" x14ac:dyDescent="0.25">
      <c r="A224" s="34" t="s">
        <v>147</v>
      </c>
      <c r="B224" s="92">
        <f t="shared" si="3"/>
        <v>42997</v>
      </c>
      <c r="C224" s="93">
        <v>30807</v>
      </c>
      <c r="D224" s="93">
        <v>12190</v>
      </c>
      <c r="E224" s="93"/>
      <c r="F224" s="93"/>
      <c r="G224" s="93"/>
      <c r="H224" s="93"/>
      <c r="I224" s="93"/>
    </row>
    <row r="225" spans="1:9" ht="15" customHeight="1" x14ac:dyDescent="0.25">
      <c r="A225" s="32" t="s">
        <v>196</v>
      </c>
      <c r="B225" s="92">
        <f t="shared" si="3"/>
        <v>25396</v>
      </c>
      <c r="C225" s="93">
        <v>19679</v>
      </c>
      <c r="D225" s="93">
        <v>5717</v>
      </c>
      <c r="E225" s="93"/>
      <c r="F225" s="93"/>
      <c r="G225" s="93"/>
      <c r="H225" s="93"/>
      <c r="I225" s="93"/>
    </row>
    <row r="226" spans="1:9" ht="15" customHeight="1" x14ac:dyDescent="0.25">
      <c r="A226" s="32" t="s">
        <v>187</v>
      </c>
      <c r="B226" s="92">
        <f t="shared" si="3"/>
        <v>18975</v>
      </c>
      <c r="C226" s="93">
        <v>15061</v>
      </c>
      <c r="D226" s="93">
        <v>3914</v>
      </c>
      <c r="E226" s="93"/>
      <c r="F226" s="93"/>
      <c r="G226" s="93"/>
      <c r="H226" s="93"/>
      <c r="I226" s="93"/>
    </row>
    <row r="227" spans="1:9" ht="15" customHeight="1" x14ac:dyDescent="0.25">
      <c r="A227" s="35" t="s">
        <v>595</v>
      </c>
      <c r="B227" s="92">
        <f t="shared" si="3"/>
        <v>64947</v>
      </c>
      <c r="C227" s="99">
        <v>53321</v>
      </c>
      <c r="D227" s="93">
        <v>11626</v>
      </c>
      <c r="E227" s="100"/>
      <c r="F227" s="100"/>
      <c r="G227" s="100"/>
      <c r="H227" s="100"/>
      <c r="I227" s="100"/>
    </row>
    <row r="228" spans="1:9" ht="15" customHeight="1" x14ac:dyDescent="0.25">
      <c r="A228" s="32" t="s">
        <v>606</v>
      </c>
      <c r="B228" s="92">
        <f t="shared" si="3"/>
        <v>50753</v>
      </c>
      <c r="C228" s="93">
        <v>41671</v>
      </c>
      <c r="D228" s="93">
        <v>9082</v>
      </c>
      <c r="E228" s="93"/>
      <c r="F228" s="93"/>
      <c r="G228" s="93"/>
      <c r="H228" s="93"/>
      <c r="I228" s="93"/>
    </row>
    <row r="229" spans="1:9" ht="15" customHeight="1" x14ac:dyDescent="0.25">
      <c r="A229" s="32" t="s">
        <v>198</v>
      </c>
      <c r="B229" s="92">
        <f t="shared" si="3"/>
        <v>35509</v>
      </c>
      <c r="C229" s="93">
        <v>29563</v>
      </c>
      <c r="D229" s="93">
        <v>5946</v>
      </c>
      <c r="E229" s="93"/>
      <c r="F229" s="93"/>
      <c r="G229" s="93"/>
      <c r="H229" s="93"/>
      <c r="I229" s="93"/>
    </row>
    <row r="230" spans="1:9" ht="30" customHeight="1" x14ac:dyDescent="0.25">
      <c r="A230" s="32" t="s">
        <v>35</v>
      </c>
      <c r="B230" s="92">
        <f t="shared" si="3"/>
        <v>30054</v>
      </c>
      <c r="C230" s="93">
        <v>23677</v>
      </c>
      <c r="D230" s="93">
        <v>6377</v>
      </c>
      <c r="E230" s="93"/>
      <c r="F230" s="93"/>
      <c r="G230" s="93"/>
      <c r="H230" s="93"/>
      <c r="I230" s="93"/>
    </row>
    <row r="231" spans="1:9" ht="19.5" customHeight="1" x14ac:dyDescent="0.25">
      <c r="A231" s="34" t="s">
        <v>605</v>
      </c>
      <c r="B231" s="92">
        <f t="shared" si="3"/>
        <v>112765</v>
      </c>
      <c r="C231" s="93">
        <v>72657</v>
      </c>
      <c r="D231" s="93">
        <v>40108</v>
      </c>
      <c r="E231" s="93"/>
      <c r="F231" s="93"/>
      <c r="G231" s="93"/>
      <c r="H231" s="93"/>
      <c r="I231" s="93"/>
    </row>
    <row r="232" spans="1:9" ht="24" customHeight="1" x14ac:dyDescent="0.25">
      <c r="A232" s="34" t="s">
        <v>604</v>
      </c>
      <c r="B232" s="92">
        <f t="shared" si="3"/>
        <v>41992</v>
      </c>
      <c r="C232" s="93">
        <v>28800</v>
      </c>
      <c r="D232" s="93">
        <v>13192</v>
      </c>
      <c r="E232" s="93"/>
      <c r="F232" s="93"/>
      <c r="G232" s="93"/>
      <c r="H232" s="93"/>
      <c r="I232" s="93"/>
    </row>
    <row r="233" spans="1:9" ht="15" customHeight="1" x14ac:dyDescent="0.25">
      <c r="A233" s="34" t="s">
        <v>148</v>
      </c>
      <c r="B233" s="92">
        <f t="shared" si="3"/>
        <v>23841</v>
      </c>
      <c r="C233" s="93">
        <v>14015</v>
      </c>
      <c r="D233" s="93">
        <v>9826</v>
      </c>
      <c r="E233" s="93"/>
      <c r="F233" s="93"/>
      <c r="G233" s="93"/>
      <c r="H233" s="93"/>
      <c r="I233" s="93"/>
    </row>
    <row r="234" spans="1:9" ht="45" customHeight="1" x14ac:dyDescent="0.25">
      <c r="A234" s="34" t="s">
        <v>146</v>
      </c>
      <c r="B234" s="92">
        <f t="shared" ref="B234:B313" si="4">SUM(C234:I234)</f>
        <v>70560</v>
      </c>
      <c r="C234" s="93">
        <v>49981</v>
      </c>
      <c r="D234" s="93">
        <v>18475</v>
      </c>
      <c r="E234" s="93"/>
      <c r="F234" s="93"/>
      <c r="G234" s="93">
        <f>500+G235</f>
        <v>2104</v>
      </c>
      <c r="H234" s="93"/>
      <c r="I234" s="93"/>
    </row>
    <row r="235" spans="1:9" ht="45" customHeight="1" x14ac:dyDescent="0.25">
      <c r="A235" s="116" t="s">
        <v>633</v>
      </c>
      <c r="B235" s="92">
        <f t="shared" si="4"/>
        <v>1604</v>
      </c>
      <c r="C235" s="93"/>
      <c r="D235" s="93"/>
      <c r="E235" s="93"/>
      <c r="F235" s="93"/>
      <c r="G235" s="93">
        <v>1604</v>
      </c>
      <c r="H235" s="93"/>
      <c r="I235" s="93"/>
    </row>
    <row r="236" spans="1:9" ht="15" customHeight="1" x14ac:dyDescent="0.25">
      <c r="A236" s="31" t="s">
        <v>609</v>
      </c>
      <c r="B236" s="92">
        <f t="shared" si="4"/>
        <v>300</v>
      </c>
      <c r="C236" s="93"/>
      <c r="D236" s="93"/>
      <c r="E236" s="93">
        <v>300</v>
      </c>
      <c r="F236" s="93"/>
      <c r="G236" s="93"/>
      <c r="H236" s="93"/>
      <c r="I236" s="93"/>
    </row>
    <row r="237" spans="1:9" ht="21.75" customHeight="1" x14ac:dyDescent="0.25">
      <c r="A237" s="31" t="s">
        <v>641</v>
      </c>
      <c r="B237" s="92">
        <f t="shared" si="4"/>
        <v>700</v>
      </c>
      <c r="C237" s="93"/>
      <c r="D237" s="93"/>
      <c r="E237" s="93">
        <v>700</v>
      </c>
      <c r="F237" s="93"/>
      <c r="G237" s="93"/>
      <c r="H237" s="93"/>
      <c r="I237" s="93"/>
    </row>
    <row r="238" spans="1:9" ht="15" customHeight="1" x14ac:dyDescent="0.25">
      <c r="A238" s="33" t="s">
        <v>167</v>
      </c>
      <c r="B238" s="92">
        <f t="shared" si="4"/>
        <v>64786</v>
      </c>
      <c r="C238" s="101">
        <v>58308</v>
      </c>
      <c r="D238" s="93">
        <v>5263</v>
      </c>
      <c r="E238" s="102"/>
      <c r="F238" s="102"/>
      <c r="G238" s="101"/>
      <c r="H238" s="102"/>
      <c r="I238" s="102">
        <v>1215</v>
      </c>
    </row>
    <row r="239" spans="1:9" ht="15" customHeight="1" x14ac:dyDescent="0.25">
      <c r="A239" s="33" t="s">
        <v>168</v>
      </c>
      <c r="B239" s="92">
        <f t="shared" si="4"/>
        <v>69380</v>
      </c>
      <c r="C239" s="101">
        <v>4838</v>
      </c>
      <c r="D239" s="93">
        <v>64542</v>
      </c>
      <c r="E239" s="102"/>
      <c r="F239" s="102"/>
      <c r="G239" s="101"/>
      <c r="H239" s="102"/>
      <c r="I239" s="102"/>
    </row>
    <row r="240" spans="1:9" ht="15" customHeight="1" x14ac:dyDescent="0.25">
      <c r="A240" s="33" t="s">
        <v>237</v>
      </c>
      <c r="B240" s="92">
        <f t="shared" si="4"/>
        <v>70504</v>
      </c>
      <c r="C240" s="101"/>
      <c r="D240" s="93">
        <f>53769+D241</f>
        <v>70504</v>
      </c>
      <c r="E240" s="102"/>
      <c r="F240" s="102"/>
      <c r="G240" s="101"/>
      <c r="H240" s="102"/>
      <c r="I240" s="102"/>
    </row>
    <row r="241" spans="1:10" ht="27" customHeight="1" x14ac:dyDescent="0.25">
      <c r="A241" s="116" t="s">
        <v>633</v>
      </c>
      <c r="B241" s="92">
        <f t="shared" si="4"/>
        <v>16735</v>
      </c>
      <c r="C241" s="101"/>
      <c r="D241" s="93">
        <f>16735</f>
        <v>16735</v>
      </c>
      <c r="E241" s="102"/>
      <c r="F241" s="102"/>
      <c r="G241" s="101"/>
      <c r="H241" s="102"/>
      <c r="I241" s="102"/>
    </row>
    <row r="242" spans="1:10" ht="33.75" customHeight="1" x14ac:dyDescent="0.25">
      <c r="A242" s="33" t="s">
        <v>630</v>
      </c>
      <c r="B242" s="92">
        <f t="shared" si="4"/>
        <v>149989</v>
      </c>
      <c r="C242" s="101">
        <v>2010</v>
      </c>
      <c r="D242" s="93">
        <f>164714+D243</f>
        <v>147979</v>
      </c>
      <c r="E242" s="102"/>
      <c r="F242" s="102"/>
      <c r="G242" s="101"/>
      <c r="H242" s="102"/>
      <c r="I242" s="102"/>
    </row>
    <row r="243" spans="1:10" ht="23.25" customHeight="1" x14ac:dyDescent="0.25">
      <c r="A243" s="116" t="s">
        <v>633</v>
      </c>
      <c r="B243" s="92">
        <f t="shared" si="4"/>
        <v>-16735</v>
      </c>
      <c r="C243" s="101"/>
      <c r="D243" s="93">
        <v>-16735</v>
      </c>
      <c r="E243" s="102"/>
      <c r="F243" s="102"/>
      <c r="G243" s="101"/>
      <c r="H243" s="102"/>
      <c r="I243" s="102"/>
    </row>
    <row r="244" spans="1:10" ht="15" customHeight="1" x14ac:dyDescent="0.25">
      <c r="A244" s="33" t="s">
        <v>643</v>
      </c>
      <c r="B244" s="92">
        <f t="shared" si="4"/>
        <v>3242</v>
      </c>
      <c r="C244" s="101"/>
      <c r="D244" s="93">
        <f>D245</f>
        <v>942</v>
      </c>
      <c r="E244" s="102">
        <v>2300</v>
      </c>
      <c r="F244" s="102"/>
      <c r="G244" s="101"/>
      <c r="H244" s="102"/>
      <c r="I244" s="102"/>
    </row>
    <row r="245" spans="1:10" ht="15" customHeight="1" x14ac:dyDescent="0.25">
      <c r="A245" s="116" t="s">
        <v>633</v>
      </c>
      <c r="B245" s="92">
        <f t="shared" si="4"/>
        <v>942</v>
      </c>
      <c r="C245" s="101"/>
      <c r="D245" s="93">
        <v>942</v>
      </c>
      <c r="E245" s="102"/>
      <c r="F245" s="102"/>
      <c r="G245" s="101"/>
      <c r="H245" s="102"/>
      <c r="I245" s="102"/>
    </row>
    <row r="246" spans="1:10" ht="60.75" customHeight="1" x14ac:dyDescent="0.25">
      <c r="A246" s="33" t="s">
        <v>611</v>
      </c>
      <c r="B246" s="92">
        <f t="shared" si="4"/>
        <v>4709</v>
      </c>
      <c r="C246" s="101"/>
      <c r="D246" s="93"/>
      <c r="E246" s="102">
        <v>4709</v>
      </c>
      <c r="F246" s="102"/>
      <c r="G246" s="101"/>
      <c r="H246" s="102"/>
      <c r="I246" s="102"/>
    </row>
    <row r="247" spans="1:10" ht="36" customHeight="1" x14ac:dyDescent="0.25">
      <c r="A247" s="115" t="s">
        <v>674</v>
      </c>
      <c r="B247" s="92">
        <f t="shared" si="4"/>
        <v>500</v>
      </c>
      <c r="C247" s="101"/>
      <c r="D247" s="93"/>
      <c r="E247" s="102">
        <v>500</v>
      </c>
      <c r="F247" s="102"/>
      <c r="G247" s="101"/>
      <c r="H247" s="102"/>
      <c r="I247" s="102"/>
    </row>
    <row r="248" spans="1:10" ht="31.5" customHeight="1" x14ac:dyDescent="0.25">
      <c r="A248" s="34" t="s">
        <v>36</v>
      </c>
      <c r="B248" s="92">
        <f t="shared" si="4"/>
        <v>69309</v>
      </c>
      <c r="C248" s="93">
        <v>446</v>
      </c>
      <c r="D248" s="93">
        <v>68203</v>
      </c>
      <c r="E248" s="93"/>
      <c r="F248" s="93"/>
      <c r="G248" s="93"/>
      <c r="H248" s="93">
        <v>660</v>
      </c>
      <c r="I248" s="93"/>
    </row>
    <row r="249" spans="1:10" ht="15" customHeight="1" x14ac:dyDescent="0.25">
      <c r="A249" s="32" t="s">
        <v>37</v>
      </c>
      <c r="B249" s="92">
        <f t="shared" si="4"/>
        <v>835502</v>
      </c>
      <c r="C249" s="93">
        <f>731188+C250</f>
        <v>733201</v>
      </c>
      <c r="D249" s="93">
        <v>102301</v>
      </c>
      <c r="E249" s="93"/>
      <c r="F249" s="93"/>
      <c r="G249" s="93"/>
      <c r="H249" s="93"/>
      <c r="I249" s="93"/>
    </row>
    <row r="250" spans="1:10" ht="17.25" customHeight="1" x14ac:dyDescent="0.25">
      <c r="A250" s="116" t="s">
        <v>633</v>
      </c>
      <c r="B250" s="92">
        <f>SUM(C250:I250)</f>
        <v>2013</v>
      </c>
      <c r="C250" s="93">
        <v>2013</v>
      </c>
      <c r="D250" s="93"/>
      <c r="E250" s="93"/>
      <c r="F250" s="93"/>
      <c r="G250" s="93"/>
      <c r="H250" s="93"/>
      <c r="I250" s="93"/>
      <c r="J250" s="46"/>
    </row>
    <row r="251" spans="1:10" ht="15" customHeight="1" x14ac:dyDescent="0.25">
      <c r="A251" s="32" t="s">
        <v>38</v>
      </c>
      <c r="B251" s="92">
        <f t="shared" si="4"/>
        <v>505770</v>
      </c>
      <c r="C251" s="93">
        <v>435820</v>
      </c>
      <c r="D251" s="93">
        <v>69950</v>
      </c>
      <c r="E251" s="93"/>
      <c r="F251" s="93"/>
      <c r="G251" s="93"/>
      <c r="H251" s="93"/>
      <c r="I251" s="93"/>
    </row>
    <row r="252" spans="1:10" ht="15" customHeight="1" x14ac:dyDescent="0.25">
      <c r="A252" s="32" t="s">
        <v>39</v>
      </c>
      <c r="B252" s="92">
        <f t="shared" si="4"/>
        <v>102490</v>
      </c>
      <c r="C252" s="93">
        <v>94219</v>
      </c>
      <c r="D252" s="93">
        <v>8271</v>
      </c>
      <c r="E252" s="93"/>
      <c r="F252" s="93"/>
      <c r="G252" s="93"/>
      <c r="H252" s="93"/>
      <c r="I252" s="93"/>
    </row>
    <row r="253" spans="1:10" ht="18.75" customHeight="1" x14ac:dyDescent="0.25">
      <c r="A253" s="32" t="s">
        <v>40</v>
      </c>
      <c r="B253" s="92">
        <f t="shared" si="4"/>
        <v>308509</v>
      </c>
      <c r="C253" s="93">
        <v>276880</v>
      </c>
      <c r="D253" s="93">
        <v>31629</v>
      </c>
      <c r="E253" s="93"/>
      <c r="F253" s="93"/>
      <c r="G253" s="93"/>
      <c r="H253" s="93"/>
      <c r="I253" s="93"/>
    </row>
    <row r="254" spans="1:10" ht="32.25" customHeight="1" x14ac:dyDescent="0.25">
      <c r="A254" s="34" t="s">
        <v>154</v>
      </c>
      <c r="B254" s="92">
        <f t="shared" si="4"/>
        <v>225462</v>
      </c>
      <c r="C254" s="93">
        <v>198934</v>
      </c>
      <c r="D254" s="93">
        <v>26528</v>
      </c>
      <c r="E254" s="93"/>
      <c r="F254" s="93"/>
      <c r="G254" s="93"/>
      <c r="H254" s="93"/>
      <c r="I254" s="93"/>
    </row>
    <row r="255" spans="1:10" ht="32.25" customHeight="1" x14ac:dyDescent="0.25">
      <c r="A255" s="34" t="s">
        <v>155</v>
      </c>
      <c r="B255" s="92">
        <f>SUM(C255:I255)</f>
        <v>160429</v>
      </c>
      <c r="C255" s="93">
        <f>128307+C256</f>
        <v>129853</v>
      </c>
      <c r="D255" s="93">
        <v>30521</v>
      </c>
      <c r="E255" s="93"/>
      <c r="F255" s="93"/>
      <c r="G255" s="93">
        <v>55</v>
      </c>
      <c r="H255" s="93"/>
      <c r="I255" s="93"/>
    </row>
    <row r="256" spans="1:10" ht="15" customHeight="1" x14ac:dyDescent="0.25">
      <c r="A256" s="116" t="s">
        <v>633</v>
      </c>
      <c r="B256" s="92">
        <f>SUM(C256:I256)</f>
        <v>1546</v>
      </c>
      <c r="C256" s="93">
        <v>1546</v>
      </c>
      <c r="D256" s="93"/>
      <c r="E256" s="93"/>
      <c r="F256" s="93"/>
      <c r="G256" s="93"/>
      <c r="H256" s="93"/>
      <c r="I256" s="93"/>
    </row>
    <row r="257" spans="1:9" ht="15" customHeight="1" x14ac:dyDescent="0.25">
      <c r="A257" s="32" t="s">
        <v>78</v>
      </c>
      <c r="B257" s="92">
        <f t="shared" si="4"/>
        <v>1299630</v>
      </c>
      <c r="C257" s="93">
        <v>1035377</v>
      </c>
      <c r="D257" s="93">
        <v>256253</v>
      </c>
      <c r="E257" s="93"/>
      <c r="F257" s="93"/>
      <c r="G257" s="93">
        <v>8000</v>
      </c>
      <c r="H257" s="93"/>
      <c r="I257" s="93"/>
    </row>
    <row r="258" spans="1:9" ht="15" customHeight="1" x14ac:dyDescent="0.25">
      <c r="A258" s="32" t="s">
        <v>162</v>
      </c>
      <c r="B258" s="92">
        <f t="shared" si="4"/>
        <v>493143</v>
      </c>
      <c r="C258" s="93">
        <f>415387+C259</f>
        <v>415640</v>
      </c>
      <c r="D258" s="93">
        <v>76503</v>
      </c>
      <c r="E258" s="93"/>
      <c r="F258" s="93"/>
      <c r="G258" s="93">
        <v>1000</v>
      </c>
      <c r="H258" s="93"/>
      <c r="I258" s="93"/>
    </row>
    <row r="259" spans="1:9" ht="15" customHeight="1" x14ac:dyDescent="0.25">
      <c r="A259" s="116" t="s">
        <v>633</v>
      </c>
      <c r="B259" s="92">
        <f>SUM(C259:I259)</f>
        <v>253</v>
      </c>
      <c r="C259" s="93">
        <v>253</v>
      </c>
      <c r="D259" s="93"/>
      <c r="E259" s="93"/>
      <c r="F259" s="93"/>
      <c r="G259" s="93"/>
      <c r="H259" s="93"/>
      <c r="I259" s="93"/>
    </row>
    <row r="260" spans="1:9" ht="32.25" customHeight="1" x14ac:dyDescent="0.25">
      <c r="A260" s="32" t="s">
        <v>222</v>
      </c>
      <c r="B260" s="92">
        <f t="shared" si="4"/>
        <v>43300</v>
      </c>
      <c r="C260" s="93">
        <v>24676</v>
      </c>
      <c r="D260" s="93">
        <v>18624</v>
      </c>
      <c r="E260" s="93"/>
      <c r="F260" s="93"/>
      <c r="G260" s="93"/>
      <c r="H260" s="93"/>
      <c r="I260" s="93"/>
    </row>
    <row r="261" spans="1:9" ht="15" customHeight="1" x14ac:dyDescent="0.25">
      <c r="A261" s="35" t="s">
        <v>156</v>
      </c>
      <c r="B261" s="92">
        <f t="shared" si="4"/>
        <v>577630</v>
      </c>
      <c r="C261" s="99">
        <v>527185</v>
      </c>
      <c r="D261" s="93">
        <v>49045</v>
      </c>
      <c r="E261" s="105"/>
      <c r="F261" s="105"/>
      <c r="G261" s="104">
        <v>1400</v>
      </c>
      <c r="H261" s="105"/>
      <c r="I261" s="105"/>
    </row>
    <row r="262" spans="1:9" ht="15" customHeight="1" x14ac:dyDescent="0.25">
      <c r="A262" s="32" t="s">
        <v>41</v>
      </c>
      <c r="B262" s="92">
        <f t="shared" si="4"/>
        <v>431616</v>
      </c>
      <c r="C262" s="93">
        <v>382712</v>
      </c>
      <c r="D262" s="93">
        <v>47654</v>
      </c>
      <c r="E262" s="93"/>
      <c r="F262" s="93"/>
      <c r="G262" s="93">
        <v>1250</v>
      </c>
      <c r="H262" s="93"/>
      <c r="I262" s="93"/>
    </row>
    <row r="263" spans="1:9" ht="18.75" customHeight="1" x14ac:dyDescent="0.25">
      <c r="A263" s="32" t="s">
        <v>223</v>
      </c>
      <c r="B263" s="92">
        <f t="shared" si="4"/>
        <v>783008</v>
      </c>
      <c r="C263" s="93">
        <v>674581</v>
      </c>
      <c r="D263" s="93">
        <v>107491</v>
      </c>
      <c r="E263" s="93"/>
      <c r="F263" s="93"/>
      <c r="G263" s="93">
        <v>936</v>
      </c>
      <c r="H263" s="93"/>
      <c r="I263" s="93"/>
    </row>
    <row r="264" spans="1:9" ht="27.75" customHeight="1" x14ac:dyDescent="0.25">
      <c r="A264" s="32" t="s">
        <v>598</v>
      </c>
      <c r="B264" s="92">
        <f t="shared" si="4"/>
        <v>148997</v>
      </c>
      <c r="C264" s="93">
        <v>125670</v>
      </c>
      <c r="D264" s="93">
        <v>23327</v>
      </c>
      <c r="E264" s="93"/>
      <c r="F264" s="93"/>
      <c r="G264" s="93"/>
      <c r="H264" s="93"/>
      <c r="I264" s="93"/>
    </row>
    <row r="265" spans="1:9" ht="29.25" customHeight="1" x14ac:dyDescent="0.25">
      <c r="A265" s="32" t="s">
        <v>224</v>
      </c>
      <c r="B265" s="92">
        <f t="shared" si="4"/>
        <v>80595</v>
      </c>
      <c r="C265" s="93">
        <v>62576</v>
      </c>
      <c r="D265" s="93">
        <v>18019</v>
      </c>
      <c r="E265" s="93"/>
      <c r="F265" s="93"/>
      <c r="G265" s="93"/>
      <c r="H265" s="93"/>
      <c r="I265" s="93"/>
    </row>
    <row r="266" spans="1:9" ht="15" customHeight="1" x14ac:dyDescent="0.25">
      <c r="A266" s="34" t="s">
        <v>152</v>
      </c>
      <c r="B266" s="92">
        <f>SUM(C266:I266)</f>
        <v>489155</v>
      </c>
      <c r="C266" s="93">
        <f>422024+C267</f>
        <v>424007</v>
      </c>
      <c r="D266" s="93">
        <v>64148</v>
      </c>
      <c r="E266" s="93"/>
      <c r="F266" s="93"/>
      <c r="G266" s="93">
        <v>1000</v>
      </c>
      <c r="H266" s="93"/>
      <c r="I266" s="93"/>
    </row>
    <row r="267" spans="1:9" ht="15" customHeight="1" x14ac:dyDescent="0.25">
      <c r="A267" s="116" t="s">
        <v>633</v>
      </c>
      <c r="B267" s="92">
        <f>SUM(C267:I267)</f>
        <v>1983</v>
      </c>
      <c r="C267" s="93">
        <v>1983</v>
      </c>
      <c r="D267" s="93"/>
      <c r="E267" s="93"/>
      <c r="F267" s="93"/>
      <c r="G267" s="93"/>
      <c r="H267" s="93"/>
      <c r="I267" s="93"/>
    </row>
    <row r="268" spans="1:9" ht="15" customHeight="1" x14ac:dyDescent="0.25">
      <c r="A268" s="34" t="s">
        <v>250</v>
      </c>
      <c r="B268" s="92">
        <f t="shared" si="4"/>
        <v>129899</v>
      </c>
      <c r="C268" s="93">
        <v>82946</v>
      </c>
      <c r="D268" s="93">
        <v>46953</v>
      </c>
      <c r="E268" s="93"/>
      <c r="F268" s="93"/>
      <c r="G268" s="93"/>
      <c r="H268" s="93"/>
      <c r="I268" s="93"/>
    </row>
    <row r="269" spans="1:9" ht="18" customHeight="1" x14ac:dyDescent="0.25">
      <c r="A269" s="32" t="s">
        <v>42</v>
      </c>
      <c r="B269" s="92">
        <f t="shared" si="4"/>
        <v>1097613</v>
      </c>
      <c r="C269" s="93">
        <f>906773+C270</f>
        <v>907988</v>
      </c>
      <c r="D269" s="93">
        <f>184012+D270</f>
        <v>185498</v>
      </c>
      <c r="E269" s="93"/>
      <c r="F269" s="93"/>
      <c r="G269" s="93">
        <v>4127</v>
      </c>
      <c r="H269" s="93"/>
      <c r="I269" s="93"/>
    </row>
    <row r="270" spans="1:9" ht="18.75" customHeight="1" x14ac:dyDescent="0.25">
      <c r="A270" s="116" t="s">
        <v>633</v>
      </c>
      <c r="B270" s="92">
        <f>SUM(C270:I270)</f>
        <v>2701</v>
      </c>
      <c r="C270" s="93">
        <v>1215</v>
      </c>
      <c r="D270" s="93">
        <v>1486</v>
      </c>
      <c r="E270" s="93"/>
      <c r="F270" s="93"/>
      <c r="G270" s="93"/>
      <c r="H270" s="93"/>
      <c r="I270" s="93"/>
    </row>
    <row r="271" spans="1:9" ht="16.5" customHeight="1" x14ac:dyDescent="0.25">
      <c r="A271" s="34" t="s">
        <v>649</v>
      </c>
      <c r="B271" s="92">
        <f t="shared" si="4"/>
        <v>666822</v>
      </c>
      <c r="C271" s="93">
        <f>551854+C272</f>
        <v>552107</v>
      </c>
      <c r="D271" s="93">
        <v>111119</v>
      </c>
      <c r="E271" s="93"/>
      <c r="F271" s="93"/>
      <c r="G271" s="93">
        <v>3596</v>
      </c>
      <c r="H271" s="93"/>
      <c r="I271" s="93"/>
    </row>
    <row r="272" spans="1:9" ht="22.5" customHeight="1" x14ac:dyDescent="0.25">
      <c r="A272" s="116" t="s">
        <v>633</v>
      </c>
      <c r="B272" s="92">
        <f>SUM(C272:I272)</f>
        <v>253</v>
      </c>
      <c r="C272" s="93">
        <v>253</v>
      </c>
      <c r="D272" s="93"/>
      <c r="E272" s="93"/>
      <c r="F272" s="93"/>
      <c r="G272" s="93"/>
      <c r="H272" s="93"/>
      <c r="I272" s="93"/>
    </row>
    <row r="273" spans="1:9" ht="31.5" customHeight="1" x14ac:dyDescent="0.25">
      <c r="A273" s="32" t="s">
        <v>53</v>
      </c>
      <c r="B273" s="92">
        <f t="shared" si="4"/>
        <v>1027027</v>
      </c>
      <c r="C273" s="93">
        <f>830735+C274</f>
        <v>831982</v>
      </c>
      <c r="D273" s="93">
        <f>181352+D274</f>
        <v>182769</v>
      </c>
      <c r="E273" s="93"/>
      <c r="F273" s="93"/>
      <c r="G273" s="93">
        <v>2276</v>
      </c>
      <c r="H273" s="93">
        <v>10000</v>
      </c>
      <c r="I273" s="93"/>
    </row>
    <row r="274" spans="1:9" ht="15" customHeight="1" x14ac:dyDescent="0.25">
      <c r="A274" s="116" t="s">
        <v>633</v>
      </c>
      <c r="B274" s="92">
        <f>SUM(C274:I274)</f>
        <v>2664</v>
      </c>
      <c r="C274" s="93">
        <v>1247</v>
      </c>
      <c r="D274" s="93">
        <v>1417</v>
      </c>
      <c r="E274" s="93"/>
      <c r="F274" s="93"/>
      <c r="G274" s="93"/>
      <c r="H274" s="93"/>
      <c r="I274" s="93"/>
    </row>
    <row r="275" spans="1:9" ht="47.25" customHeight="1" x14ac:dyDescent="0.25">
      <c r="A275" s="32" t="s">
        <v>626</v>
      </c>
      <c r="B275" s="92">
        <f t="shared" si="4"/>
        <v>115342</v>
      </c>
      <c r="C275" s="93">
        <v>57413</v>
      </c>
      <c r="D275" s="93">
        <v>57929</v>
      </c>
      <c r="E275" s="93"/>
      <c r="F275" s="93"/>
      <c r="G275" s="93"/>
      <c r="H275" s="93"/>
      <c r="I275" s="93"/>
    </row>
    <row r="276" spans="1:9" ht="15" customHeight="1" x14ac:dyDescent="0.25">
      <c r="A276" s="32" t="s">
        <v>159</v>
      </c>
      <c r="B276" s="92">
        <f t="shared" si="4"/>
        <v>622583</v>
      </c>
      <c r="C276" s="93">
        <v>529734</v>
      </c>
      <c r="D276" s="93">
        <v>89891</v>
      </c>
      <c r="E276" s="93"/>
      <c r="F276" s="93"/>
      <c r="G276" s="93">
        <v>2958</v>
      </c>
      <c r="H276" s="93"/>
      <c r="I276" s="93"/>
    </row>
    <row r="277" spans="1:9" ht="18.75" customHeight="1" x14ac:dyDescent="0.25">
      <c r="A277" s="34" t="s">
        <v>151</v>
      </c>
      <c r="B277" s="92">
        <f t="shared" si="4"/>
        <v>660745</v>
      </c>
      <c r="C277" s="93">
        <f>563307+C278</f>
        <v>568289</v>
      </c>
      <c r="D277" s="93">
        <v>89956</v>
      </c>
      <c r="E277" s="93"/>
      <c r="F277" s="93"/>
      <c r="G277" s="93">
        <v>2500</v>
      </c>
      <c r="H277" s="93"/>
      <c r="I277" s="93"/>
    </row>
    <row r="278" spans="1:9" ht="18" customHeight="1" x14ac:dyDescent="0.25">
      <c r="A278" s="116" t="s">
        <v>633</v>
      </c>
      <c r="B278" s="92">
        <f>SUM(C278:I278)</f>
        <v>4982</v>
      </c>
      <c r="C278" s="112">
        <f>253+4729</f>
        <v>4982</v>
      </c>
      <c r="D278" s="93"/>
      <c r="E278" s="93"/>
      <c r="F278" s="93"/>
      <c r="G278" s="93"/>
      <c r="H278" s="93"/>
      <c r="I278" s="93"/>
    </row>
    <row r="279" spans="1:9" ht="15" customHeight="1" x14ac:dyDescent="0.25">
      <c r="A279" s="35" t="s">
        <v>163</v>
      </c>
      <c r="B279" s="92">
        <f t="shared" si="4"/>
        <v>803814</v>
      </c>
      <c r="C279" s="96">
        <v>679678</v>
      </c>
      <c r="D279" s="93">
        <v>121136</v>
      </c>
      <c r="E279" s="102"/>
      <c r="F279" s="102"/>
      <c r="G279" s="101">
        <v>3000</v>
      </c>
      <c r="H279" s="102"/>
      <c r="I279" s="102"/>
    </row>
    <row r="280" spans="1:9" ht="15" customHeight="1" x14ac:dyDescent="0.25">
      <c r="A280" s="32" t="s">
        <v>43</v>
      </c>
      <c r="B280" s="92">
        <f t="shared" si="4"/>
        <v>571427</v>
      </c>
      <c r="C280" s="93">
        <f>538554+5600</f>
        <v>544154</v>
      </c>
      <c r="D280" s="93">
        <f>30946-5600</f>
        <v>25346</v>
      </c>
      <c r="E280" s="93"/>
      <c r="F280" s="93"/>
      <c r="G280" s="93">
        <v>1840</v>
      </c>
      <c r="H280" s="93"/>
      <c r="I280" s="93">
        <v>87</v>
      </c>
    </row>
    <row r="281" spans="1:9" ht="15" customHeight="1" x14ac:dyDescent="0.25">
      <c r="A281" s="32" t="s">
        <v>44</v>
      </c>
      <c r="B281" s="92">
        <f t="shared" si="4"/>
        <v>181840</v>
      </c>
      <c r="C281" s="93">
        <f>154919+4500</f>
        <v>159419</v>
      </c>
      <c r="D281" s="93">
        <f>24440-4500</f>
        <v>19940</v>
      </c>
      <c r="E281" s="93"/>
      <c r="F281" s="93"/>
      <c r="G281" s="93">
        <v>2481</v>
      </c>
      <c r="H281" s="93"/>
      <c r="I281" s="93"/>
    </row>
    <row r="282" spans="1:9" ht="15" customHeight="1" x14ac:dyDescent="0.25">
      <c r="A282" s="37" t="s">
        <v>158</v>
      </c>
      <c r="B282" s="92">
        <f t="shared" si="4"/>
        <v>174258</v>
      </c>
      <c r="C282" s="93">
        <v>160404</v>
      </c>
      <c r="D282" s="93">
        <v>13204</v>
      </c>
      <c r="E282" s="93"/>
      <c r="F282" s="93"/>
      <c r="G282" s="93">
        <v>650</v>
      </c>
      <c r="H282" s="93"/>
      <c r="I282" s="103"/>
    </row>
    <row r="283" spans="1:9" ht="15" customHeight="1" x14ac:dyDescent="0.25">
      <c r="A283" s="34" t="s">
        <v>150</v>
      </c>
      <c r="B283" s="92">
        <f t="shared" si="4"/>
        <v>176270</v>
      </c>
      <c r="C283" s="93">
        <v>169464</v>
      </c>
      <c r="D283" s="93">
        <v>5032</v>
      </c>
      <c r="E283" s="93"/>
      <c r="F283" s="93"/>
      <c r="G283" s="93"/>
      <c r="H283" s="93"/>
      <c r="I283" s="93">
        <v>1774</v>
      </c>
    </row>
    <row r="284" spans="1:9" ht="30" customHeight="1" x14ac:dyDescent="0.25">
      <c r="A284" s="32" t="s">
        <v>45</v>
      </c>
      <c r="B284" s="92">
        <f>SUM(C284:I284)</f>
        <v>542309</v>
      </c>
      <c r="C284" s="93">
        <v>472631</v>
      </c>
      <c r="D284" s="93">
        <v>69478</v>
      </c>
      <c r="E284" s="93"/>
      <c r="F284" s="93"/>
      <c r="G284" s="93">
        <v>200</v>
      </c>
      <c r="H284" s="93"/>
      <c r="I284" s="93"/>
    </row>
    <row r="285" spans="1:9" ht="30" customHeight="1" x14ac:dyDescent="0.25">
      <c r="A285" s="32" t="s">
        <v>52</v>
      </c>
      <c r="B285" s="92">
        <f t="shared" si="4"/>
        <v>220965</v>
      </c>
      <c r="C285" s="93">
        <v>90094</v>
      </c>
      <c r="D285" s="93">
        <v>130871</v>
      </c>
      <c r="E285" s="93"/>
      <c r="F285" s="93"/>
      <c r="G285" s="93"/>
      <c r="H285" s="93"/>
      <c r="I285" s="93"/>
    </row>
    <row r="286" spans="1:9" ht="28.5" customHeight="1" x14ac:dyDescent="0.25">
      <c r="A286" s="32" t="s">
        <v>225</v>
      </c>
      <c r="B286" s="92">
        <f t="shared" si="4"/>
        <v>234619</v>
      </c>
      <c r="C286" s="93">
        <v>191890</v>
      </c>
      <c r="D286" s="93">
        <v>42729</v>
      </c>
      <c r="E286" s="93"/>
      <c r="F286" s="93"/>
      <c r="G286" s="93"/>
      <c r="H286" s="93"/>
      <c r="I286" s="93"/>
    </row>
    <row r="287" spans="1:9" ht="15" customHeight="1" x14ac:dyDescent="0.25">
      <c r="A287" s="32" t="s">
        <v>157</v>
      </c>
      <c r="B287" s="92">
        <f t="shared" si="4"/>
        <v>271060</v>
      </c>
      <c r="C287" s="93">
        <v>249314</v>
      </c>
      <c r="D287" s="93">
        <v>8937</v>
      </c>
      <c r="E287" s="93"/>
      <c r="F287" s="93"/>
      <c r="G287" s="93">
        <v>765</v>
      </c>
      <c r="H287" s="93"/>
      <c r="I287" s="93">
        <v>12044</v>
      </c>
    </row>
    <row r="288" spans="1:9" ht="15" customHeight="1" x14ac:dyDescent="0.25">
      <c r="A288" s="32" t="s">
        <v>166</v>
      </c>
      <c r="B288" s="92">
        <f t="shared" si="4"/>
        <v>62449</v>
      </c>
      <c r="C288" s="93">
        <v>7682</v>
      </c>
      <c r="D288" s="93">
        <v>47267</v>
      </c>
      <c r="E288" s="93"/>
      <c r="F288" s="93"/>
      <c r="G288" s="93"/>
      <c r="H288" s="93">
        <v>7500</v>
      </c>
      <c r="I288" s="93"/>
    </row>
    <row r="289" spans="1:9" ht="15" customHeight="1" x14ac:dyDescent="0.25">
      <c r="A289" s="34" t="s">
        <v>62</v>
      </c>
      <c r="B289" s="92">
        <f t="shared" si="4"/>
        <v>25578</v>
      </c>
      <c r="C289" s="93"/>
      <c r="D289" s="93">
        <v>25578</v>
      </c>
      <c r="E289" s="93"/>
      <c r="F289" s="93"/>
      <c r="G289" s="93"/>
      <c r="H289" s="93"/>
      <c r="I289" s="93"/>
    </row>
    <row r="290" spans="1:9" ht="30" customHeight="1" x14ac:dyDescent="0.25">
      <c r="A290" s="33" t="s">
        <v>200</v>
      </c>
      <c r="B290" s="92">
        <f t="shared" si="4"/>
        <v>23294</v>
      </c>
      <c r="C290" s="93">
        <v>7935</v>
      </c>
      <c r="D290" s="93">
        <v>15359</v>
      </c>
      <c r="E290" s="93"/>
      <c r="F290" s="93"/>
      <c r="G290" s="93"/>
      <c r="H290" s="93"/>
      <c r="I290" s="103"/>
    </row>
    <row r="291" spans="1:9" ht="37.5" customHeight="1" x14ac:dyDescent="0.25">
      <c r="A291" s="34" t="s">
        <v>185</v>
      </c>
      <c r="B291" s="92">
        <f t="shared" si="4"/>
        <v>20596</v>
      </c>
      <c r="C291" s="93">
        <v>14686</v>
      </c>
      <c r="D291" s="93">
        <v>5910</v>
      </c>
      <c r="E291" s="93"/>
      <c r="F291" s="93"/>
      <c r="G291" s="93"/>
      <c r="H291" s="93"/>
      <c r="I291" s="93"/>
    </row>
    <row r="292" spans="1:9" ht="27.75" customHeight="1" x14ac:dyDescent="0.25">
      <c r="A292" s="34" t="s">
        <v>186</v>
      </c>
      <c r="B292" s="92">
        <f t="shared" si="4"/>
        <v>24098</v>
      </c>
      <c r="C292" s="93">
        <v>15493</v>
      </c>
      <c r="D292" s="93">
        <v>8455</v>
      </c>
      <c r="E292" s="93"/>
      <c r="F292" s="93"/>
      <c r="G292" s="93">
        <v>150</v>
      </c>
      <c r="H292" s="93"/>
      <c r="I292" s="93"/>
    </row>
    <row r="293" spans="1:9" ht="35.25" customHeight="1" x14ac:dyDescent="0.25">
      <c r="A293" s="34" t="s">
        <v>182</v>
      </c>
      <c r="B293" s="92">
        <f t="shared" si="4"/>
        <v>23863</v>
      </c>
      <c r="C293" s="93">
        <v>13324</v>
      </c>
      <c r="D293" s="93">
        <v>10539</v>
      </c>
      <c r="E293" s="93"/>
      <c r="F293" s="93"/>
      <c r="G293" s="93"/>
      <c r="H293" s="93"/>
      <c r="I293" s="93"/>
    </row>
    <row r="294" spans="1:9" ht="27" customHeight="1" x14ac:dyDescent="0.25">
      <c r="A294" s="34" t="s">
        <v>203</v>
      </c>
      <c r="B294" s="92">
        <f t="shared" si="4"/>
        <v>22060</v>
      </c>
      <c r="C294" s="93">
        <v>13580</v>
      </c>
      <c r="D294" s="93">
        <v>8480</v>
      </c>
      <c r="E294" s="93"/>
      <c r="F294" s="93"/>
      <c r="G294" s="93"/>
      <c r="H294" s="93"/>
      <c r="I294" s="93"/>
    </row>
    <row r="295" spans="1:9" ht="27.75" customHeight="1" x14ac:dyDescent="0.25">
      <c r="A295" s="34" t="s">
        <v>184</v>
      </c>
      <c r="B295" s="92">
        <f t="shared" si="4"/>
        <v>21883</v>
      </c>
      <c r="C295" s="93">
        <v>12658</v>
      </c>
      <c r="D295" s="93">
        <v>9225</v>
      </c>
      <c r="E295" s="93"/>
      <c r="F295" s="93"/>
      <c r="G295" s="93"/>
      <c r="H295" s="93"/>
      <c r="I295" s="93"/>
    </row>
    <row r="296" spans="1:9" ht="28.5" customHeight="1" x14ac:dyDescent="0.25">
      <c r="A296" s="35" t="s">
        <v>192</v>
      </c>
      <c r="B296" s="92">
        <f t="shared" si="4"/>
        <v>92220</v>
      </c>
      <c r="C296" s="96">
        <v>39665</v>
      </c>
      <c r="D296" s="93">
        <v>52555</v>
      </c>
      <c r="E296" s="97"/>
      <c r="F296" s="97"/>
      <c r="G296" s="97"/>
      <c r="H296" s="97"/>
      <c r="I296" s="97"/>
    </row>
    <row r="297" spans="1:9" ht="29.25" customHeight="1" x14ac:dyDescent="0.25">
      <c r="A297" s="34" t="s">
        <v>592</v>
      </c>
      <c r="B297" s="92">
        <f t="shared" si="4"/>
        <v>32014</v>
      </c>
      <c r="C297" s="93">
        <v>21673</v>
      </c>
      <c r="D297" s="93">
        <v>10341</v>
      </c>
      <c r="E297" s="93"/>
      <c r="F297" s="93"/>
      <c r="G297" s="93"/>
      <c r="H297" s="93"/>
      <c r="I297" s="93"/>
    </row>
    <row r="298" spans="1:9" ht="27.75" customHeight="1" x14ac:dyDescent="0.25">
      <c r="A298" s="34" t="s">
        <v>149</v>
      </c>
      <c r="B298" s="92">
        <f t="shared" si="4"/>
        <v>28061</v>
      </c>
      <c r="C298" s="93">
        <v>12622</v>
      </c>
      <c r="D298" s="93">
        <v>15439</v>
      </c>
      <c r="E298" s="93"/>
      <c r="F298" s="93"/>
      <c r="G298" s="93"/>
      <c r="H298" s="93"/>
      <c r="I298" s="93"/>
    </row>
    <row r="299" spans="1:9" ht="19.5" customHeight="1" x14ac:dyDescent="0.25">
      <c r="A299" s="34" t="s">
        <v>205</v>
      </c>
      <c r="B299" s="92">
        <f t="shared" si="4"/>
        <v>35185</v>
      </c>
      <c r="C299" s="93">
        <v>23489</v>
      </c>
      <c r="D299" s="93">
        <v>11696</v>
      </c>
      <c r="E299" s="93"/>
      <c r="F299" s="93"/>
      <c r="G299" s="93"/>
      <c r="H299" s="93"/>
      <c r="I299" s="93"/>
    </row>
    <row r="300" spans="1:9" ht="29.25" customHeight="1" x14ac:dyDescent="0.25">
      <c r="A300" s="34" t="s">
        <v>199</v>
      </c>
      <c r="B300" s="92">
        <f t="shared" si="4"/>
        <v>21535</v>
      </c>
      <c r="C300" s="93">
        <v>13224</v>
      </c>
      <c r="D300" s="93">
        <v>8311</v>
      </c>
      <c r="E300" s="93"/>
      <c r="F300" s="93"/>
      <c r="G300" s="93"/>
      <c r="H300" s="93"/>
      <c r="I300" s="93"/>
    </row>
    <row r="301" spans="1:9" ht="18" customHeight="1" x14ac:dyDescent="0.25">
      <c r="A301" s="34" t="s">
        <v>201</v>
      </c>
      <c r="B301" s="92">
        <f t="shared" si="4"/>
        <v>23582</v>
      </c>
      <c r="C301" s="93">
        <v>14015</v>
      </c>
      <c r="D301" s="93">
        <f>6415+D302</f>
        <v>9567</v>
      </c>
      <c r="E301" s="93"/>
      <c r="F301" s="93"/>
      <c r="G301" s="93"/>
      <c r="H301" s="93"/>
      <c r="I301" s="93"/>
    </row>
    <row r="302" spans="1:9" ht="30" customHeight="1" x14ac:dyDescent="0.25">
      <c r="A302" s="116" t="s">
        <v>633</v>
      </c>
      <c r="B302" s="92">
        <f t="shared" si="4"/>
        <v>3152</v>
      </c>
      <c r="C302" s="93"/>
      <c r="D302" s="93">
        <v>3152</v>
      </c>
      <c r="E302" s="93"/>
      <c r="F302" s="93"/>
      <c r="G302" s="93"/>
      <c r="H302" s="93"/>
      <c r="I302" s="93"/>
    </row>
    <row r="303" spans="1:9" ht="28.5" customHeight="1" x14ac:dyDescent="0.25">
      <c r="A303" s="34" t="s">
        <v>191</v>
      </c>
      <c r="B303" s="92">
        <f t="shared" si="4"/>
        <v>169104</v>
      </c>
      <c r="C303" s="93">
        <v>14104</v>
      </c>
      <c r="D303" s="93">
        <v>13597</v>
      </c>
      <c r="E303" s="93"/>
      <c r="F303" s="93"/>
      <c r="G303" s="93">
        <f>75+141328</f>
        <v>141403</v>
      </c>
      <c r="H303" s="93"/>
      <c r="I303" s="93"/>
    </row>
    <row r="304" spans="1:9" ht="15" customHeight="1" x14ac:dyDescent="0.25">
      <c r="A304" s="32" t="s">
        <v>46</v>
      </c>
      <c r="B304" s="92">
        <f t="shared" si="4"/>
        <v>8000</v>
      </c>
      <c r="C304" s="93"/>
      <c r="D304" s="93"/>
      <c r="E304" s="93"/>
      <c r="F304" s="93"/>
      <c r="G304" s="93"/>
      <c r="H304" s="93">
        <v>8000</v>
      </c>
      <c r="I304" s="93"/>
    </row>
    <row r="305" spans="1:9" ht="35.25" customHeight="1" x14ac:dyDescent="0.25">
      <c r="A305" s="33" t="s">
        <v>76</v>
      </c>
      <c r="B305" s="92">
        <f t="shared" si="4"/>
        <v>151350</v>
      </c>
      <c r="C305" s="93"/>
      <c r="D305" s="93">
        <v>1350</v>
      </c>
      <c r="E305" s="93"/>
      <c r="F305" s="93"/>
      <c r="G305" s="93"/>
      <c r="H305" s="93"/>
      <c r="I305" s="93">
        <v>150000</v>
      </c>
    </row>
    <row r="306" spans="1:9" ht="30" customHeight="1" x14ac:dyDescent="0.25">
      <c r="A306" s="33" t="s">
        <v>59</v>
      </c>
      <c r="B306" s="92">
        <f t="shared" si="4"/>
        <v>4999</v>
      </c>
      <c r="C306" s="93">
        <v>371</v>
      </c>
      <c r="D306" s="93">
        <v>2628</v>
      </c>
      <c r="E306" s="93"/>
      <c r="F306" s="93"/>
      <c r="G306" s="93">
        <v>2000</v>
      </c>
      <c r="H306" s="93"/>
      <c r="I306" s="93"/>
    </row>
    <row r="307" spans="1:9" ht="30" customHeight="1" x14ac:dyDescent="0.25">
      <c r="A307" s="33" t="s">
        <v>217</v>
      </c>
      <c r="B307" s="92">
        <f t="shared" si="4"/>
        <v>61459</v>
      </c>
      <c r="C307" s="93">
        <v>27699</v>
      </c>
      <c r="D307" s="93">
        <v>31000</v>
      </c>
      <c r="E307" s="93">
        <v>2760</v>
      </c>
      <c r="F307" s="93"/>
      <c r="G307" s="93"/>
      <c r="H307" s="93"/>
      <c r="I307" s="93"/>
    </row>
    <row r="308" spans="1:9" ht="30" customHeight="1" x14ac:dyDescent="0.25">
      <c r="A308" s="34" t="s">
        <v>153</v>
      </c>
      <c r="B308" s="92">
        <f t="shared" si="4"/>
        <v>76655</v>
      </c>
      <c r="C308" s="93">
        <v>43280</v>
      </c>
      <c r="D308" s="93">
        <v>30375</v>
      </c>
      <c r="E308" s="93"/>
      <c r="F308" s="93"/>
      <c r="G308" s="93">
        <v>3000</v>
      </c>
      <c r="H308" s="93"/>
      <c r="I308" s="93"/>
    </row>
    <row r="309" spans="1:9" ht="30" customHeight="1" x14ac:dyDescent="0.25">
      <c r="A309" s="33" t="s">
        <v>239</v>
      </c>
      <c r="B309" s="92">
        <f t="shared" si="4"/>
        <v>2150</v>
      </c>
      <c r="C309" s="93">
        <v>86</v>
      </c>
      <c r="D309" s="93">
        <v>2064</v>
      </c>
      <c r="E309" s="93"/>
      <c r="F309" s="93"/>
      <c r="G309" s="93"/>
      <c r="H309" s="93"/>
      <c r="I309" s="93"/>
    </row>
    <row r="310" spans="1:9" ht="30" customHeight="1" x14ac:dyDescent="0.25">
      <c r="A310" s="33" t="s">
        <v>599</v>
      </c>
      <c r="B310" s="92">
        <f t="shared" si="4"/>
        <v>4415</v>
      </c>
      <c r="C310" s="93">
        <v>2000</v>
      </c>
      <c r="D310" s="93">
        <v>2415</v>
      </c>
      <c r="E310" s="93"/>
      <c r="F310" s="93"/>
      <c r="G310" s="93"/>
      <c r="H310" s="93"/>
      <c r="I310" s="93"/>
    </row>
    <row r="311" spans="1:9" ht="30" customHeight="1" x14ac:dyDescent="0.25">
      <c r="A311" s="33" t="s">
        <v>603</v>
      </c>
      <c r="B311" s="92">
        <f t="shared" si="4"/>
        <v>8111</v>
      </c>
      <c r="C311" s="93"/>
      <c r="D311" s="93">
        <v>8111</v>
      </c>
      <c r="E311" s="93"/>
      <c r="F311" s="93"/>
      <c r="G311" s="93"/>
      <c r="H311" s="93"/>
      <c r="I311" s="93"/>
    </row>
    <row r="312" spans="1:9" ht="30" customHeight="1" x14ac:dyDescent="0.25">
      <c r="A312" s="33" t="s">
        <v>602</v>
      </c>
      <c r="B312" s="92">
        <f t="shared" si="4"/>
        <v>4370</v>
      </c>
      <c r="C312" s="93"/>
      <c r="D312" s="93">
        <v>4370</v>
      </c>
      <c r="E312" s="93"/>
      <c r="F312" s="93"/>
      <c r="G312" s="93"/>
      <c r="H312" s="93"/>
      <c r="I312" s="93"/>
    </row>
    <row r="313" spans="1:9" ht="46.5" customHeight="1" x14ac:dyDescent="0.25">
      <c r="A313" s="33" t="s">
        <v>251</v>
      </c>
      <c r="B313" s="92">
        <f t="shared" si="4"/>
        <v>15589</v>
      </c>
      <c r="C313" s="93"/>
      <c r="D313" s="93">
        <v>15589</v>
      </c>
      <c r="E313" s="93"/>
      <c r="F313" s="93"/>
      <c r="G313" s="93"/>
      <c r="H313" s="93"/>
      <c r="I313" s="93"/>
    </row>
    <row r="314" spans="1:9" ht="30" customHeight="1" x14ac:dyDescent="0.25">
      <c r="A314" s="31" t="s">
        <v>238</v>
      </c>
      <c r="B314" s="92">
        <f t="shared" ref="B314:B373" si="5">SUM(C314:I314)</f>
        <v>17793</v>
      </c>
      <c r="C314" s="93">
        <v>1213</v>
      </c>
      <c r="D314" s="93">
        <v>16580</v>
      </c>
      <c r="E314" s="93"/>
      <c r="F314" s="93"/>
      <c r="G314" s="93"/>
      <c r="H314" s="93"/>
      <c r="I314" s="93"/>
    </row>
    <row r="315" spans="1:9" ht="15" customHeight="1" x14ac:dyDescent="0.25">
      <c r="A315" s="35" t="s">
        <v>560</v>
      </c>
      <c r="B315" s="92">
        <f t="shared" si="5"/>
        <v>33496</v>
      </c>
      <c r="C315" s="97"/>
      <c r="D315" s="93">
        <v>33496</v>
      </c>
      <c r="E315" s="97"/>
      <c r="F315" s="97"/>
      <c r="G315" s="97"/>
      <c r="H315" s="97"/>
      <c r="I315" s="97"/>
    </row>
    <row r="316" spans="1:9" ht="30" customHeight="1" x14ac:dyDescent="0.25">
      <c r="A316" s="33" t="s">
        <v>252</v>
      </c>
      <c r="B316" s="92">
        <f t="shared" si="5"/>
        <v>11450</v>
      </c>
      <c r="C316" s="93">
        <v>3750</v>
      </c>
      <c r="D316" s="93">
        <v>7700</v>
      </c>
      <c r="E316" s="93"/>
      <c r="F316" s="93"/>
      <c r="G316" s="93"/>
      <c r="H316" s="93"/>
      <c r="I316" s="93"/>
    </row>
    <row r="317" spans="1:9" ht="48.75" customHeight="1" x14ac:dyDescent="0.25">
      <c r="A317" s="33" t="s">
        <v>634</v>
      </c>
      <c r="B317" s="92">
        <f t="shared" si="5"/>
        <v>4000</v>
      </c>
      <c r="C317" s="93"/>
      <c r="D317" s="93">
        <v>4000</v>
      </c>
      <c r="E317" s="93"/>
      <c r="F317" s="93"/>
      <c r="G317" s="93"/>
      <c r="H317" s="93"/>
      <c r="I317" s="93"/>
    </row>
    <row r="318" spans="1:9" ht="30" customHeight="1" x14ac:dyDescent="0.25">
      <c r="A318" s="33" t="s">
        <v>646</v>
      </c>
      <c r="B318" s="92">
        <f t="shared" si="5"/>
        <v>79852</v>
      </c>
      <c r="C318" s="93">
        <v>79078</v>
      </c>
      <c r="D318" s="93">
        <v>774</v>
      </c>
      <c r="E318" s="93"/>
      <c r="F318" s="93"/>
      <c r="G318" s="93"/>
      <c r="H318" s="93"/>
      <c r="I318" s="93"/>
    </row>
    <row r="319" spans="1:9" ht="30" customHeight="1" x14ac:dyDescent="0.25">
      <c r="A319" s="33" t="s">
        <v>243</v>
      </c>
      <c r="B319" s="92">
        <f t="shared" si="5"/>
        <v>51760</v>
      </c>
      <c r="C319" s="93"/>
      <c r="D319" s="93"/>
      <c r="E319" s="93"/>
      <c r="F319" s="93"/>
      <c r="G319" s="93">
        <v>51760</v>
      </c>
      <c r="H319" s="93"/>
      <c r="I319" s="93"/>
    </row>
    <row r="320" spans="1:9" ht="30" customHeight="1" x14ac:dyDescent="0.25">
      <c r="A320" s="33" t="s">
        <v>240</v>
      </c>
      <c r="B320" s="92">
        <f t="shared" si="5"/>
        <v>796001</v>
      </c>
      <c r="C320" s="93"/>
      <c r="D320" s="93"/>
      <c r="E320" s="93"/>
      <c r="F320" s="93"/>
      <c r="G320" s="93">
        <v>796001</v>
      </c>
      <c r="H320" s="93"/>
      <c r="I320" s="93"/>
    </row>
    <row r="321" spans="1:9" ht="45" customHeight="1" x14ac:dyDescent="0.25">
      <c r="A321" s="33" t="s">
        <v>242</v>
      </c>
      <c r="B321" s="92">
        <f t="shared" si="5"/>
        <v>380787</v>
      </c>
      <c r="C321" s="93"/>
      <c r="D321" s="93"/>
      <c r="E321" s="93"/>
      <c r="F321" s="93"/>
      <c r="G321" s="93">
        <v>380787</v>
      </c>
      <c r="H321" s="93"/>
      <c r="I321" s="93"/>
    </row>
    <row r="322" spans="1:9" ht="25.5" customHeight="1" x14ac:dyDescent="0.25">
      <c r="A322" s="32" t="s">
        <v>48</v>
      </c>
      <c r="B322" s="92">
        <f t="shared" si="5"/>
        <v>237717</v>
      </c>
      <c r="C322" s="93">
        <v>218584</v>
      </c>
      <c r="D322" s="93">
        <v>19133</v>
      </c>
      <c r="E322" s="93"/>
      <c r="F322" s="93"/>
      <c r="G322" s="93"/>
      <c r="H322" s="93"/>
      <c r="I322" s="93"/>
    </row>
    <row r="323" spans="1:9" ht="21" customHeight="1" x14ac:dyDescent="0.25">
      <c r="A323" s="32" t="s">
        <v>176</v>
      </c>
      <c r="B323" s="92">
        <f t="shared" si="5"/>
        <v>636779</v>
      </c>
      <c r="C323" s="93">
        <f>598528+C324</f>
        <v>558528</v>
      </c>
      <c r="D323" s="93">
        <v>78251</v>
      </c>
      <c r="E323" s="93"/>
      <c r="F323" s="93"/>
      <c r="G323" s="93"/>
      <c r="H323" s="93"/>
      <c r="I323" s="93"/>
    </row>
    <row r="324" spans="1:9" ht="21" customHeight="1" x14ac:dyDescent="0.25">
      <c r="A324" s="116" t="s">
        <v>633</v>
      </c>
      <c r="B324" s="92">
        <f t="shared" si="5"/>
        <v>-40000</v>
      </c>
      <c r="C324" s="93">
        <v>-40000</v>
      </c>
      <c r="D324" s="93"/>
      <c r="E324" s="93"/>
      <c r="F324" s="93"/>
      <c r="G324" s="93"/>
      <c r="H324" s="93"/>
      <c r="I324" s="93"/>
    </row>
    <row r="325" spans="1:9" ht="15" customHeight="1" x14ac:dyDescent="0.25">
      <c r="A325" s="32" t="s">
        <v>226</v>
      </c>
      <c r="B325" s="92">
        <f t="shared" si="5"/>
        <v>1065186</v>
      </c>
      <c r="C325" s="93"/>
      <c r="D325" s="93"/>
      <c r="E325" s="93"/>
      <c r="F325" s="93"/>
      <c r="G325" s="93"/>
      <c r="H325" s="93">
        <f>960073+H326</f>
        <v>1065186</v>
      </c>
      <c r="I325" s="93"/>
    </row>
    <row r="326" spans="1:9" ht="23.25" customHeight="1" x14ac:dyDescent="0.25">
      <c r="A326" s="116" t="s">
        <v>633</v>
      </c>
      <c r="B326" s="92">
        <f t="shared" si="5"/>
        <v>105113</v>
      </c>
      <c r="C326" s="93"/>
      <c r="D326" s="93"/>
      <c r="E326" s="93"/>
      <c r="F326" s="93"/>
      <c r="G326" s="93"/>
      <c r="H326" s="93">
        <v>105113</v>
      </c>
      <c r="I326" s="93"/>
    </row>
    <row r="327" spans="1:9" ht="31.5" customHeight="1" x14ac:dyDescent="0.25">
      <c r="A327" s="32" t="s">
        <v>170</v>
      </c>
      <c r="B327" s="92">
        <f>SUM(C327:I327)</f>
        <v>22990</v>
      </c>
      <c r="C327" s="93"/>
      <c r="D327" s="93"/>
      <c r="E327" s="93"/>
      <c r="F327" s="93"/>
      <c r="G327" s="93"/>
      <c r="H327" s="93">
        <v>22990</v>
      </c>
      <c r="I327" s="93"/>
    </row>
    <row r="328" spans="1:9" ht="21.75" customHeight="1" x14ac:dyDescent="0.25">
      <c r="A328" s="32" t="s">
        <v>49</v>
      </c>
      <c r="B328" s="92">
        <f t="shared" si="5"/>
        <v>21813</v>
      </c>
      <c r="C328" s="93"/>
      <c r="D328" s="93">
        <v>21813</v>
      </c>
      <c r="E328" s="93"/>
      <c r="F328" s="93"/>
      <c r="G328" s="93"/>
      <c r="H328" s="93"/>
      <c r="I328" s="93"/>
    </row>
    <row r="329" spans="1:9" ht="21.75" customHeight="1" x14ac:dyDescent="0.25">
      <c r="A329" s="32" t="s">
        <v>61</v>
      </c>
      <c r="B329" s="92">
        <f t="shared" si="5"/>
        <v>146740</v>
      </c>
      <c r="C329" s="93">
        <v>45671</v>
      </c>
      <c r="D329" s="93">
        <v>5509</v>
      </c>
      <c r="E329" s="93"/>
      <c r="F329" s="93"/>
      <c r="G329" s="93">
        <v>680</v>
      </c>
      <c r="H329" s="93">
        <v>94880</v>
      </c>
      <c r="I329" s="93"/>
    </row>
    <row r="330" spans="1:9" ht="21" customHeight="1" x14ac:dyDescent="0.25">
      <c r="A330" s="32" t="s">
        <v>47</v>
      </c>
      <c r="B330" s="92">
        <f t="shared" si="5"/>
        <v>1698711</v>
      </c>
      <c r="C330" s="93">
        <f>934580+C331</f>
        <v>975104</v>
      </c>
      <c r="D330" s="93">
        <f>683664+D331</f>
        <v>722007</v>
      </c>
      <c r="E330" s="93"/>
      <c r="F330" s="93"/>
      <c r="G330" s="93"/>
      <c r="H330" s="93">
        <v>1600</v>
      </c>
      <c r="I330" s="93"/>
    </row>
    <row r="331" spans="1:9" ht="23.25" customHeight="1" x14ac:dyDescent="0.25">
      <c r="A331" s="117" t="s">
        <v>633</v>
      </c>
      <c r="B331" s="92">
        <f t="shared" si="5"/>
        <v>78867</v>
      </c>
      <c r="C331" s="93">
        <v>40524</v>
      </c>
      <c r="D331" s="93">
        <v>38343</v>
      </c>
      <c r="E331" s="93"/>
      <c r="F331" s="93"/>
      <c r="G331" s="93"/>
      <c r="H331" s="93"/>
      <c r="I331" s="93"/>
    </row>
    <row r="332" spans="1:9" ht="24.75" customHeight="1" x14ac:dyDescent="0.25">
      <c r="A332" s="32" t="s">
        <v>121</v>
      </c>
      <c r="B332" s="92">
        <f t="shared" si="5"/>
        <v>325889</v>
      </c>
      <c r="C332" s="93">
        <f>193546+C333</f>
        <v>219763</v>
      </c>
      <c r="D332" s="93">
        <v>106126</v>
      </c>
      <c r="E332" s="93"/>
      <c r="F332" s="93"/>
      <c r="G332" s="93"/>
      <c r="H332" s="93"/>
      <c r="I332" s="93"/>
    </row>
    <row r="333" spans="1:9" ht="24.75" customHeight="1" x14ac:dyDescent="0.25">
      <c r="A333" s="117" t="s">
        <v>633</v>
      </c>
      <c r="B333" s="92">
        <f t="shared" si="5"/>
        <v>26217</v>
      </c>
      <c r="C333" s="93">
        <v>26217</v>
      </c>
      <c r="D333" s="93"/>
      <c r="E333" s="93"/>
      <c r="F333" s="93"/>
      <c r="G333" s="93"/>
      <c r="H333" s="93"/>
      <c r="I333" s="93"/>
    </row>
    <row r="334" spans="1:9" ht="28.5" customHeight="1" x14ac:dyDescent="0.25">
      <c r="A334" s="31" t="s">
        <v>123</v>
      </c>
      <c r="B334" s="92">
        <f t="shared" si="5"/>
        <v>207320</v>
      </c>
      <c r="C334" s="93">
        <f>128124+C335</f>
        <v>142587</v>
      </c>
      <c r="D334" s="93">
        <v>63933</v>
      </c>
      <c r="E334" s="93"/>
      <c r="F334" s="93"/>
      <c r="G334" s="93"/>
      <c r="H334" s="93">
        <v>800</v>
      </c>
      <c r="I334" s="93"/>
    </row>
    <row r="335" spans="1:9" ht="27.75" customHeight="1" x14ac:dyDescent="0.25">
      <c r="A335" s="117" t="s">
        <v>633</v>
      </c>
      <c r="B335" s="92">
        <f t="shared" si="5"/>
        <v>14463</v>
      </c>
      <c r="C335" s="93">
        <v>14463</v>
      </c>
      <c r="D335" s="93">
        <v>0</v>
      </c>
      <c r="E335" s="93"/>
      <c r="F335" s="93"/>
      <c r="G335" s="93"/>
      <c r="H335" s="93"/>
      <c r="I335" s="93"/>
    </row>
    <row r="336" spans="1:9" ht="31.5" customHeight="1" x14ac:dyDescent="0.25">
      <c r="A336" s="31" t="s">
        <v>122</v>
      </c>
      <c r="B336" s="92">
        <f t="shared" si="5"/>
        <v>274102</v>
      </c>
      <c r="C336" s="93">
        <v>192908</v>
      </c>
      <c r="D336" s="93">
        <v>80154</v>
      </c>
      <c r="E336" s="93"/>
      <c r="F336" s="93"/>
      <c r="G336" s="93"/>
      <c r="H336" s="93">
        <v>1040</v>
      </c>
      <c r="I336" s="93"/>
    </row>
    <row r="337" spans="1:9" ht="29.25" customHeight="1" x14ac:dyDescent="0.25">
      <c r="A337" s="33" t="s">
        <v>79</v>
      </c>
      <c r="B337" s="92">
        <f t="shared" si="5"/>
        <v>311921</v>
      </c>
      <c r="C337" s="93">
        <v>225695</v>
      </c>
      <c r="D337" s="93">
        <v>78826</v>
      </c>
      <c r="E337" s="93"/>
      <c r="F337" s="93"/>
      <c r="G337" s="93"/>
      <c r="H337" s="93">
        <v>7400</v>
      </c>
      <c r="I337" s="93"/>
    </row>
    <row r="338" spans="1:9" ht="15" customHeight="1" x14ac:dyDescent="0.25">
      <c r="A338" s="35" t="s">
        <v>177</v>
      </c>
      <c r="B338" s="92">
        <f t="shared" si="5"/>
        <v>81177</v>
      </c>
      <c r="C338" s="104">
        <v>69999</v>
      </c>
      <c r="D338" s="93">
        <v>11178</v>
      </c>
      <c r="E338" s="105"/>
      <c r="F338" s="105"/>
      <c r="G338" s="105"/>
      <c r="H338" s="105"/>
      <c r="I338" s="105"/>
    </row>
    <row r="339" spans="1:9" ht="30" customHeight="1" x14ac:dyDescent="0.25">
      <c r="A339" s="34" t="s">
        <v>178</v>
      </c>
      <c r="B339" s="92">
        <f t="shared" si="5"/>
        <v>132055</v>
      </c>
      <c r="C339" s="93">
        <v>105188</v>
      </c>
      <c r="D339" s="93">
        <v>26867</v>
      </c>
      <c r="E339" s="93"/>
      <c r="F339" s="93"/>
      <c r="G339" s="93"/>
      <c r="H339" s="93"/>
      <c r="I339" s="93"/>
    </row>
    <row r="340" spans="1:9" ht="30" customHeight="1" x14ac:dyDescent="0.25">
      <c r="A340" s="38" t="s">
        <v>160</v>
      </c>
      <c r="B340" s="92">
        <f t="shared" si="5"/>
        <v>5535</v>
      </c>
      <c r="C340" s="106">
        <v>4790</v>
      </c>
      <c r="D340" s="93">
        <v>745</v>
      </c>
      <c r="E340" s="107"/>
      <c r="F340" s="107"/>
      <c r="G340" s="107"/>
      <c r="H340" s="107"/>
      <c r="I340" s="107"/>
    </row>
    <row r="341" spans="1:9" ht="15" customHeight="1" x14ac:dyDescent="0.25">
      <c r="A341" s="39" t="s">
        <v>559</v>
      </c>
      <c r="B341" s="92">
        <f t="shared" si="5"/>
        <v>620</v>
      </c>
      <c r="C341" s="101"/>
      <c r="D341" s="93">
        <v>620</v>
      </c>
      <c r="E341" s="102"/>
      <c r="F341" s="102"/>
      <c r="G341" s="102"/>
      <c r="H341" s="102"/>
      <c r="I341" s="102"/>
    </row>
    <row r="342" spans="1:9" ht="27.75" customHeight="1" x14ac:dyDescent="0.25">
      <c r="A342" s="32" t="s">
        <v>50</v>
      </c>
      <c r="B342" s="92">
        <f t="shared" si="5"/>
        <v>492802</v>
      </c>
      <c r="C342" s="93">
        <f>433127+C343</f>
        <v>441292</v>
      </c>
      <c r="D342" s="93">
        <v>49510</v>
      </c>
      <c r="E342" s="93"/>
      <c r="F342" s="93"/>
      <c r="G342" s="93">
        <v>2000</v>
      </c>
      <c r="H342" s="93"/>
      <c r="I342" s="93"/>
    </row>
    <row r="343" spans="1:9" ht="27.75" customHeight="1" x14ac:dyDescent="0.25">
      <c r="A343" s="118" t="s">
        <v>633</v>
      </c>
      <c r="B343" s="92">
        <f t="shared" si="5"/>
        <v>8165</v>
      </c>
      <c r="C343" s="93">
        <v>8165</v>
      </c>
      <c r="D343" s="93"/>
      <c r="E343" s="93"/>
      <c r="F343" s="93"/>
      <c r="G343" s="93"/>
      <c r="H343" s="93"/>
      <c r="I343" s="93"/>
    </row>
    <row r="344" spans="1:9" ht="15" customHeight="1" x14ac:dyDescent="0.25">
      <c r="A344" s="33" t="s">
        <v>56</v>
      </c>
      <c r="B344" s="92">
        <f t="shared" si="5"/>
        <v>462678</v>
      </c>
      <c r="C344" s="93">
        <v>128165</v>
      </c>
      <c r="D344" s="93">
        <v>7600</v>
      </c>
      <c r="E344" s="93"/>
      <c r="F344" s="93"/>
      <c r="G344" s="93">
        <v>37383</v>
      </c>
      <c r="H344" s="93">
        <v>289530</v>
      </c>
      <c r="I344" s="93"/>
    </row>
    <row r="345" spans="1:9" ht="15" customHeight="1" x14ac:dyDescent="0.25">
      <c r="A345" s="32" t="s">
        <v>55</v>
      </c>
      <c r="B345" s="92">
        <f t="shared" si="5"/>
        <v>58312</v>
      </c>
      <c r="C345" s="93">
        <v>35180</v>
      </c>
      <c r="D345" s="93">
        <v>21299</v>
      </c>
      <c r="E345" s="93"/>
      <c r="F345" s="93"/>
      <c r="G345" s="93">
        <v>1833</v>
      </c>
      <c r="H345" s="93"/>
      <c r="I345" s="93"/>
    </row>
    <row r="346" spans="1:9" ht="15" customHeight="1" x14ac:dyDescent="0.25">
      <c r="A346" s="33" t="s">
        <v>219</v>
      </c>
      <c r="B346" s="92">
        <f t="shared" si="5"/>
        <v>1450</v>
      </c>
      <c r="C346" s="93"/>
      <c r="D346" s="93"/>
      <c r="E346" s="93">
        <v>1450</v>
      </c>
      <c r="F346" s="93"/>
      <c r="G346" s="93"/>
      <c r="H346" s="93"/>
      <c r="I346" s="93"/>
    </row>
    <row r="347" spans="1:9" ht="15" customHeight="1" x14ac:dyDescent="0.25">
      <c r="A347" s="33" t="s">
        <v>220</v>
      </c>
      <c r="B347" s="92">
        <f t="shared" si="5"/>
        <v>1200</v>
      </c>
      <c r="C347" s="93"/>
      <c r="D347" s="93"/>
      <c r="E347" s="93">
        <v>1200</v>
      </c>
      <c r="F347" s="93"/>
      <c r="G347" s="93"/>
      <c r="H347" s="93"/>
      <c r="I347" s="93"/>
    </row>
    <row r="348" spans="1:9" ht="15" customHeight="1" x14ac:dyDescent="0.25">
      <c r="A348" s="33" t="s">
        <v>221</v>
      </c>
      <c r="B348" s="92">
        <f t="shared" si="5"/>
        <v>2000</v>
      </c>
      <c r="C348" s="93"/>
      <c r="D348" s="93"/>
      <c r="E348" s="93">
        <v>2000</v>
      </c>
      <c r="F348" s="93"/>
      <c r="G348" s="93"/>
      <c r="H348" s="93"/>
      <c r="I348" s="93"/>
    </row>
    <row r="349" spans="1:9" ht="15" customHeight="1" x14ac:dyDescent="0.25">
      <c r="A349" s="33" t="s">
        <v>229</v>
      </c>
      <c r="B349" s="92">
        <f t="shared" si="5"/>
        <v>516949</v>
      </c>
      <c r="C349" s="93"/>
      <c r="D349" s="93"/>
      <c r="E349" s="93"/>
      <c r="F349" s="93"/>
      <c r="G349" s="93">
        <v>516949</v>
      </c>
      <c r="H349" s="93"/>
      <c r="I349" s="93"/>
    </row>
    <row r="350" spans="1:9" ht="15" customHeight="1" x14ac:dyDescent="0.25">
      <c r="A350" s="33" t="s">
        <v>553</v>
      </c>
      <c r="B350" s="92">
        <f t="shared" si="5"/>
        <v>20812</v>
      </c>
      <c r="C350" s="93"/>
      <c r="D350" s="93"/>
      <c r="E350" s="93"/>
      <c r="F350" s="93"/>
      <c r="G350" s="93">
        <v>20812</v>
      </c>
      <c r="H350" s="93"/>
      <c r="I350" s="93"/>
    </row>
    <row r="351" spans="1:9" ht="31.5" customHeight="1" x14ac:dyDescent="0.25">
      <c r="A351" s="33" t="s">
        <v>589</v>
      </c>
      <c r="B351" s="92">
        <f t="shared" si="5"/>
        <v>10742</v>
      </c>
      <c r="C351" s="93"/>
      <c r="D351" s="93"/>
      <c r="E351" s="93"/>
      <c r="F351" s="93"/>
      <c r="G351" s="93">
        <v>10742</v>
      </c>
      <c r="H351" s="93"/>
      <c r="I351" s="93"/>
    </row>
    <row r="352" spans="1:9" ht="15" customHeight="1" x14ac:dyDescent="0.25">
      <c r="A352" s="33" t="s">
        <v>586</v>
      </c>
      <c r="B352" s="92">
        <f t="shared" si="5"/>
        <v>138837</v>
      </c>
      <c r="C352" s="93"/>
      <c r="D352" s="93"/>
      <c r="E352" s="93"/>
      <c r="F352" s="93"/>
      <c r="G352" s="93">
        <v>138837</v>
      </c>
      <c r="H352" s="93"/>
      <c r="I352" s="93"/>
    </row>
    <row r="353" spans="1:9" ht="30" customHeight="1" x14ac:dyDescent="0.25">
      <c r="A353" s="33" t="s">
        <v>610</v>
      </c>
      <c r="B353" s="92">
        <f t="shared" si="5"/>
        <v>257344</v>
      </c>
      <c r="C353" s="93"/>
      <c r="D353" s="93"/>
      <c r="E353" s="93"/>
      <c r="F353" s="93"/>
      <c r="G353" s="93">
        <v>257344</v>
      </c>
      <c r="H353" s="93"/>
      <c r="I353" s="93"/>
    </row>
    <row r="354" spans="1:9" ht="30" customHeight="1" x14ac:dyDescent="0.25">
      <c r="A354" s="33" t="s">
        <v>627</v>
      </c>
      <c r="B354" s="92">
        <f t="shared" si="5"/>
        <v>12510</v>
      </c>
      <c r="C354" s="93">
        <v>800</v>
      </c>
      <c r="D354" s="93">
        <v>11710</v>
      </c>
      <c r="E354" s="93"/>
      <c r="F354" s="93"/>
      <c r="G354" s="93"/>
      <c r="H354" s="93"/>
      <c r="I354" s="93"/>
    </row>
    <row r="355" spans="1:9" ht="30" customHeight="1" x14ac:dyDescent="0.25">
      <c r="A355" s="33" t="s">
        <v>164</v>
      </c>
      <c r="B355" s="92">
        <f t="shared" si="5"/>
        <v>604497</v>
      </c>
      <c r="C355" s="93"/>
      <c r="D355" s="93"/>
      <c r="E355" s="93"/>
      <c r="F355" s="93"/>
      <c r="G355" s="93">
        <v>604497</v>
      </c>
      <c r="H355" s="93"/>
      <c r="I355" s="93"/>
    </row>
    <row r="356" spans="1:9" ht="50.25" customHeight="1" x14ac:dyDescent="0.25">
      <c r="A356" s="33" t="s">
        <v>206</v>
      </c>
      <c r="B356" s="92">
        <f t="shared" si="5"/>
        <v>43230</v>
      </c>
      <c r="C356" s="93"/>
      <c r="D356" s="93"/>
      <c r="E356" s="93"/>
      <c r="F356" s="93"/>
      <c r="G356" s="93">
        <v>43230</v>
      </c>
      <c r="H356" s="93"/>
      <c r="I356" s="93"/>
    </row>
    <row r="357" spans="1:9" ht="51.75" customHeight="1" x14ac:dyDescent="0.25">
      <c r="A357" s="33" t="s">
        <v>612</v>
      </c>
      <c r="B357" s="92">
        <f t="shared" si="5"/>
        <v>14000</v>
      </c>
      <c r="C357" s="93"/>
      <c r="D357" s="93">
        <v>14000</v>
      </c>
      <c r="E357" s="93"/>
      <c r="F357" s="93"/>
      <c r="G357" s="93"/>
      <c r="H357" s="93"/>
      <c r="I357" s="93"/>
    </row>
    <row r="358" spans="1:9" ht="30" customHeight="1" x14ac:dyDescent="0.25">
      <c r="A358" s="33" t="s">
        <v>628</v>
      </c>
      <c r="B358" s="92">
        <f t="shared" si="5"/>
        <v>800</v>
      </c>
      <c r="C358" s="93">
        <v>800</v>
      </c>
      <c r="D358" s="93"/>
      <c r="E358" s="93"/>
      <c r="F358" s="93"/>
      <c r="G358" s="93"/>
      <c r="H358" s="93"/>
      <c r="I358" s="93"/>
    </row>
    <row r="359" spans="1:9" ht="30" customHeight="1" x14ac:dyDescent="0.25">
      <c r="A359" s="33" t="s">
        <v>629</v>
      </c>
      <c r="B359" s="92">
        <f t="shared" si="5"/>
        <v>2000</v>
      </c>
      <c r="C359" s="93"/>
      <c r="D359" s="93"/>
      <c r="E359" s="93"/>
      <c r="F359" s="93"/>
      <c r="G359" s="93">
        <v>2000</v>
      </c>
      <c r="H359" s="93"/>
      <c r="I359" s="93"/>
    </row>
    <row r="360" spans="1:9" ht="30" customHeight="1" x14ac:dyDescent="0.25">
      <c r="A360" s="39" t="s">
        <v>563</v>
      </c>
      <c r="B360" s="92">
        <f t="shared" si="5"/>
        <v>93589</v>
      </c>
      <c r="C360" s="93">
        <f>5096+C361</f>
        <v>10949</v>
      </c>
      <c r="D360" s="93">
        <f>80258+D361</f>
        <v>80258</v>
      </c>
      <c r="E360" s="93"/>
      <c r="F360" s="93"/>
      <c r="G360" s="93"/>
      <c r="H360" s="93">
        <v>2269</v>
      </c>
      <c r="I360" s="93">
        <v>113</v>
      </c>
    </row>
    <row r="361" spans="1:9" ht="30" customHeight="1" x14ac:dyDescent="0.25">
      <c r="A361" s="118" t="s">
        <v>633</v>
      </c>
      <c r="B361" s="92">
        <f t="shared" si="5"/>
        <v>5853</v>
      </c>
      <c r="C361" s="93">
        <v>5853</v>
      </c>
      <c r="D361" s="93"/>
      <c r="E361" s="93"/>
      <c r="F361" s="93"/>
      <c r="G361" s="93"/>
      <c r="H361" s="93"/>
      <c r="I361" s="93"/>
    </row>
    <row r="362" spans="1:9" ht="32.1" customHeight="1" x14ac:dyDescent="0.25">
      <c r="A362" s="33" t="s">
        <v>175</v>
      </c>
      <c r="B362" s="92">
        <f t="shared" si="5"/>
        <v>100000</v>
      </c>
      <c r="C362" s="93"/>
      <c r="D362" s="93"/>
      <c r="E362" s="93"/>
      <c r="F362" s="93"/>
      <c r="G362" s="93">
        <v>100000</v>
      </c>
      <c r="H362" s="93"/>
      <c r="I362" s="93"/>
    </row>
    <row r="363" spans="1:9" ht="31.5" customHeight="1" x14ac:dyDescent="0.25">
      <c r="A363" s="33" t="s">
        <v>556</v>
      </c>
      <c r="B363" s="92">
        <f t="shared" si="5"/>
        <v>5000</v>
      </c>
      <c r="C363" s="93"/>
      <c r="D363" s="93"/>
      <c r="E363" s="93"/>
      <c r="F363" s="93"/>
      <c r="G363" s="93">
        <v>5000</v>
      </c>
      <c r="H363" s="93"/>
      <c r="I363" s="93"/>
    </row>
    <row r="364" spans="1:9" ht="30.75" customHeight="1" x14ac:dyDescent="0.25">
      <c r="A364" s="33" t="s">
        <v>561</v>
      </c>
      <c r="B364" s="92">
        <f>SUM(C364:I364)</f>
        <v>64302</v>
      </c>
      <c r="C364" s="93">
        <f>1609+1738</f>
        <v>3347</v>
      </c>
      <c r="D364" s="93">
        <v>1840</v>
      </c>
      <c r="E364" s="93"/>
      <c r="F364" s="93"/>
      <c r="G364" s="93">
        <v>1107</v>
      </c>
      <c r="H364" s="93">
        <f>8172+14182</f>
        <v>22354</v>
      </c>
      <c r="I364" s="93">
        <v>35654</v>
      </c>
    </row>
    <row r="365" spans="1:9" ht="30" customHeight="1" x14ac:dyDescent="0.25">
      <c r="A365" s="33" t="s">
        <v>227</v>
      </c>
      <c r="B365" s="92">
        <f t="shared" si="5"/>
        <v>500772</v>
      </c>
      <c r="C365" s="93"/>
      <c r="D365" s="93"/>
      <c r="E365" s="93"/>
      <c r="F365" s="93"/>
      <c r="G365" s="93">
        <v>500772</v>
      </c>
      <c r="H365" s="93"/>
      <c r="I365" s="93"/>
    </row>
    <row r="366" spans="1:9" ht="30" customHeight="1" x14ac:dyDescent="0.25">
      <c r="A366" s="33" t="s">
        <v>228</v>
      </c>
      <c r="B366" s="92">
        <f t="shared" si="5"/>
        <v>353157</v>
      </c>
      <c r="C366" s="93"/>
      <c r="D366" s="93"/>
      <c r="E366" s="93"/>
      <c r="F366" s="93"/>
      <c r="G366" s="93">
        <v>353157</v>
      </c>
      <c r="H366" s="93"/>
      <c r="I366" s="93"/>
    </row>
    <row r="367" spans="1:9" ht="46.5" customHeight="1" x14ac:dyDescent="0.25">
      <c r="A367" s="33" t="s">
        <v>597</v>
      </c>
      <c r="B367" s="92">
        <f t="shared" si="5"/>
        <v>773368</v>
      </c>
      <c r="C367" s="93"/>
      <c r="D367" s="93"/>
      <c r="E367" s="93"/>
      <c r="F367" s="93"/>
      <c r="G367" s="93">
        <f>733744+39624</f>
        <v>773368</v>
      </c>
      <c r="H367" s="93"/>
      <c r="I367" s="93"/>
    </row>
    <row r="368" spans="1:9" ht="33.75" customHeight="1" x14ac:dyDescent="0.25">
      <c r="A368" s="33" t="s">
        <v>653</v>
      </c>
      <c r="B368" s="92">
        <f t="shared" si="5"/>
        <v>5000</v>
      </c>
      <c r="C368" s="93">
        <v>618</v>
      </c>
      <c r="D368" s="93">
        <v>4382</v>
      </c>
      <c r="E368" s="93"/>
      <c r="F368" s="93"/>
      <c r="G368" s="93"/>
      <c r="H368" s="93"/>
      <c r="I368" s="93"/>
    </row>
    <row r="369" spans="1:9" ht="46.5" customHeight="1" x14ac:dyDescent="0.25">
      <c r="A369" s="33" t="s">
        <v>655</v>
      </c>
      <c r="B369" s="92">
        <f t="shared" si="5"/>
        <v>1550</v>
      </c>
      <c r="C369" s="93">
        <v>1550</v>
      </c>
      <c r="D369" s="93"/>
      <c r="E369" s="93"/>
      <c r="F369" s="93"/>
      <c r="G369" s="93"/>
      <c r="H369" s="93"/>
      <c r="I369" s="93"/>
    </row>
    <row r="370" spans="1:9" ht="35.25" customHeight="1" x14ac:dyDescent="0.25">
      <c r="A370" s="33" t="s">
        <v>656</v>
      </c>
      <c r="B370" s="92">
        <f t="shared" si="5"/>
        <v>600</v>
      </c>
      <c r="C370" s="93">
        <v>600</v>
      </c>
      <c r="D370" s="93"/>
      <c r="E370" s="93"/>
      <c r="F370" s="93"/>
      <c r="G370" s="93"/>
      <c r="H370" s="93"/>
      <c r="I370" s="93"/>
    </row>
    <row r="371" spans="1:9" ht="26.25" customHeight="1" x14ac:dyDescent="0.25">
      <c r="A371" s="33" t="s">
        <v>654</v>
      </c>
      <c r="B371" s="92">
        <f t="shared" si="5"/>
        <v>1000</v>
      </c>
      <c r="C371" s="93">
        <v>1000</v>
      </c>
      <c r="D371" s="93"/>
      <c r="E371" s="93"/>
      <c r="F371" s="93"/>
      <c r="G371" s="93"/>
      <c r="H371" s="93"/>
      <c r="I371" s="93"/>
    </row>
    <row r="372" spans="1:9" ht="31.5" customHeight="1" x14ac:dyDescent="0.25">
      <c r="A372" s="33" t="s">
        <v>658</v>
      </c>
      <c r="B372" s="92">
        <f t="shared" si="5"/>
        <v>2530</v>
      </c>
      <c r="C372" s="93"/>
      <c r="D372" s="93"/>
      <c r="E372" s="93"/>
      <c r="F372" s="93"/>
      <c r="G372" s="93"/>
      <c r="H372" s="93">
        <f>2250+140+140</f>
        <v>2530</v>
      </c>
      <c r="I372" s="93"/>
    </row>
    <row r="373" spans="1:9" ht="24" customHeight="1" x14ac:dyDescent="0.25">
      <c r="A373" s="115" t="s">
        <v>678</v>
      </c>
      <c r="B373" s="92">
        <f t="shared" si="5"/>
        <v>3000</v>
      </c>
      <c r="C373" s="93"/>
      <c r="D373" s="93"/>
      <c r="E373" s="93"/>
      <c r="F373" s="93"/>
      <c r="G373" s="93"/>
      <c r="H373" s="93">
        <v>3000</v>
      </c>
      <c r="I373" s="93"/>
    </row>
    <row r="374" spans="1:9" ht="46.5" customHeight="1" x14ac:dyDescent="0.25">
      <c r="A374" s="33" t="s">
        <v>651</v>
      </c>
      <c r="B374" s="92">
        <f>SUM(C374:I374)</f>
        <v>7056</v>
      </c>
      <c r="C374" s="93">
        <v>7056</v>
      </c>
      <c r="D374" s="93"/>
      <c r="E374" s="93"/>
      <c r="F374" s="93"/>
      <c r="G374" s="93"/>
      <c r="H374" s="93"/>
      <c r="I374" s="93"/>
    </row>
    <row r="375" spans="1:9" ht="33" customHeight="1" x14ac:dyDescent="0.25">
      <c r="A375" s="115" t="s">
        <v>676</v>
      </c>
      <c r="B375" s="92">
        <f>SUM(C375:I375)</f>
        <v>10317</v>
      </c>
      <c r="C375" s="93"/>
      <c r="D375" s="93">
        <v>10317</v>
      </c>
      <c r="E375" s="93"/>
      <c r="F375" s="93"/>
      <c r="G375" s="93"/>
      <c r="H375" s="93"/>
      <c r="I375" s="93"/>
    </row>
    <row r="376" spans="1:9" ht="33" customHeight="1" x14ac:dyDescent="0.25">
      <c r="A376" s="115" t="s">
        <v>677</v>
      </c>
      <c r="B376" s="92">
        <f>SUM(C376:I376)</f>
        <v>5513</v>
      </c>
      <c r="C376" s="93">
        <v>5513</v>
      </c>
      <c r="D376" s="93"/>
      <c r="E376" s="93"/>
      <c r="F376" s="93"/>
      <c r="G376" s="93"/>
      <c r="H376" s="93"/>
      <c r="I376" s="93"/>
    </row>
    <row r="377" spans="1:9" ht="15" customHeight="1" x14ac:dyDescent="0.25">
      <c r="A377" s="40" t="s">
        <v>51</v>
      </c>
      <c r="B377" s="119">
        <f>SUM(B18:B376)-B250-B256-B259-B267-B270-B272-B274-B278-B245-B302-B48-B243-B144-B335-B145-B331-B51-B361-B326-B21-B24-B55-B57-B66-B101-B103-B117-B129-B147-B169-B186-B235-B241-B324-B333-B343-B19</f>
        <v>40223253</v>
      </c>
      <c r="C377" s="119">
        <f t="shared" ref="C377:I377" si="6">SUM(C18:C376)-C250-C256-C259-C267-C270-C272-C274-C278-C245-C302-C48-C243-C144-C335-C145-C331-C51-C361-C326-C21-C24-C55-C57-C66-C101-C103-C117-C129-C147-C169-C186-C235-C241-C324-C333-C343-C19</f>
        <v>22252392</v>
      </c>
      <c r="D377" s="119">
        <f t="shared" si="6"/>
        <v>9180512</v>
      </c>
      <c r="E377" s="119">
        <f t="shared" si="6"/>
        <v>69319</v>
      </c>
      <c r="F377" s="119">
        <f t="shared" si="6"/>
        <v>466271</v>
      </c>
      <c r="G377" s="119">
        <f t="shared" si="6"/>
        <v>6047616</v>
      </c>
      <c r="H377" s="119">
        <f t="shared" si="6"/>
        <v>1999631</v>
      </c>
      <c r="I377" s="119">
        <f t="shared" si="6"/>
        <v>207512</v>
      </c>
    </row>
    <row r="378" spans="1:9" ht="30" customHeight="1" x14ac:dyDescent="0.25">
      <c r="A378" s="121"/>
      <c r="B378" s="109"/>
      <c r="C378" s="108"/>
      <c r="D378" s="108"/>
      <c r="E378" s="108"/>
      <c r="F378" s="108"/>
      <c r="G378" s="108"/>
      <c r="H378" s="108"/>
      <c r="I378" s="108"/>
    </row>
    <row r="379" spans="1:9" ht="30" customHeight="1" x14ac:dyDescent="0.25">
      <c r="A379" s="131" t="s">
        <v>686</v>
      </c>
      <c r="B379" s="132"/>
      <c r="C379" s="132"/>
      <c r="D379" s="132"/>
      <c r="E379" s="132"/>
      <c r="F379" s="132"/>
      <c r="G379" s="132"/>
      <c r="H379" s="132"/>
      <c r="I379" s="132"/>
    </row>
    <row r="380" spans="1:9" ht="45" customHeight="1" x14ac:dyDescent="0.25">
      <c r="A380" s="6"/>
      <c r="B380" s="64"/>
      <c r="C380" s="64"/>
      <c r="D380" s="64"/>
      <c r="E380" s="64"/>
      <c r="F380" s="64"/>
      <c r="G380" s="64"/>
      <c r="H380" s="64"/>
      <c r="I380" s="64"/>
    </row>
    <row r="381" spans="1:9" ht="45" customHeight="1" x14ac:dyDescent="0.3">
      <c r="A381" s="41"/>
      <c r="B381" s="110"/>
      <c r="D381" s="110"/>
      <c r="E381" s="110"/>
      <c r="F381" s="110"/>
      <c r="G381" s="110"/>
      <c r="H381" s="110"/>
      <c r="I381" s="110"/>
    </row>
    <row r="382" spans="1:9" ht="35.25" customHeight="1" x14ac:dyDescent="0.25">
      <c r="C382" s="111"/>
      <c r="D382" s="111"/>
      <c r="E382" s="111"/>
      <c r="F382" s="111"/>
      <c r="G382" s="111"/>
      <c r="H382" s="111"/>
      <c r="I382" s="111"/>
    </row>
    <row r="383" spans="1:9" ht="35.25" customHeight="1" x14ac:dyDescent="0.25">
      <c r="I383" s="111"/>
    </row>
    <row r="384" spans="1:9" ht="30" customHeight="1" x14ac:dyDescent="0.25"/>
    <row r="385" spans="1:9" ht="15" customHeight="1" x14ac:dyDescent="0.25"/>
    <row r="386" spans="1:9" ht="30" customHeight="1" x14ac:dyDescent="0.25"/>
    <row r="387" spans="1:9" ht="30" customHeight="1" x14ac:dyDescent="0.25"/>
    <row r="388" spans="1:9" ht="15" customHeight="1" x14ac:dyDescent="0.25">
      <c r="E388" s="111"/>
    </row>
    <row r="389" spans="1:9" ht="30" customHeight="1" x14ac:dyDescent="0.25"/>
    <row r="390" spans="1:9" ht="30" customHeight="1" x14ac:dyDescent="0.25"/>
    <row r="391" spans="1:9" ht="44.25" customHeight="1" x14ac:dyDescent="0.25"/>
    <row r="392" spans="1:9" ht="15" customHeight="1" x14ac:dyDescent="0.25"/>
    <row r="393" spans="1:9" ht="15" customHeight="1" x14ac:dyDescent="0.25"/>
    <row r="394" spans="1:9" ht="15" customHeight="1" x14ac:dyDescent="0.25"/>
    <row r="395" spans="1:9" s="6" customFormat="1" ht="15" customHeight="1" x14ac:dyDescent="0.25">
      <c r="A395" s="29"/>
      <c r="B395" s="48"/>
      <c r="C395" s="48"/>
      <c r="D395" s="48"/>
      <c r="E395" s="48"/>
      <c r="F395" s="48"/>
      <c r="G395" s="48"/>
      <c r="H395" s="48"/>
      <c r="I395" s="48"/>
    </row>
  </sheetData>
  <mergeCells count="5">
    <mergeCell ref="A13:I13"/>
    <mergeCell ref="C15:I15"/>
    <mergeCell ref="A15:A17"/>
    <mergeCell ref="B15:B17"/>
    <mergeCell ref="A379:I379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5" fitToHeight="0" orientation="landscape" r:id="rId1"/>
  <headerFooter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1.pielikums</vt:lpstr>
      <vt:lpstr>2.pielikums</vt:lpstr>
      <vt:lpstr>3.pielikums</vt:lpstr>
      <vt:lpstr>4.pielikums</vt:lpstr>
      <vt:lpstr>'4.pielikums'!Print_Area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Sanita Djadela</cp:lastModifiedBy>
  <cp:lastPrinted>2023-12-20T16:12:24Z</cp:lastPrinted>
  <dcterms:created xsi:type="dcterms:W3CDTF">2014-01-31T18:56:56Z</dcterms:created>
  <dcterms:modified xsi:type="dcterms:W3CDTF">2024-01-04T08:11:37Z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