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6_pielikums" sheetId="1" r:id="rId1"/>
  </sheets>
  <definedNames>
    <definedName name="Excel_BuiltIn_Print_Titles_1" localSheetId="0">'6_pielikums'!$A$4:$HL$6</definedName>
    <definedName name="Excel_BuiltIn_Print_Titles_1">#REF!</definedName>
    <definedName name="_xlnm.Print_Area" localSheetId="0">'6_pielikums'!$A:$Q</definedName>
    <definedName name="_xlnm.Print_Titles" localSheetId="0">'6_pielikums'!$4:$6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60" i="1" l="1"/>
  <c r="O156" i="1"/>
  <c r="O158" i="1" s="1"/>
  <c r="N156" i="1"/>
  <c r="N158" i="1" s="1"/>
  <c r="K156" i="1"/>
  <c r="K158" i="1" s="1"/>
  <c r="J156" i="1"/>
  <c r="J158" i="1" s="1"/>
  <c r="G156" i="1"/>
  <c r="P152" i="1"/>
  <c r="O152" i="1"/>
  <c r="N152" i="1"/>
  <c r="M152" i="1"/>
  <c r="L152" i="1"/>
  <c r="K152" i="1"/>
  <c r="J152" i="1"/>
  <c r="I152" i="1"/>
  <c r="H152" i="1"/>
  <c r="G152" i="1"/>
  <c r="Q151" i="1"/>
  <c r="Q150" i="1"/>
  <c r="Q149" i="1"/>
  <c r="Q148" i="1"/>
  <c r="Q147" i="1"/>
  <c r="Q146" i="1"/>
  <c r="Q145" i="1"/>
  <c r="Q144" i="1"/>
  <c r="Q143" i="1"/>
  <c r="Q142" i="1"/>
  <c r="Q152" i="1" s="1"/>
  <c r="Q141" i="1"/>
  <c r="Q140" i="1"/>
  <c r="AL137" i="1"/>
  <c r="AK137" i="1"/>
  <c r="AJ137" i="1"/>
  <c r="AI137" i="1"/>
  <c r="AH137" i="1"/>
  <c r="AG137" i="1"/>
  <c r="AF137" i="1"/>
  <c r="AE137" i="1"/>
  <c r="AD137" i="1"/>
  <c r="AC137" i="1"/>
  <c r="AB137" i="1"/>
  <c r="AA137" i="1"/>
  <c r="Z137" i="1"/>
  <c r="Y137" i="1"/>
  <c r="X137" i="1"/>
  <c r="W137" i="1"/>
  <c r="V137" i="1"/>
  <c r="U137" i="1"/>
  <c r="T137" i="1"/>
  <c r="S137" i="1"/>
  <c r="R137" i="1"/>
  <c r="P137" i="1"/>
  <c r="P156" i="1" s="1"/>
  <c r="O137" i="1"/>
  <c r="N137" i="1"/>
  <c r="M137" i="1"/>
  <c r="M156" i="1" s="1"/>
  <c r="M158" i="1" s="1"/>
  <c r="L137" i="1"/>
  <c r="L156" i="1" s="1"/>
  <c r="L158" i="1" s="1"/>
  <c r="K137" i="1"/>
  <c r="J137" i="1"/>
  <c r="I137" i="1"/>
  <c r="I156" i="1" s="1"/>
  <c r="I158" i="1" s="1"/>
  <c r="G137" i="1"/>
  <c r="Q136" i="1"/>
  <c r="Q135" i="1"/>
  <c r="Q134" i="1"/>
  <c r="Q133" i="1"/>
  <c r="Q132" i="1"/>
  <c r="Q131" i="1"/>
  <c r="Q130" i="1"/>
  <c r="Q129" i="1"/>
  <c r="Q128" i="1"/>
  <c r="Q127" i="1"/>
  <c r="Q126" i="1"/>
  <c r="Q125" i="1"/>
  <c r="Q124" i="1"/>
  <c r="Q123" i="1"/>
  <c r="Q122" i="1"/>
  <c r="Q121" i="1"/>
  <c r="Q120" i="1"/>
  <c r="H120" i="1"/>
  <c r="Q119" i="1"/>
  <c r="H119" i="1"/>
  <c r="Q118" i="1"/>
  <c r="Q117" i="1"/>
  <c r="H117" i="1"/>
  <c r="Q116" i="1"/>
  <c r="H116" i="1"/>
  <c r="Q115" i="1"/>
  <c r="Q114" i="1"/>
  <c r="Q113" i="1"/>
  <c r="Q112" i="1"/>
  <c r="Q111" i="1"/>
  <c r="H111" i="1"/>
  <c r="Q110" i="1"/>
  <c r="H110" i="1"/>
  <c r="Q109" i="1"/>
  <c r="H109" i="1"/>
  <c r="Q108" i="1"/>
  <c r="H108" i="1"/>
  <c r="Q107" i="1"/>
  <c r="H107" i="1"/>
  <c r="Q106" i="1"/>
  <c r="H106" i="1"/>
  <c r="Q105" i="1"/>
  <c r="H105" i="1"/>
  <c r="Q104" i="1"/>
  <c r="H104" i="1"/>
  <c r="Q103" i="1"/>
  <c r="H103" i="1"/>
  <c r="Q102" i="1"/>
  <c r="H102" i="1"/>
  <c r="Q101" i="1"/>
  <c r="H101" i="1"/>
  <c r="Q100" i="1"/>
  <c r="H100" i="1"/>
  <c r="Q99" i="1"/>
  <c r="H99" i="1"/>
  <c r="Q98" i="1"/>
  <c r="H98" i="1"/>
  <c r="Q97" i="1"/>
  <c r="H97" i="1"/>
  <c r="Q96" i="1"/>
  <c r="H96" i="1"/>
  <c r="Q95" i="1"/>
  <c r="H95" i="1"/>
  <c r="Q94" i="1"/>
  <c r="H94" i="1"/>
  <c r="Q93" i="1"/>
  <c r="H93" i="1"/>
  <c r="Q92" i="1"/>
  <c r="H92" i="1"/>
  <c r="Q91" i="1"/>
  <c r="H91" i="1"/>
  <c r="Q90" i="1"/>
  <c r="H90" i="1"/>
  <c r="Q89" i="1"/>
  <c r="H89" i="1"/>
  <c r="Q88" i="1"/>
  <c r="H88" i="1"/>
  <c r="Q87" i="1"/>
  <c r="H87" i="1"/>
  <c r="Q86" i="1"/>
  <c r="H86" i="1"/>
  <c r="Q85" i="1"/>
  <c r="H85" i="1"/>
  <c r="Q84" i="1"/>
  <c r="H84" i="1"/>
  <c r="Q83" i="1"/>
  <c r="H83" i="1"/>
  <c r="Q82" i="1"/>
  <c r="H82" i="1"/>
  <c r="Q81" i="1"/>
  <c r="H81" i="1"/>
  <c r="Q80" i="1"/>
  <c r="H80" i="1"/>
  <c r="Q79" i="1"/>
  <c r="H79" i="1"/>
  <c r="Q78" i="1"/>
  <c r="H78" i="1"/>
  <c r="Q77" i="1"/>
  <c r="H77" i="1"/>
  <c r="Q76" i="1"/>
  <c r="H76" i="1"/>
  <c r="Q75" i="1"/>
  <c r="H75" i="1"/>
  <c r="Q74" i="1"/>
  <c r="H74" i="1"/>
  <c r="Q73" i="1"/>
  <c r="H73" i="1"/>
  <c r="Q72" i="1"/>
  <c r="H72" i="1"/>
  <c r="Q71" i="1"/>
  <c r="H71" i="1"/>
  <c r="Q70" i="1"/>
  <c r="H70" i="1"/>
  <c r="Q69" i="1"/>
  <c r="H69" i="1"/>
  <c r="Q68" i="1"/>
  <c r="H68" i="1"/>
  <c r="Q67" i="1"/>
  <c r="H67" i="1"/>
  <c r="Q66" i="1"/>
  <c r="H66" i="1"/>
  <c r="Q65" i="1"/>
  <c r="Q137" i="1" s="1"/>
  <c r="Q156" i="1" s="1"/>
  <c r="Q64" i="1"/>
  <c r="H64" i="1"/>
  <c r="Q63" i="1"/>
  <c r="H63" i="1"/>
  <c r="Q62" i="1"/>
  <c r="H62" i="1"/>
  <c r="Q61" i="1"/>
  <c r="H61" i="1"/>
  <c r="Q60" i="1"/>
  <c r="H60" i="1"/>
  <c r="Q59" i="1"/>
  <c r="H59" i="1"/>
  <c r="Q58" i="1"/>
  <c r="H58" i="1"/>
  <c r="Q57" i="1"/>
  <c r="H57" i="1"/>
  <c r="Q56" i="1"/>
  <c r="H56" i="1"/>
  <c r="Q55" i="1"/>
  <c r="H55" i="1"/>
  <c r="Q54" i="1"/>
  <c r="H54" i="1"/>
  <c r="Q53" i="1"/>
  <c r="H53" i="1"/>
  <c r="Q52" i="1"/>
  <c r="H52" i="1"/>
  <c r="Q51" i="1"/>
  <c r="H51" i="1"/>
  <c r="Q50" i="1"/>
  <c r="H50" i="1"/>
  <c r="Q49" i="1"/>
  <c r="H49" i="1"/>
  <c r="Q48" i="1"/>
  <c r="H48" i="1"/>
  <c r="Q47" i="1"/>
  <c r="H47" i="1"/>
  <c r="Q46" i="1"/>
  <c r="H46" i="1"/>
  <c r="Q45" i="1"/>
  <c r="H45" i="1"/>
  <c r="Q44" i="1"/>
  <c r="H44" i="1"/>
  <c r="Q43" i="1"/>
  <c r="H43" i="1"/>
  <c r="Q42" i="1"/>
  <c r="H42" i="1"/>
  <c r="Q41" i="1"/>
  <c r="H41" i="1"/>
  <c r="Q40" i="1"/>
  <c r="H40" i="1"/>
  <c r="Q39" i="1"/>
  <c r="H39" i="1"/>
  <c r="Q38" i="1"/>
  <c r="H38" i="1"/>
  <c r="Q37" i="1"/>
  <c r="H37" i="1"/>
  <c r="Q36" i="1"/>
  <c r="H36" i="1"/>
  <c r="Q35" i="1"/>
  <c r="H35" i="1"/>
  <c r="Q34" i="1"/>
  <c r="H34" i="1"/>
  <c r="Q33" i="1"/>
  <c r="H33" i="1"/>
  <c r="Q32" i="1"/>
  <c r="H32" i="1"/>
  <c r="Q31" i="1"/>
  <c r="H31" i="1"/>
  <c r="Q30" i="1"/>
  <c r="H30" i="1"/>
  <c r="Q29" i="1"/>
  <c r="H29" i="1"/>
  <c r="Q28" i="1"/>
  <c r="H28" i="1"/>
  <c r="Q27" i="1"/>
  <c r="H27" i="1"/>
  <c r="Q26" i="1"/>
  <c r="H26" i="1"/>
  <c r="Q25" i="1"/>
  <c r="H25" i="1"/>
  <c r="Q24" i="1"/>
  <c r="H24" i="1"/>
  <c r="Q23" i="1"/>
  <c r="H23" i="1"/>
  <c r="Q22" i="1"/>
  <c r="H22" i="1"/>
  <c r="Q21" i="1"/>
  <c r="H21" i="1"/>
  <c r="Q20" i="1"/>
  <c r="H20" i="1"/>
  <c r="Q19" i="1"/>
  <c r="H19" i="1"/>
  <c r="Q18" i="1"/>
  <c r="H18" i="1"/>
  <c r="Q17" i="1"/>
  <c r="H17" i="1"/>
  <c r="Q16" i="1"/>
  <c r="H16" i="1"/>
  <c r="Q15" i="1"/>
  <c r="H15" i="1"/>
  <c r="Q14" i="1"/>
  <c r="H14" i="1"/>
  <c r="Q13" i="1"/>
  <c r="H13" i="1"/>
  <c r="Q12" i="1"/>
  <c r="H12" i="1"/>
  <c r="Q11" i="1"/>
  <c r="H11" i="1"/>
  <c r="Q10" i="1"/>
  <c r="H10" i="1"/>
  <c r="Q9" i="1"/>
  <c r="H9" i="1"/>
  <c r="Q8" i="1"/>
  <c r="H8" i="1"/>
  <c r="H137" i="1" s="1"/>
  <c r="H156" i="1" s="1"/>
</calcChain>
</file>

<file path=xl/sharedStrings.xml><?xml version="1.0" encoding="utf-8"?>
<sst xmlns="http://schemas.openxmlformats.org/spreadsheetml/2006/main" count="748" uniqueCount="520">
  <si>
    <t>Nr.p.k.</t>
  </si>
  <si>
    <t>Aizdevējs</t>
  </si>
  <si>
    <t>Mērķis</t>
  </si>
  <si>
    <t>Līguma Nr.</t>
  </si>
  <si>
    <t>Līguma noslēgšanas datums</t>
  </si>
  <si>
    <t>Atmaksas termiņš</t>
  </si>
  <si>
    <t>Aizņēmuma summa</t>
  </si>
  <si>
    <t>Saistību apmērs (pamatsumma+procenti)</t>
  </si>
  <si>
    <t>turpmākajos gados</t>
  </si>
  <si>
    <t>kopā</t>
  </si>
  <si>
    <t>Aizņēmumi</t>
  </si>
  <si>
    <t>Valsts kase</t>
  </si>
  <si>
    <t>ERAF projekta "Rundāles pagasta ūdensssaimniecības attīstība" īstenošanai</t>
  </si>
  <si>
    <t>A2/1/06/68</t>
  </si>
  <si>
    <t>24.02.2006.</t>
  </si>
  <si>
    <t>20.01.2026.</t>
  </si>
  <si>
    <t>Projekta "Vecumnieku centralizētās siltumapgādes sistēmas rekonstrukcija” īstenošanai</t>
  </si>
  <si>
    <t xml:space="preserve">A2/1/06/699   </t>
  </si>
  <si>
    <t>30.11.2006.</t>
  </si>
  <si>
    <t>20.11.2026.</t>
  </si>
  <si>
    <t xml:space="preserve">Valles vidusskolas sporta halles celtniecībai </t>
  </si>
  <si>
    <t xml:space="preserve">A2/1/06/806   </t>
  </si>
  <si>
    <t>28.12.2006.</t>
  </si>
  <si>
    <t>20.09.2032.</t>
  </si>
  <si>
    <t>Centralizētās siltumapgādes sistēmas rekonstrukcijai (Vecumnieku)</t>
  </si>
  <si>
    <t xml:space="preserve">A2/1/07/243   </t>
  </si>
  <si>
    <t>01.06.2007.</t>
  </si>
  <si>
    <t>20.03.2027.</t>
  </si>
  <si>
    <t>Kurmenes skolas ēkas rekonstrukcijai</t>
  </si>
  <si>
    <t xml:space="preserve">A2/1/08/716   </t>
  </si>
  <si>
    <t>25.08.2008.</t>
  </si>
  <si>
    <t>20.08.2028.</t>
  </si>
  <si>
    <t>Jauna bērnudārza celtniecībai Rundāles pagasta Saulainē</t>
  </si>
  <si>
    <t>A2/1/08/949</t>
  </si>
  <si>
    <t>05.12.2008.</t>
  </si>
  <si>
    <t>20.07.2033.</t>
  </si>
  <si>
    <t>ELFLA projekta (Nr.10-06-L32100-000257) "Publiskās infrastruktūras kvalitātes uzlabošana Rundāles novadā_2" īstenošanai</t>
  </si>
  <si>
    <t>A2/1/11/67</t>
  </si>
  <si>
    <t>02.03.2011.</t>
  </si>
  <si>
    <t>20.02.2036.</t>
  </si>
  <si>
    <t>Projekta "Pirmsskolas izglītības iestādes Svitene vienkāršotā renovācija" īstenošanai</t>
  </si>
  <si>
    <t>A2/1/13/90</t>
  </si>
  <si>
    <t>18.03.2013.</t>
  </si>
  <si>
    <t>20.03.2028.</t>
  </si>
  <si>
    <t>20.05.2023.</t>
  </si>
  <si>
    <t xml:space="preserve">KPFI projekta (Nr.KPFI-15.2/11) "Energoefektivitātes uzlabošana Skaistkalnes vidusskolas sākumskolas korpusā” īstenošanai </t>
  </si>
  <si>
    <t xml:space="preserve">A2/1/14/158   </t>
  </si>
  <si>
    <t>20.03.2014.</t>
  </si>
  <si>
    <t>20.03.2024.</t>
  </si>
  <si>
    <t>KPFI projekta (Nr. KPFI-15.2/33) "Kompleksi risinājumi siltumnīcefekta gāzu emisiju samazināšanai Pilsrundāles vidusskolas un Pilsrundāles vidusskolas Bērsteles struktūrvienības ēkā" īstenošanai</t>
  </si>
  <si>
    <t>A2/1/14/271</t>
  </si>
  <si>
    <t>23.04.2014.</t>
  </si>
  <si>
    <t>20.03.2034.</t>
  </si>
  <si>
    <t xml:space="preserve">ERAF projekta (Nr.3DP/3.4.1.1.0/13/APIA/CFLA/137/112) „Ūdenssaimniecības attīstība Vecumnieku novada Valles ciemā” īstenošanai </t>
  </si>
  <si>
    <t xml:space="preserve">A2/1/14/595   </t>
  </si>
  <si>
    <t>26.08.2014.</t>
  </si>
  <si>
    <t>20.08.2024.</t>
  </si>
  <si>
    <t xml:space="preserve">KPFI projekta (Nr.KPFI-15.3/149) "Kompleksi risinājumi siltumnīcefekta gāzu emisijas samazināšanai Misas vidusskolā” īstenošanai </t>
  </si>
  <si>
    <t xml:space="preserve">A2/1/14/596   </t>
  </si>
  <si>
    <t>ERAF projekta (Nr. 3DP/3.4.1.1.0/13APIA/CFLA/045/054) "Ūdenssaimniecības attīstība Rundāles novada Rundāles pagasta Pilsrundāles ciemā" īstenošanai</t>
  </si>
  <si>
    <t>A2/1/14/732</t>
  </si>
  <si>
    <t>30.09.2014.</t>
  </si>
  <si>
    <t>20.09.2029.</t>
  </si>
  <si>
    <t xml:space="preserve">Projekta „Rātsnama vēsturiskā interjera izveide" īstenošanai </t>
  </si>
  <si>
    <t>A2/1/15/114</t>
  </si>
  <si>
    <t>18.03.2015.</t>
  </si>
  <si>
    <t>20.03.2025.</t>
  </si>
  <si>
    <t>ERAF projekta ( Nr.3DP/3.4.1.1.0/13/APIA/CFLA/048/075) "Ūdenssaimniecības attīstība Rundāles novada Svitenes pagasta Svitenes ciemā" īstenošanai</t>
  </si>
  <si>
    <t>A2/1/15/195</t>
  </si>
  <si>
    <t>07.05.2015.</t>
  </si>
  <si>
    <t>23.04.2030.</t>
  </si>
  <si>
    <t xml:space="preserve">Projekta "Apkures griestu paneļu uzstādīšana Bauskas 2.vidusskolas sporta zālē" īstenošanai </t>
  </si>
  <si>
    <t>A2/1/15/220</t>
  </si>
  <si>
    <t>18.05.2015.</t>
  </si>
  <si>
    <t>20.05.2025.</t>
  </si>
  <si>
    <t>Projekta "Ūdensvada un kanalizācijas tīklu remontdarbi Bauskas novada pašvaldības izglītības iestādēs" īstenošanai</t>
  </si>
  <si>
    <t>A2/1/15/221</t>
  </si>
  <si>
    <t>20.05.2015.</t>
  </si>
  <si>
    <t xml:space="preserve">Projekta “Vecumnieku novada izglītības iestāžu remontdarbi” īstenošanai </t>
  </si>
  <si>
    <t xml:space="preserve">A2/1/15/252   </t>
  </si>
  <si>
    <t>21.05.2015.</t>
  </si>
  <si>
    <t>Projekta "Remontdarbu veikšana Bauskas novada pašvaldības izglītības iestādēs" īstenošanai</t>
  </si>
  <si>
    <t>A2/1/15/297</t>
  </si>
  <si>
    <t>12.06.2015.</t>
  </si>
  <si>
    <t>20.05.2035.</t>
  </si>
  <si>
    <t>Projekta “Labiekārtošana un remontdarbi Vecumnieku novada izglītības iestādēs” īstenošanai</t>
  </si>
  <si>
    <t xml:space="preserve">A2/1/15/303   </t>
  </si>
  <si>
    <t>17.06.2015.</t>
  </si>
  <si>
    <t>20.06.2025.</t>
  </si>
  <si>
    <t xml:space="preserve">Prioritārā investīciju projekta „Bērnu laukuma un sadzīves atkritumu konteineru laukumu izbūves II-III kārta” īstenošanai </t>
  </si>
  <si>
    <t xml:space="preserve">A2/1/15/370   </t>
  </si>
  <si>
    <t>21.07.2015.</t>
  </si>
  <si>
    <t>20.07.2025.</t>
  </si>
  <si>
    <t xml:space="preserve">Projekta "Bauskas pilsētas pamatskolas sporta zāles renovācija" īstenošanai </t>
  </si>
  <si>
    <t>A2/1/15/454</t>
  </si>
  <si>
    <t>20.08.2015.</t>
  </si>
  <si>
    <t>20.08.2035.</t>
  </si>
  <si>
    <t xml:space="preserve">Projekta "Zemgaļu ielas, Bauskā seguma rekonstrukcija" īstenošanai </t>
  </si>
  <si>
    <t>A2/1/15/524</t>
  </si>
  <si>
    <t>16.09.2015.</t>
  </si>
  <si>
    <t>20.09.2025.</t>
  </si>
  <si>
    <t>Projekta "Gājēju un veloceliņa uz Rītausmām, Īslīces pagastā būvniecība" īstenošanai</t>
  </si>
  <si>
    <t>A2/1/15/526</t>
  </si>
  <si>
    <t>18.09.2015.</t>
  </si>
  <si>
    <t>20.09.2040.</t>
  </si>
  <si>
    <t>Projekta "Ēkas rekonstrukcija un funkcijas maiņa-Iecavas mākslas un mūzikas skola" īstenošanai</t>
  </si>
  <si>
    <t>A2/1/15/570</t>
  </si>
  <si>
    <t>02.10.2015.</t>
  </si>
  <si>
    <t>20.12.2035.</t>
  </si>
  <si>
    <t xml:space="preserve">Projekta "Bauskas Valsts ģimnāzijas un Bauskas sākumskolas ēkas energoefektivitātes paaugstināšana" īstenošanai </t>
  </si>
  <si>
    <t>A2/1/16/44</t>
  </si>
  <si>
    <t>03.03.2016.</t>
  </si>
  <si>
    <t xml:space="preserve">Projekta "Higiēnas centra būvniecība" īstenošanai </t>
  </si>
  <si>
    <t>A2/1/16/45</t>
  </si>
  <si>
    <t>20.02.2041.</t>
  </si>
  <si>
    <t xml:space="preserve">Projekta "Bauskas novada pašvaldības profesionālās ievirzes izglītības iestādes "Bauskas novada Bērnu un jaunatnes sporta skola" infrastruktūras objekta būvniecība" daļas, kas saistīta izglītības funkcijas nodrošināšanu, īstenošanai </t>
  </si>
  <si>
    <t>A2/1/16/107</t>
  </si>
  <si>
    <t>29.04.2016.</t>
  </si>
  <si>
    <t>20.04.2046.</t>
  </si>
  <si>
    <t xml:space="preserve">Projekta "Bauskas Mūzikas skolas rekonstrukcijas 1.kārta" īstenošanai </t>
  </si>
  <si>
    <t>A2/1/16/108</t>
  </si>
  <si>
    <t>20.04.2031.</t>
  </si>
  <si>
    <t xml:space="preserve">Projekta "Dreņģerkalna un Torņa ielas pārbūve" īstenošanai </t>
  </si>
  <si>
    <t>A2/1/16/141</t>
  </si>
  <si>
    <t>18.05.2016.</t>
  </si>
  <si>
    <t>20.05.2031.</t>
  </si>
  <si>
    <t xml:space="preserve">Projekta "Remontdarbu veikšana Bauskas novada pašvaldības izglītības iestādēs" īstenošanai </t>
  </si>
  <si>
    <t>A2/1/16/277</t>
  </si>
  <si>
    <t>27.07.2016.</t>
  </si>
  <si>
    <t>20.07.2036.</t>
  </si>
  <si>
    <t xml:space="preserve">Projekta "Gājēju tilta pār Mūsu būvniecība" īstenošanai </t>
  </si>
  <si>
    <t>A2/1/16/313</t>
  </si>
  <si>
    <t>17.08.2016.</t>
  </si>
  <si>
    <t>20.08.2046.</t>
  </si>
  <si>
    <t>Projekta “Ēkas Liepu ielā 2, Vecumniekos, Vecumnieku pagastā, Vecumnieku novadā pārbūve atbilstoši pirmsskolas izglītības iestādes prasībām” īstenošanai</t>
  </si>
  <si>
    <t xml:space="preserve">A2/1/16/398   </t>
  </si>
  <si>
    <t>07.10.2016.</t>
  </si>
  <si>
    <t>20.09.2026.</t>
  </si>
  <si>
    <t>Projekta "Iecavas pirmsskolas izglītības iestādes "Cālītis" teritorijas labiekārtošana" īstenošanai</t>
  </si>
  <si>
    <t>A2/1/16/424</t>
  </si>
  <si>
    <t>06.10.2016.</t>
  </si>
  <si>
    <t>20.12.2032.</t>
  </si>
  <si>
    <t xml:space="preserve">Projekta "Miera ielas un Mūsas ielas, Bauskā seguma pārbūve" īstenošanai </t>
  </si>
  <si>
    <t>A2/1/16/453</t>
  </si>
  <si>
    <t>25.10.2016.</t>
  </si>
  <si>
    <t>20.10.2031.</t>
  </si>
  <si>
    <t>Prioritārā investīciju projekta "Multifunkcionālā centra 1. un 3. kārtas būvniecība" īstenošanai</t>
  </si>
  <si>
    <t>A2/1/16/494</t>
  </si>
  <si>
    <t>08.12.2016.</t>
  </si>
  <si>
    <t>20.12.2041.</t>
  </si>
  <si>
    <t>ELFLA projekta (Nr.16-06-AL07-A019.2202-000003) "Apgaismota gājēju celiņa būvniecība Pilsrundāles ciemā (II kārta)" īstenošanai</t>
  </si>
  <si>
    <t>A2/1/16/511</t>
  </si>
  <si>
    <t>19.12.2016.</t>
  </si>
  <si>
    <t>22.12.2031.</t>
  </si>
  <si>
    <t>ELFLA projekta (Nr. 16-06-AL07-A019.2201-000004) "Atklātas daudzfunkcionālas arēnas būvniecība Svitenē" īstenošanai</t>
  </si>
  <si>
    <t>A2/1/16/512</t>
  </si>
  <si>
    <t>ELFLA projekta (Nr.16-06-AL07-A019.2201-000006) "Viļa Plūdoņa muzeja ratnīcas restaurācija" īstenošanai</t>
  </si>
  <si>
    <t>A2/1/17/92</t>
  </si>
  <si>
    <t>01.03.2017.</t>
  </si>
  <si>
    <t>20.12.2026.</t>
  </si>
  <si>
    <t>ELFLA projekta (Nr.16-06-AL07-A019.2201-000005) "Viļa Plūdoņa muzeja klēts restaurācija un atjaunošana" īstenošanai</t>
  </si>
  <si>
    <t>A2/1/17/93</t>
  </si>
  <si>
    <t xml:space="preserve">Izglītības iestādes investīciju projekta "Bauskas Valsts ģimnāzijas sporta nama jumta atjaunošanas un lietusūdens kanalizācijas un drenāžas ierīkošanas būvdarbi" īstenošanai </t>
  </si>
  <si>
    <t>A2/1/17/148</t>
  </si>
  <si>
    <t>27.03.2017.</t>
  </si>
  <si>
    <t>20.03.2037.</t>
  </si>
  <si>
    <t>A2/1/17/174</t>
  </si>
  <si>
    <t>03.04.2017.</t>
  </si>
  <si>
    <t>20.03.2042.</t>
  </si>
  <si>
    <t xml:space="preserve">Izglītības iestādes investīciju projekta "Sporta halles izbūve profesionālās ievirzes izglītības iestādei "Bauska novada Bērnu un jaunatnes sporta skola"" īstenošanai </t>
  </si>
  <si>
    <t>A2/1/17/210</t>
  </si>
  <si>
    <t>28.04.2017.</t>
  </si>
  <si>
    <t>22.04.2047.</t>
  </si>
  <si>
    <t>Ceļu un to kompleksa investīciju projekta "Skolas ielas rekonstrukcija, Iecavā, Iecavas novadā" īstenošanai</t>
  </si>
  <si>
    <t>A2/1/17/398</t>
  </si>
  <si>
    <t>22.06.2017.</t>
  </si>
  <si>
    <t xml:space="preserve">Projekta " Bauskas Mūzikas skolas rekonstrukcijas 2. kārta" īstenošanai </t>
  </si>
  <si>
    <t>A2/1/17/423</t>
  </si>
  <si>
    <t>28.06.2017.</t>
  </si>
  <si>
    <t>20.06.2042.</t>
  </si>
  <si>
    <t>Projekta "Mežotnes pamatskolas pārbūve " īstenošanai</t>
  </si>
  <si>
    <t>A2/1/17/424</t>
  </si>
  <si>
    <t>20.06.2047.</t>
  </si>
  <si>
    <t>Projekta "Remontdarbu veikšana Bauskas novada pašvaldības izglītības iestādēs"īstenošanai (atbilstoši iepirkumu komisijas lēmumos minētajām izglītības iestādēm)</t>
  </si>
  <si>
    <t>A2/1/17/425</t>
  </si>
  <si>
    <t>22.06.2037.</t>
  </si>
  <si>
    <t xml:space="preserve">Projekta "Bauskas pilsētas pamatskolas ēku pārbūve" īstenošana </t>
  </si>
  <si>
    <t>A2/1/17/428</t>
  </si>
  <si>
    <t xml:space="preserve">Projekta "Bauskas 2.vidusskolas ēkas energoefektivitātes paaugstināšana - ēkas fasādes siltināšana" īstenošanai </t>
  </si>
  <si>
    <t>A2/1/17/504</t>
  </si>
  <si>
    <t>28.07.2017.</t>
  </si>
  <si>
    <t>22.07.2047.</t>
  </si>
  <si>
    <t xml:space="preserve">ERAF projekta (Nr.3.3.1.0/17/I/004) "Privāto investīciju palielināšana Bauskas pilsētas dienvidu aglomerācijā uzņēmējdarbības veicināšanai" īstenošanai </t>
  </si>
  <si>
    <t>A2/1/17/624</t>
  </si>
  <si>
    <t>30.08.2017.</t>
  </si>
  <si>
    <t>20.08.2047.</t>
  </si>
  <si>
    <t xml:space="preserve">Pašvaldības autonomo funkciju veikšanai nepieciešamā transporta (automašīnu un autobusu) iegādei </t>
  </si>
  <si>
    <t>A2/1/17/626</t>
  </si>
  <si>
    <t xml:space="preserve">Projekta "Gājēju un veloceliņa gar Ziedoņu ielu izbūve" īstenošanai </t>
  </si>
  <si>
    <t>A2/1/17/767</t>
  </si>
  <si>
    <t>19.10.2017.</t>
  </si>
  <si>
    <t>20.10.2032.</t>
  </si>
  <si>
    <t>ELFLA projekta (Nr.17-06-A00702-000053) ''Bauskas novada pašvaldības grants ceļu pārbūve Brunavas pagastā" īstenošanai</t>
  </si>
  <si>
    <t>A2/1/17/778</t>
  </si>
  <si>
    <t>27.10.2017.</t>
  </si>
  <si>
    <t>20.12.2028.</t>
  </si>
  <si>
    <t>Projekta "Ielu seguma pārbūve Bauskas novada Codes un Ceraukstes pagastā" īstenošanai</t>
  </si>
  <si>
    <t>A2/1/17/894</t>
  </si>
  <si>
    <t>14.12.2017.</t>
  </si>
  <si>
    <t>ELFLA projekta (Nr.17-06+A00702-000105) "Pašvaldības ceļa "Pilsrundāle-Svitene" pārbūve"  īstenošanai</t>
  </si>
  <si>
    <t>A2/1/18/68</t>
  </si>
  <si>
    <t>02.03.2018.</t>
  </si>
  <si>
    <t>20.02.2043.</t>
  </si>
  <si>
    <t>ERAF projekta (Nr.8.1.2.0/17/I/011) “Bauskas Valsts ģimnāzijas un Bauskas 2.vidusskolas infrastruktūras sakārtošana” īstenošanai</t>
  </si>
  <si>
    <t>A2/1/18/180</t>
  </si>
  <si>
    <t>25.04.2018.</t>
  </si>
  <si>
    <t>20.04.2048.</t>
  </si>
  <si>
    <t>Prioritārā investīciju projekta "Multifunkcionālā centra 4. kārtas būvniecība" īstenošanai</t>
  </si>
  <si>
    <t>A2/1/18/188</t>
  </si>
  <si>
    <t>26.04.2018.</t>
  </si>
  <si>
    <t>20.04.2043.</t>
  </si>
  <si>
    <t>Prioritārā investīciju projekta "Pašvaldības aģentūras "Iecavas veselības centrs" teritorijas labiekārtošana" īstenošanai</t>
  </si>
  <si>
    <t>A2/1/18/247</t>
  </si>
  <si>
    <t>25.05.2018.</t>
  </si>
  <si>
    <t>ELFLA projekta (Nr.17-06-AL07-A019.2202-000007) “Ceraukstes tautas nama fasādes atjaunošana pakalpojumu nodrošināšanai” īstenošanai</t>
  </si>
  <si>
    <t>A2/1/18/271</t>
  </si>
  <si>
    <t>30.05.2018.</t>
  </si>
  <si>
    <t>20.12.2024.</t>
  </si>
  <si>
    <t>ELFLA projekta (Nr.17-06-A00702-000046) “Bauskas novada pašvaldības grants ceļu pārbūve Gailīšu pagastā” īstenošanai</t>
  </si>
  <si>
    <t>A2/1/18/272</t>
  </si>
  <si>
    <t>20.05.2033.</t>
  </si>
  <si>
    <t>ELFLA projekta (Nr.17-06-AL07-A019.2201-000009)“Garozas muižas parka labiekārtošana” īstenošanai</t>
  </si>
  <si>
    <t>A2/1/18/273</t>
  </si>
  <si>
    <t>ERAF projekta (Nr.5.6.2.0/17/I/011) “Teritorijas revitalizācija Codes pagastā, rekonstruējot vietējā autoceļa posmu” īstenošanai</t>
  </si>
  <si>
    <t>A2/1/18/274</t>
  </si>
  <si>
    <t>20.12.2030.</t>
  </si>
  <si>
    <t>ERAF projekta (Nr.5.6.2.0/17/I/010)“Teritorijas revitalizācija Gailīšu pagastā, rekonstruējot vietējā autoceļa posmu” īstenošanai</t>
  </si>
  <si>
    <t>A2/1/18/275</t>
  </si>
  <si>
    <t>22.12.2025.</t>
  </si>
  <si>
    <t>ELFLA projekta (Nr.17-06-AL07-A019.2201-000008) “Rītausmu ciema sporta un atpūtas parka izveide” īstenošanai</t>
  </si>
  <si>
    <t>A2/1/18/276</t>
  </si>
  <si>
    <t>22.05.2034.</t>
  </si>
  <si>
    <t>ERAF projekta (Nr.5.6.2.0/17/I/009) “Brīvības bulvāra revitalizācija uzņēmējdarbības veicināšanai” īstenošanai</t>
  </si>
  <si>
    <t>A2/1/18/277</t>
  </si>
  <si>
    <t>20.05.2038.</t>
  </si>
  <si>
    <t xml:space="preserve">Investīciju projektu īstenošanai (saistību pārjaunojums) _x000D_
</t>
  </si>
  <si>
    <t>A2/1/18/353</t>
  </si>
  <si>
    <t>26.06.2018.</t>
  </si>
  <si>
    <t>20.05.2044.</t>
  </si>
  <si>
    <t>Projekta "Remontdarbu veikšana Bauskas novada pašvaldības izglītības iestādēs"' īstenošanai</t>
  </si>
  <si>
    <t>A2/1/18/407</t>
  </si>
  <si>
    <t>04.07.2018.</t>
  </si>
  <si>
    <t>20.06.2028.</t>
  </si>
  <si>
    <t>31.07.2018.</t>
  </si>
  <si>
    <t>ERAF projekta (Nr.5.5.1.0/17/I/002) "Nozīmīga kultūrvēsturiskā mantojuma saglabāšana un attīstība kultūras tūrisma piedāvājuma pilnveidošanai Zemgales reģionā" īstenošanai</t>
  </si>
  <si>
    <t>A2/1/18/508</t>
  </si>
  <si>
    <t>20.07.2048.</t>
  </si>
  <si>
    <t xml:space="preserve">ELFLA projekta (Nr.18-06-A00702-000026) “Vecumnieku novada pašvaldības autoceļa A10 (Mednieki-Gali), autoceļa posma A1 (Ķekavas šoseja-Dzeguzes) un autoceļa posma B2 (Spodras-Krieviņi) pārbūve Vecumnieku novadā” īstenošanai </t>
  </si>
  <si>
    <t xml:space="preserve">A2/1/18/519   </t>
  </si>
  <si>
    <t>02.08.2018.</t>
  </si>
  <si>
    <t>20.07.2028.</t>
  </si>
  <si>
    <t>Investīciju projektu īstenošanai (saistību pārjaunojums)</t>
  </si>
  <si>
    <t>A2/1/18/547</t>
  </si>
  <si>
    <t>08.08.2018.</t>
  </si>
  <si>
    <t xml:space="preserve">Prioritārā investīciju projekta “Videonovērošanas sistēmas Bauskā izbūves 2. un 3.kārta” īstenošanai </t>
  </si>
  <si>
    <t>A2/1/18/590</t>
  </si>
  <si>
    <t>30.08.2018.</t>
  </si>
  <si>
    <t>20.09.2023.</t>
  </si>
  <si>
    <t xml:space="preserve">Projekta „Celtnieku ielas, Līdumnieku ielas posma no Celtnieku ielas līdz Rudzu ielai, Ainavu ielas posma no Celtnieku ielas līdz Pārupes ielai pārbūve” īstenošanai </t>
  </si>
  <si>
    <t>A2/1/18/739</t>
  </si>
  <si>
    <t>23.10.2018.</t>
  </si>
  <si>
    <t>20.10.2043.</t>
  </si>
  <si>
    <t xml:space="preserve">Projekta "Ielu seguma atjaunošana Bauskas novada Dāviņu un Vecsaules pagastā" īstenošanai </t>
  </si>
  <si>
    <t>A2/1/18/805</t>
  </si>
  <si>
    <t>16.11.2018.</t>
  </si>
  <si>
    <t>20.11.2033.</t>
  </si>
  <si>
    <t>Latvijas-Lietuvas pārrobežu sadarbības programmas projekta (LLI-291) "Zaļās infrastruktūras pilnveidošana zemieņu upju ainavā" investīciju daļas īstenošanai</t>
  </si>
  <si>
    <t>A2/1/19/137</t>
  </si>
  <si>
    <t>14.05.2019.</t>
  </si>
  <si>
    <t>20.06.2031.</t>
  </si>
  <si>
    <t>ERAF projekta (Nr.5.6.2.0/17/I/021) "Bauskas industriālās teritorijas attīstība, reģenerējot degradētās teritorijas" īstenošanai</t>
  </si>
  <si>
    <t>A2/1/19/197</t>
  </si>
  <si>
    <t>05.06.2019.</t>
  </si>
  <si>
    <t>20.03.2040.</t>
  </si>
  <si>
    <t>ELFLA projekta (Nr.18-06-A00702-000043) "Bauskas novada pašvaldības grants ceļu pārbūve Ceraukstes pagastā" īstenošanai</t>
  </si>
  <si>
    <t>A2/1/19/301</t>
  </si>
  <si>
    <t>12.08.2019.</t>
  </si>
  <si>
    <t>21.07.2031.</t>
  </si>
  <si>
    <t>ELFLA projekta (Nr.18-06-A00702-000065) "Bauskas novada pašvaldības grants ceļu pārbūve Mežotnes pagastā" īstenošanai</t>
  </si>
  <si>
    <t>A2/1/19/311</t>
  </si>
  <si>
    <t>02.09.2019.</t>
  </si>
  <si>
    <t>20.08.2026.</t>
  </si>
  <si>
    <t>ELFLA projekta (Nr.18-06-A00702-000061) "Bauskas novada pašvaldības grants ceļu pārbūve Īslīces pagastā" īstenošanai</t>
  </si>
  <si>
    <t>A2/1/19/312</t>
  </si>
  <si>
    <t>20.12.2027.</t>
  </si>
  <si>
    <t>ELFLA projekta (Nr.-18-06-A00702-000040) "Bauskas novada pašvaldības grants ceļu pārbūve Codes pagastā" īstenošanai</t>
  </si>
  <si>
    <t>A2/1/19/313</t>
  </si>
  <si>
    <t>Latvijas-Krievijas pārrobežu sadarbības programmas projekta (Nr. LV-RU-052) "Ainava kā resurss: atbalsts jauniem pakalpojumiem un tūrismam Rundālē, Raunā, Ropšā" investīciju daļas īstenošanai</t>
  </si>
  <si>
    <t>A2/1/19/448</t>
  </si>
  <si>
    <t>04.12.2019.</t>
  </si>
  <si>
    <t>20.11.2034.</t>
  </si>
  <si>
    <t xml:space="preserve">ERAF projekta (Nr.9.3.1.1./18/I/020) "Dienas aprūpes centra izveidošana Vecumnieku novadā personām ar garīga rakstura un bērniem ar funkcionāliem traucējumiem" īstenošanai </t>
  </si>
  <si>
    <t xml:space="preserve">A2/1/20/36      </t>
  </si>
  <si>
    <t>07.02.2020.</t>
  </si>
  <si>
    <t>20.01.2040.</t>
  </si>
  <si>
    <t>ERAF projekta (Nr.5.6.2.0/19/I/004) "Teritorijas revitalizācija Bauskas pilsētas ziemeļu aglomerācijā" īstenošanai</t>
  </si>
  <si>
    <t>A2/1/20/39</t>
  </si>
  <si>
    <t>11.02.2020.</t>
  </si>
  <si>
    <t>20.09.2047.</t>
  </si>
  <si>
    <t>A2/1/20/43</t>
  </si>
  <si>
    <t>18.02.2020.</t>
  </si>
  <si>
    <t>20.01.2050.</t>
  </si>
  <si>
    <t>ERAF projekta (Nr.8.1.2.0/17/I/011) "Bauskas Valsts ģimnāzijas un Bauskas 2.vidusskolas infrastruktūras sakārtošana" īstenošanai</t>
  </si>
  <si>
    <t>A2/1/20/352</t>
  </si>
  <si>
    <t>17.06.2020.</t>
  </si>
  <si>
    <t>20.05.2050.</t>
  </si>
  <si>
    <t>Latvijas-Lietuvas -Baltkrievijas pārrobežu sadarbības programmas projekta (Nr. ENI-LLB-2-340) "Inovatīvs kultūras tūrisms: atslēga Rundāles un Svisločas pievilcības un konkurētspējas uzlabošanai" investīciju daļas īstenošanai</t>
  </si>
  <si>
    <t>A2/1/20/373</t>
  </si>
  <si>
    <t>02.07.2020.</t>
  </si>
  <si>
    <t>Projekta "Bauskas novada pašvaldības grants ceļu pārbūve Dāviņu pagastā" īstenošanai</t>
  </si>
  <si>
    <t>A2/1/20/481</t>
  </si>
  <si>
    <t>03.08.2020.</t>
  </si>
  <si>
    <t>20.07.2050.</t>
  </si>
  <si>
    <t xml:space="preserve">Latvijas-Lietuvas pārrobežu sadarbības programmas projekta (Nr.LLI-425) "Daudzfunkcionālo centru kā vietējās kopienas sociālās iekļaušanas un attīstības virzītājspēka attīstība" investīciju daļas īstenošanai </t>
  </si>
  <si>
    <t xml:space="preserve">A2/1/20/580        </t>
  </si>
  <si>
    <t>26.08.2020.</t>
  </si>
  <si>
    <t>20.08.2025.</t>
  </si>
  <si>
    <t>Projekta "Pilskalna ielas pārbūve Bauskā " īstenošanai</t>
  </si>
  <si>
    <t>A2/1/20/582</t>
  </si>
  <si>
    <t>27.08.2020.</t>
  </si>
  <si>
    <t>20.08.2050.</t>
  </si>
  <si>
    <t>Projekta "Liepu ielas un Lauku ielas posmu atjaunošana  Īslīces pagastā" īstenošanai</t>
  </si>
  <si>
    <t>A2/1/20/583</t>
  </si>
  <si>
    <t>Projekta "Zemgales ielas pārbūve posmā no Rīgas ielas līdz Dārza ielai un Tirgus ielas pārbūve posmā no Skolas ielas līdz Zemgales ielai" īstenošanai</t>
  </si>
  <si>
    <t>A2/1/20/615</t>
  </si>
  <si>
    <t>01.09.2020.</t>
  </si>
  <si>
    <t>20.12.2040.</t>
  </si>
  <si>
    <t>Projekta "Autoceļa A7-Papardes-Gāršas-Spītes-Podāzeļi pārbūve (1.kārta)" īstenošanai</t>
  </si>
  <si>
    <t>A2/1/20/616</t>
  </si>
  <si>
    <t>Projekta "Lauku ielas pārbūve posmā no Lauku ielas un Baldones ielas krustojuma līdz Iecavas vidusskolas iebrauktuvei" īstenošanai</t>
  </si>
  <si>
    <t>A2/1/20/617</t>
  </si>
  <si>
    <t>Projekta "Pašvaldības autocļa A3 "Pilsrundāle-Dzirnavu pietura" posma pārbūve" īstenošanai</t>
  </si>
  <si>
    <t>A2/1/20/691</t>
  </si>
  <si>
    <t>02.10.2020.</t>
  </si>
  <si>
    <t>20.09.2035.</t>
  </si>
  <si>
    <t>Projekta "Seguma maiņa Zemgaļu ielas posmam no Skolas ielas līdz Lauku ielai un Lauku ielai Bauskas pilsētā” īstenošanai</t>
  </si>
  <si>
    <t>A2/1/20/795</t>
  </si>
  <si>
    <t>02.11.2020.</t>
  </si>
  <si>
    <t>20.10.2027.</t>
  </si>
  <si>
    <t>Prioritārā investīciju projekta "Mežotnes baznīcas ēkas pārbūve II kārta" īstenošanai</t>
  </si>
  <si>
    <t>A2/1/21/239</t>
  </si>
  <si>
    <t>27.05.2021.</t>
  </si>
  <si>
    <t>20.05.2041.</t>
  </si>
  <si>
    <t>Projekta "Pārupes ielas pārbūve Bauskā" īstenošanai</t>
  </si>
  <si>
    <t>A2/1/21/343</t>
  </si>
  <si>
    <t>28.06.2021.</t>
  </si>
  <si>
    <t>21.06.2027.</t>
  </si>
  <si>
    <t>Projekta "Vecumnieku vidusskolas ēkas pārbūve" īstenošanai</t>
  </si>
  <si>
    <t xml:space="preserve">A2/1/21/346       </t>
  </si>
  <si>
    <t>20.06.2051.</t>
  </si>
  <si>
    <t>Projekta "Iecavas vidusskolas pārbūve" īstenošanai</t>
  </si>
  <si>
    <t>A2/1/21/350</t>
  </si>
  <si>
    <t>29.06.2021.</t>
  </si>
  <si>
    <t>Projekta "Sporta zāles būvniecība pie Iecavas pamatskolas" īstenošanai</t>
  </si>
  <si>
    <t>A2/1/21/405</t>
  </si>
  <si>
    <t>14.07.2021.</t>
  </si>
  <si>
    <t>Latvijas – Lietuvas pārrobežu sadarbības programmas projekta (Nr. LLI-498) “Vēsturiskais ceļš: Raudondvaris-Bauska” investīciju daļas īstenošanai</t>
  </si>
  <si>
    <t>A2/1/21/510</t>
  </si>
  <si>
    <t>27.08.2021.</t>
  </si>
  <si>
    <t>20.08.2036.</t>
  </si>
  <si>
    <t>Prioritārā investīciju projekta "Mēmeles gaisa tiltiņa rekonstrukcija" īstenošanai</t>
  </si>
  <si>
    <t>A2/1/21/511</t>
  </si>
  <si>
    <t>20.08.2031.</t>
  </si>
  <si>
    <t>Projekta "Ceriņu ielas pārbūve Vecumniekos, Bauskas novadā, Sporta un Strauta ielu pārbūve Skaistkalnē, Bauskas novadā" īstenošanai</t>
  </si>
  <si>
    <t>A2/1/21/597</t>
  </si>
  <si>
    <t>05.10.2021.</t>
  </si>
  <si>
    <t>22.09.2031.</t>
  </si>
  <si>
    <t>Projekta "Autoceļa "V1040-Roņi-Tāmas-Renceles-A7" pārbūves 2.kārta" īstenošanai</t>
  </si>
  <si>
    <t>A2/1/21/631</t>
  </si>
  <si>
    <t>14.10.2021.</t>
  </si>
  <si>
    <t>ERAF projekta (Nr.5.6.2.0/21/I/001) “Privāto investīciju palielināšana Gailīšu pagastā uzņēmējdarbības veicināšanai” īstenošanai</t>
  </si>
  <si>
    <t>A2/1/21/725</t>
  </si>
  <si>
    <t>30.11.2021.</t>
  </si>
  <si>
    <t>20.11.2031.</t>
  </si>
  <si>
    <t>ERAF projekta (Nr. 8.1.2.0/17/I/011) “Bauskas Valsts ģimnāzijas un Bauskas 2. vidusskolas infrastruktūras sakārtošana” īstenošanai</t>
  </si>
  <si>
    <t>A2/1/22/106</t>
  </si>
  <si>
    <t>26.05.2022.</t>
  </si>
  <si>
    <t>20.05.2052.</t>
  </si>
  <si>
    <t>ERAF projekta (Nr. 9.3.1.1/18/I/023) “Dienas aprūpes centra izveide Iecavā, Bauskas novadā” īstenošanai</t>
  </si>
  <si>
    <t>A2/1/22/107</t>
  </si>
  <si>
    <t>20.05.2042.</t>
  </si>
  <si>
    <t>Prioritārā investīciju projekta  “Liepu ielas Brunavas pagastā pārbūve” īstenošanai</t>
  </si>
  <si>
    <t>A2/1/22/196</t>
  </si>
  <si>
    <t>07.07.2022.</t>
  </si>
  <si>
    <t>Projekta “Pašvaldības autoceļa B7 “Priedītes–Mežotnes stacija” pārbūve (1806 m) posmā no 0,0 km līdz 1,806 km” investīciju īstenošanai</t>
  </si>
  <si>
    <t>A2/1/22/197</t>
  </si>
  <si>
    <t>21.06.2032.</t>
  </si>
  <si>
    <t>Latvijas – Lietuvas pārrobežu sadarbības programmas projekta (Nr.LLI-498) “Vēsturiskais ceļš: Raudondvaris-Bauska” investīciju daļas īstenošanai</t>
  </si>
  <si>
    <t>A2/1/22/277</t>
  </si>
  <si>
    <t>12.08.2022.</t>
  </si>
  <si>
    <t>20.06.2024.</t>
  </si>
  <si>
    <t>Projekta “Seguma atjaunošana objektā Mežotnes pagasta autoceļa B2 “Jumpravu kapi - Tomi” posmam” investīciju īstenošanai</t>
  </si>
  <si>
    <t>A2/1/22/279</t>
  </si>
  <si>
    <t>20.07.2032.</t>
  </si>
  <si>
    <t>Projekta “Seguma maiņa objektā Vecsaules pagasta autoceļa A6 “Kalte - Cīruļi” posms” investīciju īstenošanai</t>
  </si>
  <si>
    <t>A2/1/22/280</t>
  </si>
  <si>
    <t>Projekta “Piebraucamā ceļa izbūve posmā no Valsts reģionālā autoceļa P92 Iecava - Stelpe” investīciju īstenošanai</t>
  </si>
  <si>
    <t>A2/1/22/281</t>
  </si>
  <si>
    <t>Projekta “Autoceļa A18 “Plūdoņi- Bērziņi” pārbūve” investīciju īstenošanai</t>
  </si>
  <si>
    <t>A2/1/22/282</t>
  </si>
  <si>
    <t>Projekta “Seguma maiņa objektā “Bauskas pilsētas Krasta ielas posms no Skolas ielas līdz Mūsas tiltam”” investīciju īstenošanai</t>
  </si>
  <si>
    <t>A2/1/22/285</t>
  </si>
  <si>
    <t>ERAF projekta (Nr.9.3.1.1/19/I/046) "Deinstitucionalizācijas plāna īstenošana Bauskas novadā” īstenošanai</t>
  </si>
  <si>
    <t>A2/1/22/485</t>
  </si>
  <si>
    <t>04.11.2022.</t>
  </si>
  <si>
    <t>20.10.2042.</t>
  </si>
  <si>
    <t>ERAF projekta (Nr.4.2.2.0/21/A/055) "Energoefektivitātes paaugstināšana sabiedrībā balstītu sociālo pakalpojumu ēkai Bauskā, Slimnīcas ielā 4" īstenošanai</t>
  </si>
  <si>
    <t>A2/1/22/486</t>
  </si>
  <si>
    <t>ERAF projekta (Nr.4.2.2.0/21/A/056) "Energoefektivitātes paaugstināšana veselības aprūpes pakalpojumu ēkai Bauskā, Slimnīcas ielā 4" īstenošanai</t>
  </si>
  <si>
    <t>A2/1/22/487</t>
  </si>
  <si>
    <t>20.10.2029.</t>
  </si>
  <si>
    <t>ERAF projekta (Nr.9.3.1.1/19/I/046) “Deinstitucionalizācijas plāna īstenošana Bauskas novadā” īstenošanai</t>
  </si>
  <si>
    <t>A2/1/23/22</t>
  </si>
  <si>
    <t>20.02.2023.</t>
  </si>
  <si>
    <t>20.01.2043.</t>
  </si>
  <si>
    <t>Prioritārā investīciju projekta “Liepu ielas Brunavas pagastā pārbūve" īstenošanai</t>
  </si>
  <si>
    <t>A2/1/23/98</t>
  </si>
  <si>
    <t>03.05.2023.</t>
  </si>
  <si>
    <t>ERAF projekta (Nr.4.2.2.0/22/A/005) “Energoefektivitātes paaugstināšana sporta namam “Dartija”” īstenošanai</t>
  </si>
  <si>
    <t>A2/1/23/142</t>
  </si>
  <si>
    <t>19.06.2023.</t>
  </si>
  <si>
    <t>Investīciju projekta “Autoceļa “Dārza iela – Cielavas – Bružas – P93” un Dārza ielas posma no Dzintaru ielas līdz autoceļam
A9 “Dārza iela – Cielavas –Bružas – P93” pārbūve” īstenošanai</t>
  </si>
  <si>
    <t>A2/1/23/200</t>
  </si>
  <si>
    <t>12.07.2023.</t>
  </si>
  <si>
    <t>20.06.2038.</t>
  </si>
  <si>
    <t>Investīciju projekta “Autoceļa A10 “V 1040-Smiltaiņi-Audrupi-Jaunsvirkaļi” pārbūve” īstenošanai</t>
  </si>
  <si>
    <t>A2/1/23/201</t>
  </si>
  <si>
    <t>A2/1/23/242</t>
  </si>
  <si>
    <t>03.08.2023.</t>
  </si>
  <si>
    <t>20.07.2043.</t>
  </si>
  <si>
    <t>Projekts “Autoceļa A18 “Plūdoņi- Bērziņi” pārbūves 2. kārta" īstenošanai</t>
  </si>
  <si>
    <t>14.08.2023.</t>
  </si>
  <si>
    <t>Projekta “Seguma maiņa objektā “Ceriņu ielas posms no Dārza ielas līdz Biržu ielai”, Bauskā, Bauskas novadā” īstenošanai</t>
  </si>
  <si>
    <t>A2/1/23/297</t>
  </si>
  <si>
    <t>06.09.2023.</t>
  </si>
  <si>
    <t>20.08.2038.</t>
  </si>
  <si>
    <t>Projekta “Seguma maiņa objektā “Bauskas pilsētas Biržu iela no Dārza ielas līdz Biržu 23”, Bauskā, Bauskas novadā” īstenošanai</t>
  </si>
  <si>
    <t>A2/1/23/298</t>
  </si>
  <si>
    <t>Prioritārā investīciju projekta
“Pilsrundāles vidusskolas fasādes atjaunošana” īstenošanai</t>
  </si>
  <si>
    <t>A2/1/23/299</t>
  </si>
  <si>
    <t>ERAF projekts (Nr.8.1.2.0/17/I/011) “Bauskas Valsts ģimnāzijas un Bauskas 2. vidusskolas infrastruktūras sakārtošana” īstenošanai</t>
  </si>
  <si>
    <t>A2/1/23/404</t>
  </si>
  <si>
    <t>26.09.2023.</t>
  </si>
  <si>
    <t>20.09.2053.</t>
  </si>
  <si>
    <t>Transporta iegāde skolēnu pārvadāšanai</t>
  </si>
  <si>
    <t>A2/1/23/405</t>
  </si>
  <si>
    <t>KOPĀ:</t>
  </si>
  <si>
    <t>x</t>
  </si>
  <si>
    <t>Galvojumi</t>
  </si>
  <si>
    <t>1</t>
  </si>
  <si>
    <t>Ūdenssaimniecības pakalpojumu attīstība Iecavas novadā</t>
  </si>
  <si>
    <t>G/12/496</t>
  </si>
  <si>
    <t>10.09.2012.</t>
  </si>
  <si>
    <t>20.10.2034.</t>
  </si>
  <si>
    <t>2</t>
  </si>
  <si>
    <t>Ūdenssaimniecības pakalpojumu attīstība Iecavas novada Zorģu ciemā</t>
  </si>
  <si>
    <t>G/12/498</t>
  </si>
  <si>
    <t>20.04.2032.</t>
  </si>
  <si>
    <t>3</t>
  </si>
  <si>
    <t>Ūdenssaimniecības pakalpojumu attīstība Iecavas novada Zālītes ciemā</t>
  </si>
  <si>
    <t>G/12/500</t>
  </si>
  <si>
    <t>4</t>
  </si>
  <si>
    <t>Kohēzijas fonda projekta "Ūdenssaimniecības pakalpojuma attīstība Bauskā" īstenošanai</t>
  </si>
  <si>
    <t>G/12/820</t>
  </si>
  <si>
    <t>21.12.2012.</t>
  </si>
  <si>
    <t>5</t>
  </si>
  <si>
    <t>SIA "Mūsu saimnieks" projekta "Siltumtrašu rekonstrukcija Vecumnieku novada Vecumniekos" īstenošanai</t>
  </si>
  <si>
    <t>G/14/25</t>
  </si>
  <si>
    <t>27.01.2014.</t>
  </si>
  <si>
    <t>20.01.2034.</t>
  </si>
  <si>
    <t>6</t>
  </si>
  <si>
    <t>SIA "Mūsu saimnieks" projekta "Ūdenssaimniecības  pakalpojumu attīstība Vecumnieku pagasta Vecumniekos" realizācija</t>
  </si>
  <si>
    <t>G/14/27</t>
  </si>
  <si>
    <t>20.12.2033.</t>
  </si>
  <si>
    <t>7</t>
  </si>
  <si>
    <t>Kohēzijas fonda projekta "Siltuma ražošanas efektivitātes paaugstināšana Bauskā" īstenošanai</t>
  </si>
  <si>
    <t>G/15/623</t>
  </si>
  <si>
    <t>20.11.2015.</t>
  </si>
  <si>
    <t>20.11.2032.</t>
  </si>
  <si>
    <t>8</t>
  </si>
  <si>
    <t>Kohēzijas fonda projekta "Ūdenssaimniecības pakalpojumu attīstība Iecavā, 2.kārta" īstenošanai</t>
  </si>
  <si>
    <t>G/18/727</t>
  </si>
  <si>
    <t>15.10.2018.</t>
  </si>
  <si>
    <t>22.09.2039.</t>
  </si>
  <si>
    <t>9</t>
  </si>
  <si>
    <t>10</t>
  </si>
  <si>
    <t>Kohēzijas fonda projekta Nr.4.3.1.0/17/A/078 "Esošā siltumavota pārbūve Iecavā, uzstādot jaunu biomasas katlu" īstenošanai</t>
  </si>
  <si>
    <t>G/20/309</t>
  </si>
  <si>
    <t>04.06.2020.</t>
  </si>
  <si>
    <t>11</t>
  </si>
  <si>
    <t>Kohēzijas fonda projekta Nr. 4.3.1.0/17/A077 "Siltumtīklu pārbūve Iecavā" īstenošanai</t>
  </si>
  <si>
    <t>G/20/311</t>
  </si>
  <si>
    <t>12</t>
  </si>
  <si>
    <t>Kohēzijas fonda projekta Nr. 5.3.1.0/17/I/020 "Bauskas ūdenssaimniecības attīstība III kārta" īstenošanai</t>
  </si>
  <si>
    <t>G/20/773</t>
  </si>
  <si>
    <t>27.10.2020.</t>
  </si>
  <si>
    <t>SIA "Mūsu saimnieks" kurināmā iegādei</t>
  </si>
  <si>
    <t>G/22/520</t>
  </si>
  <si>
    <t>16.11.2022.</t>
  </si>
  <si>
    <t>21.10.2024.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</si>
  <si>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</si>
  <si>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</si>
  <si>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</si>
  <si>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</si>
  <si>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Saistību pamatsummas parāds uz 01.01.2024.</t>
  </si>
  <si>
    <t>A2/1/23/262</t>
  </si>
  <si>
    <t>25.01.2029.</t>
  </si>
  <si>
    <t>Bauskas novada pašvaldības saistību apmērs 2024. gadā un turpmākajos gados (EUR)</t>
  </si>
  <si>
    <t xml:space="preserve">Bauskas novada domes 28.12.2023.
    saistošajiem noteikumiem Nr. 25 </t>
  </si>
  <si>
    <t>6.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</si>
</sst>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_-;\-* #,##0_-;_-* &quot;-&quot;??_-;_-@_-"/>
    <numFmt numFmtId="166" formatCode="_-* #,##0.0_-;\-* #,##0.0_-;_-* &quot;-&quot;??_-;_-@_-"/>
  </numFmts>
  <fonts count="11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9"/>
      <name val="Arial"/>
      <family val="2"/>
      <charset val="186"/>
    </font>
    <font>
      <b/>
      <sz val="11"/>
      <name val="Arial"/>
      <family val="2"/>
      <charset val="186"/>
    </font>
    <font>
      <i/>
      <sz val="9"/>
      <name val="Arial"/>
      <family val="2"/>
      <charset val="186"/>
    </font>
    <font>
      <b/>
      <sz val="10"/>
      <name val="Arial"/>
      <family val="2"/>
      <charset val="186"/>
    </font>
    <font>
      <b/>
      <sz val="9"/>
      <name val="Arial"/>
      <family val="2"/>
      <charset val="186"/>
    </font>
    <font>
      <sz val="10"/>
      <name val="Times New Roman"/>
      <family val="1"/>
      <charset val="186"/>
    </font>
    <font>
      <i/>
      <sz val="10"/>
      <name val="Arial"/>
      <family val="2"/>
      <charset val="186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theme="0" tint="-0.34965056306649983"/>
      </left>
      <right style="thin">
        <color theme="0" tint="-0.34965056306649983"/>
      </right>
      <top style="thin">
        <color theme="0" tint="-0.34965056306649983"/>
      </top>
      <bottom style="thin">
        <color theme="0" tint="-0.34965056306649983"/>
      </bottom>
      <diagonal/>
    </border>
    <border>
      <left style="thin">
        <color theme="0" tint="-0.34965056306649983"/>
      </left>
      <right style="thin">
        <color theme="0" tint="-0.34965056306649983"/>
      </right>
      <top style="thin">
        <color theme="0" tint="-0.34965056306649983"/>
      </top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</borders>
  <cellStyleXfs count="7">
    <xf numFmtId="0" fontId="0" fillId="0" borderId="0"/>
    <xf numFmtId="164" fontId="10" fillId="0" borderId="0" applyFont="0" applyFill="0" applyBorder="0" applyAlignment="0" applyProtection="0"/>
    <xf numFmtId="0" fontId="1" fillId="0" borderId="0"/>
    <xf numFmtId="0" fontId="1" fillId="0" borderId="0"/>
    <xf numFmtId="164" fontId="10" fillId="0" borderId="0" applyFont="0" applyFill="0" applyBorder="0" applyAlignment="0" applyProtection="0"/>
    <xf numFmtId="0" fontId="1" fillId="0" borderId="0"/>
    <xf numFmtId="0" fontId="1" fillId="0" borderId="0"/>
  </cellStyleXfs>
  <cellXfs count="150">
    <xf numFmtId="0" fontId="0" fillId="0" borderId="0" xfId="0"/>
    <xf numFmtId="0" fontId="1" fillId="0" borderId="2" xfId="2" applyBorder="1" applyAlignment="1" applyProtection="1">
      <alignment horizontal="center" vertical="center" wrapText="1"/>
      <protection locked="0"/>
    </xf>
    <xf numFmtId="49" fontId="1" fillId="0" borderId="2" xfId="2" applyNumberFormat="1" applyBorder="1" applyAlignment="1" applyProtection="1">
      <alignment horizontal="left" vertical="center" wrapText="1"/>
      <protection locked="0"/>
    </xf>
    <xf numFmtId="0" fontId="2" fillId="0" borderId="0" xfId="2" applyFont="1" applyProtection="1">
      <protection locked="0"/>
    </xf>
    <xf numFmtId="0" fontId="2" fillId="0" borderId="0" xfId="2" applyFont="1"/>
    <xf numFmtId="0" fontId="2" fillId="2" borderId="0" xfId="2" applyFont="1" applyFill="1"/>
    <xf numFmtId="0" fontId="4" fillId="0" borderId="0" xfId="2" applyFont="1" applyAlignment="1" applyProtection="1">
      <alignment horizontal="right"/>
      <protection locked="0"/>
    </xf>
    <xf numFmtId="0" fontId="5" fillId="0" borderId="2" xfId="2" applyFont="1" applyBorder="1" applyAlignment="1">
      <alignment horizontal="center" vertical="center" wrapText="1"/>
    </xf>
    <xf numFmtId="0" fontId="6" fillId="0" borderId="0" xfId="2" applyFont="1" applyAlignment="1">
      <alignment horizontal="center" wrapText="1"/>
    </xf>
    <xf numFmtId="0" fontId="6" fillId="0" borderId="0" xfId="2" applyFont="1" applyAlignment="1">
      <alignment horizontal="center" vertical="center" wrapText="1"/>
    </xf>
    <xf numFmtId="0" fontId="2" fillId="0" borderId="0" xfId="2" applyFont="1" applyAlignment="1">
      <alignment horizontal="center" wrapText="1"/>
    </xf>
    <xf numFmtId="49" fontId="5" fillId="0" borderId="0" xfId="2" applyNumberFormat="1" applyFont="1" applyAlignment="1">
      <alignment horizontal="left" wrapText="1"/>
    </xf>
    <xf numFmtId="49" fontId="5" fillId="2" borderId="0" xfId="2" applyNumberFormat="1" applyFont="1" applyFill="1" applyAlignment="1">
      <alignment horizontal="left" wrapText="1"/>
    </xf>
    <xf numFmtId="0" fontId="2" fillId="0" borderId="0" xfId="2" applyFont="1" applyAlignment="1">
      <alignment horizontal="center"/>
    </xf>
    <xf numFmtId="165" fontId="1" fillId="2" borderId="2" xfId="1" applyNumberFormat="1" applyFont="1" applyFill="1" applyBorder="1" applyAlignment="1" applyProtection="1">
      <alignment horizontal="center" vertical="center" wrapText="1"/>
      <protection locked="0"/>
    </xf>
    <xf numFmtId="165" fontId="1" fillId="0" borderId="2" xfId="1" applyNumberFormat="1" applyFont="1" applyFill="1" applyBorder="1" applyAlignment="1" applyProtection="1">
      <alignment horizontal="center" vertical="center"/>
      <protection locked="0"/>
    </xf>
    <xf numFmtId="165" fontId="5" fillId="0" borderId="2" xfId="1" applyNumberFormat="1" applyFont="1" applyFill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left" wrapText="1"/>
    </xf>
    <xf numFmtId="49" fontId="1" fillId="0" borderId="5" xfId="0" applyNumberFormat="1" applyFont="1" applyBorder="1" applyAlignment="1">
      <alignment horizontal="center" vertical="center"/>
    </xf>
    <xf numFmtId="165" fontId="1" fillId="2" borderId="5" xfId="1" applyNumberFormat="1" applyFont="1" applyFill="1" applyBorder="1" applyAlignment="1">
      <alignment horizontal="center" vertical="center"/>
    </xf>
    <xf numFmtId="165" fontId="1" fillId="0" borderId="5" xfId="1" applyNumberFormat="1" applyFont="1" applyFill="1" applyBorder="1" applyAlignment="1">
      <alignment horizontal="center" vertical="center"/>
    </xf>
    <xf numFmtId="165" fontId="1" fillId="0" borderId="5" xfId="1" applyNumberFormat="1" applyFont="1" applyFill="1" applyBorder="1" applyAlignment="1" applyProtection="1">
      <alignment horizontal="center" vertical="center"/>
      <protection locked="0"/>
    </xf>
    <xf numFmtId="165" fontId="5" fillId="0" borderId="5" xfId="1" applyNumberFormat="1" applyFont="1" applyFill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left" wrapText="1"/>
    </xf>
    <xf numFmtId="49" fontId="1" fillId="0" borderId="6" xfId="0" applyNumberFormat="1" applyFont="1" applyBorder="1" applyAlignment="1">
      <alignment horizontal="center" vertical="center"/>
    </xf>
    <xf numFmtId="165" fontId="1" fillId="2" borderId="6" xfId="1" applyNumberFormat="1" applyFont="1" applyFill="1" applyBorder="1" applyAlignment="1">
      <alignment horizontal="center" vertical="center"/>
    </xf>
    <xf numFmtId="165" fontId="1" fillId="0" borderId="6" xfId="1" applyNumberFormat="1" applyFont="1" applyFill="1" applyBorder="1" applyAlignment="1">
      <alignment horizontal="center" vertical="center"/>
    </xf>
    <xf numFmtId="165" fontId="5" fillId="0" borderId="6" xfId="1" applyNumberFormat="1" applyFont="1" applyFill="1" applyBorder="1" applyAlignment="1">
      <alignment horizontal="center" vertical="center" wrapText="1"/>
    </xf>
    <xf numFmtId="165" fontId="1" fillId="2" borderId="3" xfId="1" applyNumberFormat="1" applyFont="1" applyFill="1" applyBorder="1" applyAlignment="1" applyProtection="1">
      <alignment horizontal="center" vertical="center" wrapText="1"/>
      <protection locked="0"/>
    </xf>
    <xf numFmtId="165" fontId="1" fillId="0" borderId="3" xfId="1" applyNumberFormat="1" applyFont="1" applyFill="1" applyBorder="1" applyAlignment="1" applyProtection="1">
      <alignment horizontal="center" vertical="center"/>
      <protection locked="0"/>
    </xf>
    <xf numFmtId="165" fontId="5" fillId="0" borderId="3" xfId="1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left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/>
    </xf>
    <xf numFmtId="165" fontId="1" fillId="2" borderId="8" xfId="1" applyNumberFormat="1" applyFont="1" applyFill="1" applyBorder="1" applyAlignment="1">
      <alignment horizontal="center" vertical="center"/>
    </xf>
    <xf numFmtId="165" fontId="1" fillId="0" borderId="8" xfId="1" applyNumberFormat="1" applyFont="1" applyFill="1" applyBorder="1" applyAlignment="1">
      <alignment horizontal="center" vertical="center"/>
    </xf>
    <xf numFmtId="165" fontId="5" fillId="0" borderId="8" xfId="1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wrapText="1"/>
    </xf>
    <xf numFmtId="0" fontId="2" fillId="0" borderId="9" xfId="2" applyFont="1" applyBorder="1" applyAlignment="1">
      <alignment horizontal="center"/>
    </xf>
    <xf numFmtId="0" fontId="2" fillId="0" borderId="5" xfId="2" applyFont="1" applyBorder="1" applyAlignment="1">
      <alignment horizontal="center"/>
    </xf>
    <xf numFmtId="0" fontId="2" fillId="0" borderId="5" xfId="2" applyFont="1" applyBorder="1" applyAlignment="1">
      <alignment horizontal="center" wrapText="1"/>
    </xf>
    <xf numFmtId="0" fontId="2" fillId="0" borderId="10" xfId="2" applyFont="1" applyBorder="1" applyAlignment="1">
      <alignment horizontal="center" wrapText="1"/>
    </xf>
    <xf numFmtId="0" fontId="1" fillId="0" borderId="6" xfId="0" applyFont="1" applyBorder="1" applyAlignment="1">
      <alignment wrapText="1"/>
    </xf>
    <xf numFmtId="49" fontId="5" fillId="0" borderId="11" xfId="2" applyNumberFormat="1" applyFont="1" applyBorder="1" applyAlignment="1" applyProtection="1">
      <alignment horizontal="left" vertical="center" wrapText="1"/>
      <protection locked="0"/>
    </xf>
    <xf numFmtId="0" fontId="7" fillId="0" borderId="12" xfId="0" applyFont="1" applyBorder="1"/>
    <xf numFmtId="165" fontId="5" fillId="2" borderId="3" xfId="1" applyNumberFormat="1" applyFont="1" applyFill="1" applyBorder="1" applyAlignment="1" applyProtection="1">
      <alignment horizontal="center" vertical="center" wrapText="1"/>
      <protection locked="0"/>
    </xf>
    <xf numFmtId="165" fontId="1" fillId="2" borderId="0" xfId="1" applyNumberFormat="1" applyFont="1" applyFill="1" applyAlignment="1" applyProtection="1">
      <alignment horizontal="center" vertical="center" wrapText="1"/>
      <protection locked="0"/>
    </xf>
    <xf numFmtId="165" fontId="1" fillId="0" borderId="0" xfId="1" applyNumberFormat="1" applyFont="1" applyFill="1" applyAlignment="1" applyProtection="1">
      <alignment horizontal="center" vertical="center" wrapText="1"/>
      <protection locked="0"/>
    </xf>
    <xf numFmtId="165" fontId="1" fillId="0" borderId="0" xfId="1" applyNumberFormat="1" applyFont="1" applyAlignment="1" applyProtection="1">
      <alignment horizontal="center" vertical="center" wrapText="1"/>
      <protection locked="0"/>
    </xf>
    <xf numFmtId="165" fontId="1" fillId="0" borderId="0" xfId="1" applyNumberFormat="1" applyFont="1" applyAlignment="1">
      <alignment horizontal="center" vertical="center" wrapText="1"/>
    </xf>
    <xf numFmtId="0" fontId="2" fillId="0" borderId="0" xfId="2" applyFont="1" applyAlignment="1" applyProtection="1">
      <alignment horizontal="center" vertical="center" wrapText="1"/>
      <protection locked="0"/>
    </xf>
    <xf numFmtId="0" fontId="2" fillId="0" borderId="0" xfId="2" applyFont="1" applyAlignment="1">
      <alignment horizontal="center" vertical="center" wrapText="1"/>
    </xf>
    <xf numFmtId="49" fontId="5" fillId="0" borderId="0" xfId="2" applyNumberFormat="1" applyFont="1" applyAlignment="1" applyProtection="1">
      <alignment horizontal="left" wrapText="1"/>
      <protection locked="0"/>
    </xf>
    <xf numFmtId="49" fontId="5" fillId="0" borderId="0" xfId="2" applyNumberFormat="1" applyFont="1" applyAlignment="1" applyProtection="1">
      <alignment wrapText="1"/>
      <protection locked="0"/>
    </xf>
    <xf numFmtId="49" fontId="5" fillId="0" borderId="0" xfId="2" applyNumberFormat="1" applyFont="1" applyAlignment="1" applyProtection="1">
      <alignment horizontal="center" vertical="center" wrapText="1"/>
      <protection locked="0"/>
    </xf>
    <xf numFmtId="165" fontId="5" fillId="2" borderId="0" xfId="1" applyNumberFormat="1" applyFont="1" applyFill="1" applyAlignment="1" applyProtection="1">
      <alignment horizontal="center" vertical="center" wrapText="1"/>
      <protection locked="0"/>
    </xf>
    <xf numFmtId="165" fontId="1" fillId="2" borderId="2" xfId="1" applyNumberFormat="1" applyFont="1" applyFill="1" applyBorder="1" applyAlignment="1" applyProtection="1">
      <alignment horizontal="center" vertical="center"/>
      <protection locked="0"/>
    </xf>
    <xf numFmtId="165" fontId="1" fillId="2" borderId="2" xfId="4" applyNumberFormat="1" applyFont="1" applyFill="1" applyBorder="1" applyAlignment="1" applyProtection="1">
      <alignment horizontal="center" vertical="center"/>
      <protection locked="0"/>
    </xf>
    <xf numFmtId="165" fontId="1" fillId="2" borderId="4" xfId="1" applyNumberFormat="1" applyFont="1" applyFill="1" applyBorder="1" applyAlignment="1" applyProtection="1">
      <alignment horizontal="center" vertical="center" wrapText="1"/>
      <protection locked="0"/>
    </xf>
    <xf numFmtId="165" fontId="1" fillId="2" borderId="4" xfId="1" applyNumberFormat="1" applyFont="1" applyFill="1" applyBorder="1" applyAlignment="1" applyProtection="1">
      <alignment horizontal="center" vertical="center"/>
      <protection locked="0"/>
    </xf>
    <xf numFmtId="165" fontId="5" fillId="0" borderId="4" xfId="1" applyNumberFormat="1" applyFont="1" applyFill="1" applyBorder="1" applyAlignment="1">
      <alignment horizontal="center" vertical="center" wrapText="1"/>
    </xf>
    <xf numFmtId="49" fontId="5" fillId="0" borderId="5" xfId="2" applyNumberFormat="1" applyFont="1" applyBorder="1" applyAlignment="1" applyProtection="1">
      <alignment vertical="center" wrapText="1"/>
      <protection locked="0"/>
    </xf>
    <xf numFmtId="165" fontId="5" fillId="2" borderId="5" xfId="1" applyNumberFormat="1" applyFont="1" applyFill="1" applyBorder="1" applyAlignment="1" applyProtection="1">
      <alignment horizontal="center" vertical="center" wrapText="1"/>
      <protection locked="0"/>
    </xf>
    <xf numFmtId="165" fontId="5" fillId="0" borderId="5" xfId="1" applyNumberFormat="1" applyFont="1" applyFill="1" applyBorder="1" applyAlignment="1" applyProtection="1">
      <alignment horizontal="center" vertical="center" wrapText="1"/>
      <protection locked="0"/>
    </xf>
    <xf numFmtId="165" fontId="1" fillId="0" borderId="0" xfId="1" applyNumberFormat="1" applyFont="1" applyFill="1" applyBorder="1" applyAlignment="1">
      <alignment horizontal="center" vertical="center" wrapText="1"/>
    </xf>
    <xf numFmtId="49" fontId="5" fillId="0" borderId="13" xfId="2" applyNumberFormat="1" applyFont="1" applyBorder="1" applyAlignment="1" applyProtection="1">
      <alignment vertical="center" wrapText="1"/>
      <protection locked="0"/>
    </xf>
    <xf numFmtId="165" fontId="5" fillId="0" borderId="2" xfId="1" applyNumberFormat="1" applyFont="1" applyFill="1" applyBorder="1" applyAlignment="1" applyProtection="1">
      <alignment horizontal="center" vertical="center" wrapText="1"/>
      <protection locked="0"/>
    </xf>
    <xf numFmtId="165" fontId="5" fillId="0" borderId="3" xfId="1" applyNumberFormat="1" applyFont="1" applyFill="1" applyBorder="1" applyAlignment="1">
      <alignment horizontal="center" vertical="center" wrapText="1"/>
    </xf>
    <xf numFmtId="49" fontId="5" fillId="0" borderId="0" xfId="2" applyNumberFormat="1" applyFont="1" applyAlignment="1" applyProtection="1">
      <alignment vertical="center" wrapText="1"/>
      <protection locked="0"/>
    </xf>
    <xf numFmtId="165" fontId="1" fillId="0" borderId="1" xfId="1" applyNumberFormat="1" applyFont="1" applyFill="1" applyBorder="1" applyAlignment="1">
      <alignment horizontal="center" vertical="center" wrapText="1"/>
    </xf>
    <xf numFmtId="165" fontId="5" fillId="2" borderId="14" xfId="1" applyNumberFormat="1" applyFont="1" applyFill="1" applyBorder="1" applyAlignment="1">
      <alignment horizontal="center" vertical="center" wrapText="1"/>
    </xf>
    <xf numFmtId="165" fontId="5" fillId="0" borderId="14" xfId="1" applyNumberFormat="1" applyFont="1" applyFill="1" applyBorder="1" applyAlignment="1">
      <alignment horizontal="center" vertical="center" wrapText="1"/>
    </xf>
    <xf numFmtId="165" fontId="1" fillId="0" borderId="0" xfId="1" applyNumberFormat="1" applyFont="1" applyFill="1" applyAlignment="1">
      <alignment horizontal="center" vertical="center" wrapText="1"/>
    </xf>
    <xf numFmtId="166" fontId="1" fillId="0" borderId="2" xfId="1" applyNumberFormat="1" applyFont="1" applyBorder="1" applyAlignment="1">
      <alignment horizontal="center" vertical="center" wrapText="1"/>
    </xf>
    <xf numFmtId="165" fontId="1" fillId="0" borderId="2" xfId="1" applyNumberFormat="1" applyFont="1" applyBorder="1" applyAlignment="1">
      <alignment horizontal="center" vertical="center" wrapText="1"/>
    </xf>
    <xf numFmtId="49" fontId="8" fillId="0" borderId="0" xfId="2" applyNumberFormat="1" applyFont="1" applyAlignment="1">
      <alignment vertical="center" wrapText="1"/>
    </xf>
    <xf numFmtId="49" fontId="8" fillId="2" borderId="0" xfId="2" applyNumberFormat="1" applyFont="1" applyFill="1" applyAlignment="1">
      <alignment vertical="center" wrapText="1"/>
    </xf>
    <xf numFmtId="0" fontId="8" fillId="0" borderId="15" xfId="2" applyFont="1" applyBorder="1" applyAlignment="1" applyProtection="1">
      <alignment vertical="center"/>
      <protection locked="0"/>
    </xf>
    <xf numFmtId="0" fontId="2" fillId="0" borderId="0" xfId="6" applyFont="1"/>
    <xf numFmtId="165" fontId="1" fillId="2" borderId="5" xfId="1" applyNumberFormat="1" applyFont="1" applyFill="1" applyBorder="1" applyAlignment="1" applyProtection="1">
      <alignment horizontal="center" vertical="center"/>
      <protection locked="0"/>
    </xf>
    <xf numFmtId="165" fontId="1" fillId="2" borderId="5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2" applyFont="1" applyAlignment="1" applyProtection="1">
      <alignment wrapText="1"/>
      <protection locked="0"/>
    </xf>
    <xf numFmtId="165" fontId="2" fillId="0" borderId="0" xfId="2" applyNumberFormat="1" applyFont="1" applyAlignment="1" applyProtection="1">
      <alignment wrapText="1"/>
      <protection locked="0"/>
    </xf>
    <xf numFmtId="49" fontId="1" fillId="0" borderId="2" xfId="2" applyNumberFormat="1" applyBorder="1" applyAlignment="1" applyProtection="1">
      <alignment horizontal="center" vertical="center" wrapText="1"/>
      <protection locked="0"/>
    </xf>
    <xf numFmtId="49" fontId="1" fillId="0" borderId="0" xfId="2" applyNumberFormat="1" applyAlignment="1" applyProtection="1">
      <alignment horizontal="center" vertical="center" wrapText="1"/>
      <protection locked="0"/>
    </xf>
    <xf numFmtId="0" fontId="1" fillId="0" borderId="2" xfId="2" applyBorder="1" applyAlignment="1">
      <alignment horizontal="center" vertical="center" wrapText="1"/>
    </xf>
    <xf numFmtId="0" fontId="1" fillId="0" borderId="0" xfId="2" applyAlignment="1">
      <alignment horizontal="center" wrapText="1"/>
    </xf>
    <xf numFmtId="0" fontId="1" fillId="0" borderId="0" xfId="2" applyAlignment="1">
      <alignment horizontal="center"/>
    </xf>
    <xf numFmtId="0" fontId="1" fillId="0" borderId="4" xfId="2" applyBorder="1" applyAlignment="1" applyProtection="1">
      <alignment horizontal="center" vertical="center" wrapText="1"/>
      <protection locked="0"/>
    </xf>
    <xf numFmtId="165" fontId="1" fillId="0" borderId="6" xfId="1" applyNumberFormat="1" applyFont="1" applyFill="1" applyBorder="1" applyAlignment="1" applyProtection="1">
      <alignment horizontal="center" vertical="center"/>
      <protection locked="0"/>
    </xf>
    <xf numFmtId="49" fontId="1" fillId="0" borderId="3" xfId="2" applyNumberFormat="1" applyBorder="1" applyAlignment="1" applyProtection="1">
      <alignment horizontal="center" vertical="center" wrapText="1"/>
      <protection locked="0"/>
    </xf>
    <xf numFmtId="49" fontId="1" fillId="0" borderId="3" xfId="2" applyNumberFormat="1" applyBorder="1" applyAlignment="1" applyProtection="1">
      <alignment horizontal="left" vertical="center" wrapText="1"/>
      <protection locked="0"/>
    </xf>
    <xf numFmtId="49" fontId="1" fillId="2" borderId="2" xfId="2" applyNumberFormat="1" applyFill="1" applyBorder="1" applyAlignment="1" applyProtection="1">
      <alignment horizontal="center" vertical="center" wrapText="1"/>
      <protection locked="0"/>
    </xf>
    <xf numFmtId="49" fontId="1" fillId="0" borderId="5" xfId="2" applyNumberFormat="1" applyBorder="1" applyAlignment="1" applyProtection="1">
      <alignment horizontal="left" vertical="center" wrapText="1"/>
      <protection locked="0"/>
    </xf>
    <xf numFmtId="49" fontId="1" fillId="0" borderId="5" xfId="2" applyNumberFormat="1" applyBorder="1" applyAlignment="1" applyProtection="1">
      <alignment horizontal="center" vertical="center" wrapText="1"/>
      <protection locked="0"/>
    </xf>
    <xf numFmtId="49" fontId="1" fillId="0" borderId="5" xfId="2" applyNumberFormat="1" applyBorder="1" applyAlignment="1" applyProtection="1">
      <alignment horizontal="left" wrapText="1"/>
      <protection locked="0"/>
    </xf>
    <xf numFmtId="165" fontId="1" fillId="0" borderId="2" xfId="1" applyNumberFormat="1" applyFont="1" applyFill="1" applyBorder="1" applyAlignment="1" applyProtection="1">
      <alignment horizontal="center" vertical="center" wrapText="1"/>
      <protection locked="0"/>
    </xf>
    <xf numFmtId="49" fontId="1" fillId="0" borderId="8" xfId="2" applyNumberFormat="1" applyBorder="1" applyAlignment="1" applyProtection="1">
      <alignment horizontal="left" wrapText="1"/>
      <protection locked="0"/>
    </xf>
    <xf numFmtId="49" fontId="1" fillId="0" borderId="16" xfId="2" applyNumberFormat="1" applyBorder="1" applyAlignment="1" applyProtection="1">
      <alignment horizontal="center" vertical="center" wrapText="1"/>
      <protection locked="0"/>
    </xf>
    <xf numFmtId="165" fontId="1" fillId="0" borderId="8" xfId="1" applyNumberFormat="1" applyFont="1" applyFill="1" applyBorder="1" applyAlignment="1" applyProtection="1">
      <alignment horizontal="center" vertical="center"/>
      <protection locked="0"/>
    </xf>
    <xf numFmtId="49" fontId="1" fillId="0" borderId="17" xfId="2" applyNumberFormat="1" applyBorder="1" applyAlignment="1" applyProtection="1">
      <alignment horizontal="center" vertical="center" wrapText="1"/>
      <protection locked="0"/>
    </xf>
    <xf numFmtId="49" fontId="1" fillId="0" borderId="6" xfId="2" applyNumberFormat="1" applyBorder="1" applyAlignment="1" applyProtection="1">
      <alignment horizontal="left" wrapText="1"/>
      <protection locked="0"/>
    </xf>
    <xf numFmtId="49" fontId="1" fillId="0" borderId="6" xfId="2" applyNumberForma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>
      <alignment horizontal="left" wrapText="1"/>
    </xf>
    <xf numFmtId="0" fontId="1" fillId="0" borderId="12" xfId="0" applyFont="1" applyBorder="1" applyAlignment="1">
      <alignment wrapText="1"/>
    </xf>
    <xf numFmtId="49" fontId="1" fillId="2" borderId="5" xfId="0" applyNumberFormat="1" applyFont="1" applyFill="1" applyBorder="1" applyAlignment="1">
      <alignment horizontal="center" vertical="center"/>
    </xf>
    <xf numFmtId="0" fontId="1" fillId="0" borderId="5" xfId="2" applyBorder="1" applyAlignment="1">
      <alignment horizontal="left" wrapText="1"/>
    </xf>
    <xf numFmtId="0" fontId="1" fillId="0" borderId="5" xfId="2" applyBorder="1" applyAlignment="1">
      <alignment horizontal="center" vertical="center" wrapText="1"/>
    </xf>
    <xf numFmtId="165" fontId="1" fillId="0" borderId="5" xfId="1" applyNumberFormat="1" applyFont="1" applyBorder="1" applyAlignment="1">
      <alignment horizontal="center" vertical="center" wrapText="1"/>
    </xf>
    <xf numFmtId="165" fontId="1" fillId="2" borderId="5" xfId="1" applyNumberFormat="1" applyFont="1" applyFill="1" applyBorder="1" applyAlignment="1">
      <alignment horizontal="center" vertical="center" wrapText="1"/>
    </xf>
    <xf numFmtId="3" fontId="1" fillId="0" borderId="5" xfId="2" applyNumberFormat="1" applyBorder="1" applyAlignment="1">
      <alignment horizontal="right" vertical="center" wrapText="1"/>
    </xf>
    <xf numFmtId="165" fontId="1" fillId="0" borderId="5" xfId="1" applyNumberFormat="1" applyFont="1" applyBorder="1" applyAlignment="1">
      <alignment horizontal="right" vertical="center" wrapText="1"/>
    </xf>
    <xf numFmtId="165" fontId="1" fillId="0" borderId="5" xfId="1" applyNumberFormat="1" applyFont="1" applyFill="1" applyBorder="1" applyAlignment="1">
      <alignment horizontal="right" vertical="center"/>
    </xf>
    <xf numFmtId="165" fontId="1" fillId="0" borderId="5" xfId="1" applyNumberFormat="1" applyFont="1" applyFill="1" applyBorder="1" applyAlignment="1" applyProtection="1">
      <alignment horizontal="right" vertical="center"/>
      <protection locked="0"/>
    </xf>
    <xf numFmtId="49" fontId="1" fillId="0" borderId="18" xfId="2" applyNumberFormat="1" applyBorder="1" applyAlignment="1" applyProtection="1">
      <alignment horizontal="center" vertical="center" wrapText="1"/>
      <protection locked="0"/>
    </xf>
    <xf numFmtId="49" fontId="1" fillId="0" borderId="0" xfId="2" applyNumberFormat="1" applyAlignment="1" applyProtection="1">
      <alignment wrapText="1"/>
      <protection locked="0"/>
    </xf>
    <xf numFmtId="49" fontId="1" fillId="0" borderId="5" xfId="3" applyNumberFormat="1" applyBorder="1" applyAlignment="1">
      <alignment horizontal="left" wrapText="1"/>
    </xf>
    <xf numFmtId="49" fontId="1" fillId="0" borderId="19" xfId="3" applyNumberFormat="1" applyBorder="1" applyAlignment="1">
      <alignment horizontal="center" vertical="center" wrapText="1"/>
    </xf>
    <xf numFmtId="49" fontId="1" fillId="2" borderId="5" xfId="3" applyNumberFormat="1" applyFill="1" applyBorder="1" applyAlignment="1">
      <alignment horizontal="center" vertical="center"/>
    </xf>
    <xf numFmtId="49" fontId="1" fillId="0" borderId="5" xfId="3" applyNumberFormat="1" applyBorder="1" applyAlignment="1">
      <alignment horizontal="center" vertical="center"/>
    </xf>
    <xf numFmtId="49" fontId="1" fillId="0" borderId="4" xfId="2" applyNumberFormat="1" applyBorder="1" applyAlignment="1" applyProtection="1">
      <alignment horizontal="center" vertical="center" wrapText="1"/>
      <protection locked="0"/>
    </xf>
    <xf numFmtId="49" fontId="1" fillId="0" borderId="4" xfId="2" applyNumberFormat="1" applyBorder="1" applyAlignment="1" applyProtection="1">
      <alignment horizontal="left" vertical="center" wrapText="1"/>
      <protection locked="0"/>
    </xf>
    <xf numFmtId="49" fontId="1" fillId="0" borderId="20" xfId="3" applyNumberFormat="1" applyBorder="1" applyAlignment="1">
      <alignment horizontal="center" vertical="center" wrapText="1"/>
    </xf>
    <xf numFmtId="49" fontId="1" fillId="0" borderId="5" xfId="3" applyNumberFormat="1" applyBorder="1" applyAlignment="1">
      <alignment horizontal="center" vertical="center" wrapText="1"/>
    </xf>
    <xf numFmtId="49" fontId="1" fillId="0" borderId="21" xfId="5" applyNumberFormat="1" applyBorder="1" applyAlignment="1">
      <alignment vertical="center" wrapText="1"/>
    </xf>
    <xf numFmtId="49" fontId="1" fillId="0" borderId="14" xfId="5" applyNumberFormat="1" applyBorder="1" applyAlignment="1">
      <alignment horizontal="center" vertical="center" wrapText="1"/>
    </xf>
    <xf numFmtId="49" fontId="1" fillId="0" borderId="0" xfId="2" applyNumberFormat="1" applyAlignment="1" applyProtection="1">
      <alignment vertical="center" wrapText="1"/>
      <protection locked="0"/>
    </xf>
    <xf numFmtId="0" fontId="1" fillId="0" borderId="1" xfId="2" applyBorder="1" applyAlignment="1" applyProtection="1">
      <alignment vertical="center"/>
      <protection locked="0"/>
    </xf>
    <xf numFmtId="49" fontId="1" fillId="0" borderId="22" xfId="2" applyNumberFormat="1" applyBorder="1" applyAlignment="1">
      <alignment horizontal="left" vertical="center" wrapText="1"/>
    </xf>
    <xf numFmtId="49" fontId="1" fillId="2" borderId="0" xfId="2" applyNumberFormat="1" applyFill="1" applyAlignment="1">
      <alignment horizontal="left" vertical="center" wrapText="1"/>
    </xf>
    <xf numFmtId="0" fontId="1" fillId="0" borderId="0" xfId="2" applyAlignment="1">
      <alignment vertical="center"/>
    </xf>
    <xf numFmtId="0" fontId="1" fillId="0" borderId="23" xfId="2" applyBorder="1" applyAlignment="1">
      <alignment horizontal="right" vertical="center"/>
    </xf>
    <xf numFmtId="3" fontId="1" fillId="3" borderId="18" xfId="2" applyNumberFormat="1" applyFill="1" applyBorder="1" applyAlignment="1" applyProtection="1">
      <alignment horizontal="right" vertical="center"/>
      <protection locked="0"/>
    </xf>
    <xf numFmtId="0" fontId="9" fillId="0" borderId="0" xfId="0" applyFont="1" applyAlignment="1">
      <alignment horizontal="center" wrapText="1"/>
    </xf>
    <xf numFmtId="165" fontId="1" fillId="2" borderId="0" xfId="2" applyNumberFormat="1" applyFill="1" applyAlignment="1">
      <alignment horizontal="left" vertical="center" wrapText="1"/>
    </xf>
    <xf numFmtId="49" fontId="1" fillId="0" borderId="2" xfId="2" applyNumberFormat="1" applyBorder="1" applyAlignment="1" applyProtection="1">
      <alignment horizontal="left" vertical="center" wrapText="1"/>
      <protection locked="0"/>
    </xf>
    <xf numFmtId="49" fontId="1" fillId="0" borderId="2" xfId="2" applyNumberFormat="1" applyBorder="1" applyAlignment="1">
      <alignment horizontal="left" vertical="center" wrapText="1"/>
    </xf>
    <xf numFmtId="0" fontId="2" fillId="0" borderId="0" xfId="2" applyFont="1" applyAlignment="1" applyProtection="1">
      <alignment horizontal="right"/>
      <protection locked="0"/>
    </xf>
    <xf numFmtId="0" fontId="2" fillId="0" borderId="0" xfId="2" applyFont="1" applyAlignment="1" applyProtection="1">
      <alignment horizontal="right" wrapText="1"/>
      <protection locked="0"/>
    </xf>
    <xf numFmtId="0" fontId="3" fillId="0" borderId="0" xfId="2" applyFont="1" applyAlignment="1" applyProtection="1">
      <alignment horizontal="center"/>
      <protection locked="0"/>
    </xf>
    <xf numFmtId="49" fontId="1" fillId="0" borderId="2" xfId="2" applyNumberFormat="1" applyBorder="1" applyAlignment="1">
      <alignment horizontal="center" vertical="center" wrapText="1"/>
    </xf>
    <xf numFmtId="49" fontId="1" fillId="0" borderId="4" xfId="2" applyNumberFormat="1" applyBorder="1" applyAlignment="1">
      <alignment horizontal="center" vertical="center" wrapText="1"/>
    </xf>
    <xf numFmtId="49" fontId="1" fillId="0" borderId="3" xfId="2" applyNumberFormat="1" applyBorder="1" applyAlignment="1">
      <alignment horizontal="center" vertical="center" wrapText="1"/>
    </xf>
    <xf numFmtId="49" fontId="1" fillId="2" borderId="4" xfId="2" applyNumberFormat="1" applyFill="1" applyBorder="1" applyAlignment="1">
      <alignment horizontal="center" vertical="center" wrapText="1"/>
    </xf>
    <xf numFmtId="49" fontId="1" fillId="2" borderId="3" xfId="2" applyNumberFormat="1" applyFill="1" applyBorder="1" applyAlignment="1">
      <alignment horizontal="center" vertical="center" wrapText="1"/>
    </xf>
    <xf numFmtId="0" fontId="1" fillId="0" borderId="2" xfId="2" applyBorder="1" applyAlignment="1" applyProtection="1">
      <alignment horizontal="center" vertical="center" wrapText="1"/>
      <protection locked="0"/>
    </xf>
    <xf numFmtId="49" fontId="3" fillId="0" borderId="1" xfId="2" applyNumberFormat="1" applyFont="1" applyBorder="1" applyAlignment="1">
      <alignment horizontal="center" vertical="center" wrapText="1"/>
    </xf>
    <xf numFmtId="49" fontId="3" fillId="0" borderId="1" xfId="2" applyNumberFormat="1" applyFont="1" applyBorder="1" applyAlignment="1" applyProtection="1">
      <alignment horizontal="center" vertical="center" wrapText="1"/>
      <protection locked="0"/>
    </xf>
  </cellXfs>
  <cellStyles count="7">
    <cellStyle name="Comma" xfId="1" builtinId="3"/>
    <cellStyle name="Comma 2" xfId="4"/>
    <cellStyle name="Normal" xfId="0" builtinId="0"/>
    <cellStyle name="Normal 2 2" xfId="6"/>
    <cellStyle name="Normal_Pamatformas" xfId="2"/>
    <cellStyle name="Normal_Veidlapa_2008_oktobris_(4.piel)" xfId="3"/>
    <cellStyle name="Normal_Veidlapa_2008_oktobris_(5.piel)_(2)" xfId="5"/>
  </cellStyles>
  <dxfs count="7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M161"/>
  <sheetViews>
    <sheetView showGridLines="0" tabSelected="1" zoomScale="95" zoomScaleNormal="95" zoomScaleSheetLayoutView="100" workbookViewId="0">
      <selection activeCell="AN1" sqref="AN1"/>
    </sheetView>
  </sheetViews>
  <sheetFormatPr defaultRowHeight="12" x14ac:dyDescent="0.2"/>
  <cols>
    <col min="1" max="1" width="7.42578125" style="3" customWidth="1"/>
    <col min="2" max="2" width="11.42578125" style="4" customWidth="1"/>
    <col min="3" max="3" width="33.42578125" style="4" customWidth="1"/>
    <col min="4" max="4" width="12.85546875" style="4" customWidth="1"/>
    <col min="5" max="6" width="12.28515625" style="4" customWidth="1"/>
    <col min="7" max="7" width="12.28515625" style="5" customWidth="1"/>
    <col min="8" max="8" width="13.5703125" style="5" customWidth="1"/>
    <col min="9" max="17" width="13.28515625" style="3" customWidth="1"/>
    <col min="18" max="21" width="0" style="3" hidden="1" customWidth="1"/>
    <col min="22" max="22" width="0" style="4" hidden="1" customWidth="1"/>
    <col min="23" max="24" width="0" style="3" hidden="1" customWidth="1"/>
    <col min="25" max="25" width="0" style="4" hidden="1" customWidth="1"/>
    <col min="26" max="38" width="0" style="3" hidden="1" customWidth="1"/>
    <col min="39" max="221" width="8.85546875" style="3"/>
    <col min="222" max="231" width="8.85546875" style="80"/>
    <col min="232" max="232" width="11.140625" style="80" customWidth="1"/>
    <col min="233" max="233" width="29.7109375" style="80" customWidth="1"/>
    <col min="234" max="234" width="12.42578125" style="80" customWidth="1"/>
    <col min="235" max="235" width="25" style="80" customWidth="1"/>
    <col min="236" max="236" width="12.28515625" style="80" customWidth="1"/>
    <col min="237" max="245" width="13.28515625" style="80" customWidth="1"/>
    <col min="246" max="266" width="0" style="80" hidden="1" customWidth="1"/>
    <col min="267" max="487" width="8.85546875" style="80"/>
    <col min="488" max="488" width="11.140625" style="80" customWidth="1"/>
    <col min="489" max="489" width="29.7109375" style="80" customWidth="1"/>
    <col min="490" max="490" width="12.42578125" style="80" customWidth="1"/>
    <col min="491" max="491" width="25" style="80" customWidth="1"/>
    <col min="492" max="492" width="12.28515625" style="80" customWidth="1"/>
    <col min="493" max="501" width="13.28515625" style="80" customWidth="1"/>
    <col min="502" max="522" width="0" style="80" hidden="1" customWidth="1"/>
    <col min="523" max="743" width="8.85546875" style="80"/>
    <col min="744" max="744" width="11.140625" style="80" customWidth="1"/>
    <col min="745" max="745" width="29.7109375" style="80" customWidth="1"/>
    <col min="746" max="746" width="12.42578125" style="80" customWidth="1"/>
    <col min="747" max="747" width="25" style="80" customWidth="1"/>
    <col min="748" max="748" width="12.28515625" style="80" customWidth="1"/>
    <col min="749" max="757" width="13.28515625" style="80" customWidth="1"/>
    <col min="758" max="778" width="0" style="80" hidden="1" customWidth="1"/>
    <col min="779" max="999" width="8.85546875" style="80"/>
    <col min="1000" max="1000" width="11.140625" style="80" customWidth="1"/>
    <col min="1001" max="1001" width="29.7109375" style="80" customWidth="1"/>
    <col min="1002" max="1002" width="12.42578125" style="80" customWidth="1"/>
    <col min="1003" max="1003" width="25" style="80" customWidth="1"/>
    <col min="1004" max="1004" width="12.28515625" style="80" customWidth="1"/>
    <col min="1005" max="1013" width="13.28515625" style="80" customWidth="1"/>
    <col min="1014" max="1034" width="0" style="80" hidden="1" customWidth="1"/>
    <col min="1035" max="1255" width="8.85546875" style="80"/>
    <col min="1256" max="1256" width="11.140625" style="80" customWidth="1"/>
    <col min="1257" max="1257" width="29.7109375" style="80" customWidth="1"/>
    <col min="1258" max="1258" width="12.42578125" style="80" customWidth="1"/>
    <col min="1259" max="1259" width="25" style="80" customWidth="1"/>
    <col min="1260" max="1260" width="12.28515625" style="80" customWidth="1"/>
    <col min="1261" max="1269" width="13.28515625" style="80" customWidth="1"/>
    <col min="1270" max="1290" width="0" style="80" hidden="1" customWidth="1"/>
    <col min="1291" max="1511" width="8.85546875" style="80"/>
    <col min="1512" max="1512" width="11.140625" style="80" customWidth="1"/>
    <col min="1513" max="1513" width="29.7109375" style="80" customWidth="1"/>
    <col min="1514" max="1514" width="12.42578125" style="80" customWidth="1"/>
    <col min="1515" max="1515" width="25" style="80" customWidth="1"/>
    <col min="1516" max="1516" width="12.28515625" style="80" customWidth="1"/>
    <col min="1517" max="1525" width="13.28515625" style="80" customWidth="1"/>
    <col min="1526" max="1546" width="0" style="80" hidden="1" customWidth="1"/>
    <col min="1547" max="1767" width="8.85546875" style="80"/>
    <col min="1768" max="1768" width="11.140625" style="80" customWidth="1"/>
    <col min="1769" max="1769" width="29.7109375" style="80" customWidth="1"/>
    <col min="1770" max="1770" width="12.42578125" style="80" customWidth="1"/>
    <col min="1771" max="1771" width="25" style="80" customWidth="1"/>
    <col min="1772" max="1772" width="12.28515625" style="80" customWidth="1"/>
    <col min="1773" max="1781" width="13.28515625" style="80" customWidth="1"/>
    <col min="1782" max="1802" width="0" style="80" hidden="1" customWidth="1"/>
    <col min="1803" max="2023" width="8.85546875" style="80"/>
    <col min="2024" max="2024" width="11.140625" style="80" customWidth="1"/>
    <col min="2025" max="2025" width="29.7109375" style="80" customWidth="1"/>
    <col min="2026" max="2026" width="12.42578125" style="80" customWidth="1"/>
    <col min="2027" max="2027" width="25" style="80" customWidth="1"/>
    <col min="2028" max="2028" width="12.28515625" style="80" customWidth="1"/>
    <col min="2029" max="2037" width="13.28515625" style="80" customWidth="1"/>
    <col min="2038" max="2058" width="0" style="80" hidden="1" customWidth="1"/>
    <col min="2059" max="2279" width="8.85546875" style="80"/>
    <col min="2280" max="2280" width="11.140625" style="80" customWidth="1"/>
    <col min="2281" max="2281" width="29.7109375" style="80" customWidth="1"/>
    <col min="2282" max="2282" width="12.42578125" style="80" customWidth="1"/>
    <col min="2283" max="2283" width="25" style="80" customWidth="1"/>
    <col min="2284" max="2284" width="12.28515625" style="80" customWidth="1"/>
    <col min="2285" max="2293" width="13.28515625" style="80" customWidth="1"/>
    <col min="2294" max="2314" width="0" style="80" hidden="1" customWidth="1"/>
    <col min="2315" max="2535" width="8.85546875" style="80"/>
    <col min="2536" max="2536" width="11.140625" style="80" customWidth="1"/>
    <col min="2537" max="2537" width="29.7109375" style="80" customWidth="1"/>
    <col min="2538" max="2538" width="12.42578125" style="80" customWidth="1"/>
    <col min="2539" max="2539" width="25" style="80" customWidth="1"/>
    <col min="2540" max="2540" width="12.28515625" style="80" customWidth="1"/>
    <col min="2541" max="2549" width="13.28515625" style="80" customWidth="1"/>
    <col min="2550" max="2570" width="0" style="80" hidden="1" customWidth="1"/>
    <col min="2571" max="2791" width="8.85546875" style="80"/>
    <col min="2792" max="2792" width="11.140625" style="80" customWidth="1"/>
    <col min="2793" max="2793" width="29.7109375" style="80" customWidth="1"/>
    <col min="2794" max="2794" width="12.42578125" style="80" customWidth="1"/>
    <col min="2795" max="2795" width="25" style="80" customWidth="1"/>
    <col min="2796" max="2796" width="12.28515625" style="80" customWidth="1"/>
    <col min="2797" max="2805" width="13.28515625" style="80" customWidth="1"/>
    <col min="2806" max="2826" width="0" style="80" hidden="1" customWidth="1"/>
    <col min="2827" max="3047" width="8.85546875" style="80"/>
    <col min="3048" max="3048" width="11.140625" style="80" customWidth="1"/>
    <col min="3049" max="3049" width="29.7109375" style="80" customWidth="1"/>
    <col min="3050" max="3050" width="12.42578125" style="80" customWidth="1"/>
    <col min="3051" max="3051" width="25" style="80" customWidth="1"/>
    <col min="3052" max="3052" width="12.28515625" style="80" customWidth="1"/>
    <col min="3053" max="3061" width="13.28515625" style="80" customWidth="1"/>
    <col min="3062" max="3082" width="0" style="80" hidden="1" customWidth="1"/>
    <col min="3083" max="3303" width="8.85546875" style="80"/>
    <col min="3304" max="3304" width="11.140625" style="80" customWidth="1"/>
    <col min="3305" max="3305" width="29.7109375" style="80" customWidth="1"/>
    <col min="3306" max="3306" width="12.42578125" style="80" customWidth="1"/>
    <col min="3307" max="3307" width="25" style="80" customWidth="1"/>
    <col min="3308" max="3308" width="12.28515625" style="80" customWidth="1"/>
    <col min="3309" max="3317" width="13.28515625" style="80" customWidth="1"/>
    <col min="3318" max="3338" width="0" style="80" hidden="1" customWidth="1"/>
    <col min="3339" max="3559" width="8.85546875" style="80"/>
    <col min="3560" max="3560" width="11.140625" style="80" customWidth="1"/>
    <col min="3561" max="3561" width="29.7109375" style="80" customWidth="1"/>
    <col min="3562" max="3562" width="12.42578125" style="80" customWidth="1"/>
    <col min="3563" max="3563" width="25" style="80" customWidth="1"/>
    <col min="3564" max="3564" width="12.28515625" style="80" customWidth="1"/>
    <col min="3565" max="3573" width="13.28515625" style="80" customWidth="1"/>
    <col min="3574" max="3594" width="0" style="80" hidden="1" customWidth="1"/>
    <col min="3595" max="3815" width="8.85546875" style="80"/>
    <col min="3816" max="3816" width="11.140625" style="80" customWidth="1"/>
    <col min="3817" max="3817" width="29.7109375" style="80" customWidth="1"/>
    <col min="3818" max="3818" width="12.42578125" style="80" customWidth="1"/>
    <col min="3819" max="3819" width="25" style="80" customWidth="1"/>
    <col min="3820" max="3820" width="12.28515625" style="80" customWidth="1"/>
    <col min="3821" max="3829" width="13.28515625" style="80" customWidth="1"/>
    <col min="3830" max="3850" width="0" style="80" hidden="1" customWidth="1"/>
    <col min="3851" max="4071" width="8.85546875" style="80"/>
    <col min="4072" max="4072" width="11.140625" style="80" customWidth="1"/>
    <col min="4073" max="4073" width="29.7109375" style="80" customWidth="1"/>
    <col min="4074" max="4074" width="12.42578125" style="80" customWidth="1"/>
    <col min="4075" max="4075" width="25" style="80" customWidth="1"/>
    <col min="4076" max="4076" width="12.28515625" style="80" customWidth="1"/>
    <col min="4077" max="4085" width="13.28515625" style="80" customWidth="1"/>
    <col min="4086" max="4106" width="0" style="80" hidden="1" customWidth="1"/>
    <col min="4107" max="4327" width="8.85546875" style="80"/>
    <col min="4328" max="4328" width="11.140625" style="80" customWidth="1"/>
    <col min="4329" max="4329" width="29.7109375" style="80" customWidth="1"/>
    <col min="4330" max="4330" width="12.42578125" style="80" customWidth="1"/>
    <col min="4331" max="4331" width="25" style="80" customWidth="1"/>
    <col min="4332" max="4332" width="12.28515625" style="80" customWidth="1"/>
    <col min="4333" max="4341" width="13.28515625" style="80" customWidth="1"/>
    <col min="4342" max="4362" width="0" style="80" hidden="1" customWidth="1"/>
    <col min="4363" max="4583" width="8.85546875" style="80"/>
    <col min="4584" max="4584" width="11.140625" style="80" customWidth="1"/>
    <col min="4585" max="4585" width="29.7109375" style="80" customWidth="1"/>
    <col min="4586" max="4586" width="12.42578125" style="80" customWidth="1"/>
    <col min="4587" max="4587" width="25" style="80" customWidth="1"/>
    <col min="4588" max="4588" width="12.28515625" style="80" customWidth="1"/>
    <col min="4589" max="4597" width="13.28515625" style="80" customWidth="1"/>
    <col min="4598" max="4618" width="0" style="80" hidden="1" customWidth="1"/>
    <col min="4619" max="4839" width="8.85546875" style="80"/>
    <col min="4840" max="4840" width="11.140625" style="80" customWidth="1"/>
    <col min="4841" max="4841" width="29.7109375" style="80" customWidth="1"/>
    <col min="4842" max="4842" width="12.42578125" style="80" customWidth="1"/>
    <col min="4843" max="4843" width="25" style="80" customWidth="1"/>
    <col min="4844" max="4844" width="12.28515625" style="80" customWidth="1"/>
    <col min="4845" max="4853" width="13.28515625" style="80" customWidth="1"/>
    <col min="4854" max="4874" width="0" style="80" hidden="1" customWidth="1"/>
    <col min="4875" max="5095" width="8.85546875" style="80"/>
    <col min="5096" max="5096" width="11.140625" style="80" customWidth="1"/>
    <col min="5097" max="5097" width="29.7109375" style="80" customWidth="1"/>
    <col min="5098" max="5098" width="12.42578125" style="80" customWidth="1"/>
    <col min="5099" max="5099" width="25" style="80" customWidth="1"/>
    <col min="5100" max="5100" width="12.28515625" style="80" customWidth="1"/>
    <col min="5101" max="5109" width="13.28515625" style="80" customWidth="1"/>
    <col min="5110" max="5130" width="0" style="80" hidden="1" customWidth="1"/>
    <col min="5131" max="5351" width="8.85546875" style="80"/>
    <col min="5352" max="5352" width="11.140625" style="80" customWidth="1"/>
    <col min="5353" max="5353" width="29.7109375" style="80" customWidth="1"/>
    <col min="5354" max="5354" width="12.42578125" style="80" customWidth="1"/>
    <col min="5355" max="5355" width="25" style="80" customWidth="1"/>
    <col min="5356" max="5356" width="12.28515625" style="80" customWidth="1"/>
    <col min="5357" max="5365" width="13.28515625" style="80" customWidth="1"/>
    <col min="5366" max="5386" width="0" style="80" hidden="1" customWidth="1"/>
    <col min="5387" max="5607" width="8.85546875" style="80"/>
    <col min="5608" max="5608" width="11.140625" style="80" customWidth="1"/>
    <col min="5609" max="5609" width="29.7109375" style="80" customWidth="1"/>
    <col min="5610" max="5610" width="12.42578125" style="80" customWidth="1"/>
    <col min="5611" max="5611" width="25" style="80" customWidth="1"/>
    <col min="5612" max="5612" width="12.28515625" style="80" customWidth="1"/>
    <col min="5613" max="5621" width="13.28515625" style="80" customWidth="1"/>
    <col min="5622" max="5642" width="0" style="80" hidden="1" customWidth="1"/>
    <col min="5643" max="5863" width="8.85546875" style="80"/>
    <col min="5864" max="5864" width="11.140625" style="80" customWidth="1"/>
    <col min="5865" max="5865" width="29.7109375" style="80" customWidth="1"/>
    <col min="5866" max="5866" width="12.42578125" style="80" customWidth="1"/>
    <col min="5867" max="5867" width="25" style="80" customWidth="1"/>
    <col min="5868" max="5868" width="12.28515625" style="80" customWidth="1"/>
    <col min="5869" max="5877" width="13.28515625" style="80" customWidth="1"/>
    <col min="5878" max="5898" width="0" style="80" hidden="1" customWidth="1"/>
    <col min="5899" max="6119" width="8.85546875" style="80"/>
    <col min="6120" max="6120" width="11.140625" style="80" customWidth="1"/>
    <col min="6121" max="6121" width="29.7109375" style="80" customWidth="1"/>
    <col min="6122" max="6122" width="12.42578125" style="80" customWidth="1"/>
    <col min="6123" max="6123" width="25" style="80" customWidth="1"/>
    <col min="6124" max="6124" width="12.28515625" style="80" customWidth="1"/>
    <col min="6125" max="6133" width="13.28515625" style="80" customWidth="1"/>
    <col min="6134" max="6154" width="0" style="80" hidden="1" customWidth="1"/>
    <col min="6155" max="6375" width="8.85546875" style="80"/>
    <col min="6376" max="6376" width="11.140625" style="80" customWidth="1"/>
    <col min="6377" max="6377" width="29.7109375" style="80" customWidth="1"/>
    <col min="6378" max="6378" width="12.42578125" style="80" customWidth="1"/>
    <col min="6379" max="6379" width="25" style="80" customWidth="1"/>
    <col min="6380" max="6380" width="12.28515625" style="80" customWidth="1"/>
    <col min="6381" max="6389" width="13.28515625" style="80" customWidth="1"/>
    <col min="6390" max="6410" width="0" style="80" hidden="1" customWidth="1"/>
    <col min="6411" max="6631" width="8.85546875" style="80"/>
    <col min="6632" max="6632" width="11.140625" style="80" customWidth="1"/>
    <col min="6633" max="6633" width="29.7109375" style="80" customWidth="1"/>
    <col min="6634" max="6634" width="12.42578125" style="80" customWidth="1"/>
    <col min="6635" max="6635" width="25" style="80" customWidth="1"/>
    <col min="6636" max="6636" width="12.28515625" style="80" customWidth="1"/>
    <col min="6637" max="6645" width="13.28515625" style="80" customWidth="1"/>
    <col min="6646" max="6666" width="0" style="80" hidden="1" customWidth="1"/>
    <col min="6667" max="6887" width="8.85546875" style="80"/>
    <col min="6888" max="6888" width="11.140625" style="80" customWidth="1"/>
    <col min="6889" max="6889" width="29.7109375" style="80" customWidth="1"/>
    <col min="6890" max="6890" width="12.42578125" style="80" customWidth="1"/>
    <col min="6891" max="6891" width="25" style="80" customWidth="1"/>
    <col min="6892" max="6892" width="12.28515625" style="80" customWidth="1"/>
    <col min="6893" max="6901" width="13.28515625" style="80" customWidth="1"/>
    <col min="6902" max="6922" width="0" style="80" hidden="1" customWidth="1"/>
    <col min="6923" max="7143" width="8.85546875" style="80"/>
    <col min="7144" max="7144" width="11.140625" style="80" customWidth="1"/>
    <col min="7145" max="7145" width="29.7109375" style="80" customWidth="1"/>
    <col min="7146" max="7146" width="12.42578125" style="80" customWidth="1"/>
    <col min="7147" max="7147" width="25" style="80" customWidth="1"/>
    <col min="7148" max="7148" width="12.28515625" style="80" customWidth="1"/>
    <col min="7149" max="7157" width="13.28515625" style="80" customWidth="1"/>
    <col min="7158" max="7178" width="0" style="80" hidden="1" customWidth="1"/>
    <col min="7179" max="7399" width="8.85546875" style="80"/>
    <col min="7400" max="7400" width="11.140625" style="80" customWidth="1"/>
    <col min="7401" max="7401" width="29.7109375" style="80" customWidth="1"/>
    <col min="7402" max="7402" width="12.42578125" style="80" customWidth="1"/>
    <col min="7403" max="7403" width="25" style="80" customWidth="1"/>
    <col min="7404" max="7404" width="12.28515625" style="80" customWidth="1"/>
    <col min="7405" max="7413" width="13.28515625" style="80" customWidth="1"/>
    <col min="7414" max="7434" width="0" style="80" hidden="1" customWidth="1"/>
    <col min="7435" max="7655" width="8.85546875" style="80"/>
    <col min="7656" max="7656" width="11.140625" style="80" customWidth="1"/>
    <col min="7657" max="7657" width="29.7109375" style="80" customWidth="1"/>
    <col min="7658" max="7658" width="12.42578125" style="80" customWidth="1"/>
    <col min="7659" max="7659" width="25" style="80" customWidth="1"/>
    <col min="7660" max="7660" width="12.28515625" style="80" customWidth="1"/>
    <col min="7661" max="7669" width="13.28515625" style="80" customWidth="1"/>
    <col min="7670" max="7690" width="0" style="80" hidden="1" customWidth="1"/>
    <col min="7691" max="7911" width="8.85546875" style="80"/>
    <col min="7912" max="7912" width="11.140625" style="80" customWidth="1"/>
    <col min="7913" max="7913" width="29.7109375" style="80" customWidth="1"/>
    <col min="7914" max="7914" width="12.42578125" style="80" customWidth="1"/>
    <col min="7915" max="7915" width="25" style="80" customWidth="1"/>
    <col min="7916" max="7916" width="12.28515625" style="80" customWidth="1"/>
    <col min="7917" max="7925" width="13.28515625" style="80" customWidth="1"/>
    <col min="7926" max="7946" width="0" style="80" hidden="1" customWidth="1"/>
    <col min="7947" max="8167" width="8.85546875" style="80"/>
    <col min="8168" max="8168" width="11.140625" style="80" customWidth="1"/>
    <col min="8169" max="8169" width="29.7109375" style="80" customWidth="1"/>
    <col min="8170" max="8170" width="12.42578125" style="80" customWidth="1"/>
    <col min="8171" max="8171" width="25" style="80" customWidth="1"/>
    <col min="8172" max="8172" width="12.28515625" style="80" customWidth="1"/>
    <col min="8173" max="8181" width="13.28515625" style="80" customWidth="1"/>
    <col min="8182" max="8202" width="0" style="80" hidden="1" customWidth="1"/>
    <col min="8203" max="8423" width="8.85546875" style="80"/>
    <col min="8424" max="8424" width="11.140625" style="80" customWidth="1"/>
    <col min="8425" max="8425" width="29.7109375" style="80" customWidth="1"/>
    <col min="8426" max="8426" width="12.42578125" style="80" customWidth="1"/>
    <col min="8427" max="8427" width="25" style="80" customWidth="1"/>
    <col min="8428" max="8428" width="12.28515625" style="80" customWidth="1"/>
    <col min="8429" max="8437" width="13.28515625" style="80" customWidth="1"/>
    <col min="8438" max="8458" width="0" style="80" hidden="1" customWidth="1"/>
    <col min="8459" max="8679" width="8.85546875" style="80"/>
    <col min="8680" max="8680" width="11.140625" style="80" customWidth="1"/>
    <col min="8681" max="8681" width="29.7109375" style="80" customWidth="1"/>
    <col min="8682" max="8682" width="12.42578125" style="80" customWidth="1"/>
    <col min="8683" max="8683" width="25" style="80" customWidth="1"/>
    <col min="8684" max="8684" width="12.28515625" style="80" customWidth="1"/>
    <col min="8685" max="8693" width="13.28515625" style="80" customWidth="1"/>
    <col min="8694" max="8714" width="0" style="80" hidden="1" customWidth="1"/>
    <col min="8715" max="8935" width="8.85546875" style="80"/>
    <col min="8936" max="8936" width="11.140625" style="80" customWidth="1"/>
    <col min="8937" max="8937" width="29.7109375" style="80" customWidth="1"/>
    <col min="8938" max="8938" width="12.42578125" style="80" customWidth="1"/>
    <col min="8939" max="8939" width="25" style="80" customWidth="1"/>
    <col min="8940" max="8940" width="12.28515625" style="80" customWidth="1"/>
    <col min="8941" max="8949" width="13.28515625" style="80" customWidth="1"/>
    <col min="8950" max="8970" width="0" style="80" hidden="1" customWidth="1"/>
    <col min="8971" max="9191" width="8.85546875" style="80"/>
    <col min="9192" max="9192" width="11.140625" style="80" customWidth="1"/>
    <col min="9193" max="9193" width="29.7109375" style="80" customWidth="1"/>
    <col min="9194" max="9194" width="12.42578125" style="80" customWidth="1"/>
    <col min="9195" max="9195" width="25" style="80" customWidth="1"/>
    <col min="9196" max="9196" width="12.28515625" style="80" customWidth="1"/>
    <col min="9197" max="9205" width="13.28515625" style="80" customWidth="1"/>
    <col min="9206" max="9226" width="0" style="80" hidden="1" customWidth="1"/>
    <col min="9227" max="9447" width="8.85546875" style="80"/>
    <col min="9448" max="9448" width="11.140625" style="80" customWidth="1"/>
    <col min="9449" max="9449" width="29.7109375" style="80" customWidth="1"/>
    <col min="9450" max="9450" width="12.42578125" style="80" customWidth="1"/>
    <col min="9451" max="9451" width="25" style="80" customWidth="1"/>
    <col min="9452" max="9452" width="12.28515625" style="80" customWidth="1"/>
    <col min="9453" max="9461" width="13.28515625" style="80" customWidth="1"/>
    <col min="9462" max="9482" width="0" style="80" hidden="1" customWidth="1"/>
    <col min="9483" max="9703" width="8.85546875" style="80"/>
    <col min="9704" max="9704" width="11.140625" style="80" customWidth="1"/>
    <col min="9705" max="9705" width="29.7109375" style="80" customWidth="1"/>
    <col min="9706" max="9706" width="12.42578125" style="80" customWidth="1"/>
    <col min="9707" max="9707" width="25" style="80" customWidth="1"/>
    <col min="9708" max="9708" width="12.28515625" style="80" customWidth="1"/>
    <col min="9709" max="9717" width="13.28515625" style="80" customWidth="1"/>
    <col min="9718" max="9738" width="0" style="80" hidden="1" customWidth="1"/>
    <col min="9739" max="9959" width="8.85546875" style="80"/>
    <col min="9960" max="9960" width="11.140625" style="80" customWidth="1"/>
    <col min="9961" max="9961" width="29.7109375" style="80" customWidth="1"/>
    <col min="9962" max="9962" width="12.42578125" style="80" customWidth="1"/>
    <col min="9963" max="9963" width="25" style="80" customWidth="1"/>
    <col min="9964" max="9964" width="12.28515625" style="80" customWidth="1"/>
    <col min="9965" max="9973" width="13.28515625" style="80" customWidth="1"/>
    <col min="9974" max="9994" width="0" style="80" hidden="1" customWidth="1"/>
    <col min="9995" max="10215" width="8.85546875" style="80"/>
    <col min="10216" max="10216" width="11.140625" style="80" customWidth="1"/>
    <col min="10217" max="10217" width="29.7109375" style="80" customWidth="1"/>
    <col min="10218" max="10218" width="12.42578125" style="80" customWidth="1"/>
    <col min="10219" max="10219" width="25" style="80" customWidth="1"/>
    <col min="10220" max="10220" width="12.28515625" style="80" customWidth="1"/>
    <col min="10221" max="10229" width="13.28515625" style="80" customWidth="1"/>
    <col min="10230" max="10250" width="0" style="80" hidden="1" customWidth="1"/>
    <col min="10251" max="10471" width="8.85546875" style="80"/>
    <col min="10472" max="10472" width="11.140625" style="80" customWidth="1"/>
    <col min="10473" max="10473" width="29.7109375" style="80" customWidth="1"/>
    <col min="10474" max="10474" width="12.42578125" style="80" customWidth="1"/>
    <col min="10475" max="10475" width="25" style="80" customWidth="1"/>
    <col min="10476" max="10476" width="12.28515625" style="80" customWidth="1"/>
    <col min="10477" max="10485" width="13.28515625" style="80" customWidth="1"/>
    <col min="10486" max="10506" width="0" style="80" hidden="1" customWidth="1"/>
    <col min="10507" max="10727" width="8.85546875" style="80"/>
    <col min="10728" max="10728" width="11.140625" style="80" customWidth="1"/>
    <col min="10729" max="10729" width="29.7109375" style="80" customWidth="1"/>
    <col min="10730" max="10730" width="12.42578125" style="80" customWidth="1"/>
    <col min="10731" max="10731" width="25" style="80" customWidth="1"/>
    <col min="10732" max="10732" width="12.28515625" style="80" customWidth="1"/>
    <col min="10733" max="10741" width="13.28515625" style="80" customWidth="1"/>
    <col min="10742" max="10762" width="0" style="80" hidden="1" customWidth="1"/>
    <col min="10763" max="10983" width="8.85546875" style="80"/>
    <col min="10984" max="10984" width="11.140625" style="80" customWidth="1"/>
    <col min="10985" max="10985" width="29.7109375" style="80" customWidth="1"/>
    <col min="10986" max="10986" width="12.42578125" style="80" customWidth="1"/>
    <col min="10987" max="10987" width="25" style="80" customWidth="1"/>
    <col min="10988" max="10988" width="12.28515625" style="80" customWidth="1"/>
    <col min="10989" max="10997" width="13.28515625" style="80" customWidth="1"/>
    <col min="10998" max="11018" width="0" style="80" hidden="1" customWidth="1"/>
    <col min="11019" max="11239" width="8.85546875" style="80"/>
    <col min="11240" max="11240" width="11.140625" style="80" customWidth="1"/>
    <col min="11241" max="11241" width="29.7109375" style="80" customWidth="1"/>
    <col min="11242" max="11242" width="12.42578125" style="80" customWidth="1"/>
    <col min="11243" max="11243" width="25" style="80" customWidth="1"/>
    <col min="11244" max="11244" width="12.28515625" style="80" customWidth="1"/>
    <col min="11245" max="11253" width="13.28515625" style="80" customWidth="1"/>
    <col min="11254" max="11274" width="0" style="80" hidden="1" customWidth="1"/>
    <col min="11275" max="11495" width="8.85546875" style="80"/>
    <col min="11496" max="11496" width="11.140625" style="80" customWidth="1"/>
    <col min="11497" max="11497" width="29.7109375" style="80" customWidth="1"/>
    <col min="11498" max="11498" width="12.42578125" style="80" customWidth="1"/>
    <col min="11499" max="11499" width="25" style="80" customWidth="1"/>
    <col min="11500" max="11500" width="12.28515625" style="80" customWidth="1"/>
    <col min="11501" max="11509" width="13.28515625" style="80" customWidth="1"/>
    <col min="11510" max="11530" width="0" style="80" hidden="1" customWidth="1"/>
    <col min="11531" max="11751" width="8.85546875" style="80"/>
    <col min="11752" max="11752" width="11.140625" style="80" customWidth="1"/>
    <col min="11753" max="11753" width="29.7109375" style="80" customWidth="1"/>
    <col min="11754" max="11754" width="12.42578125" style="80" customWidth="1"/>
    <col min="11755" max="11755" width="25" style="80" customWidth="1"/>
    <col min="11756" max="11756" width="12.28515625" style="80" customWidth="1"/>
    <col min="11757" max="11765" width="13.28515625" style="80" customWidth="1"/>
    <col min="11766" max="11786" width="0" style="80" hidden="1" customWidth="1"/>
    <col min="11787" max="12007" width="8.85546875" style="80"/>
    <col min="12008" max="12008" width="11.140625" style="80" customWidth="1"/>
    <col min="12009" max="12009" width="29.7109375" style="80" customWidth="1"/>
    <col min="12010" max="12010" width="12.42578125" style="80" customWidth="1"/>
    <col min="12011" max="12011" width="25" style="80" customWidth="1"/>
    <col min="12012" max="12012" width="12.28515625" style="80" customWidth="1"/>
    <col min="12013" max="12021" width="13.28515625" style="80" customWidth="1"/>
    <col min="12022" max="12042" width="0" style="80" hidden="1" customWidth="1"/>
    <col min="12043" max="12263" width="8.85546875" style="80"/>
    <col min="12264" max="12264" width="11.140625" style="80" customWidth="1"/>
    <col min="12265" max="12265" width="29.7109375" style="80" customWidth="1"/>
    <col min="12266" max="12266" width="12.42578125" style="80" customWidth="1"/>
    <col min="12267" max="12267" width="25" style="80" customWidth="1"/>
    <col min="12268" max="12268" width="12.28515625" style="80" customWidth="1"/>
    <col min="12269" max="12277" width="13.28515625" style="80" customWidth="1"/>
    <col min="12278" max="12298" width="0" style="80" hidden="1" customWidth="1"/>
    <col min="12299" max="12519" width="8.85546875" style="80"/>
    <col min="12520" max="12520" width="11.140625" style="80" customWidth="1"/>
    <col min="12521" max="12521" width="29.7109375" style="80" customWidth="1"/>
    <col min="12522" max="12522" width="12.42578125" style="80" customWidth="1"/>
    <col min="12523" max="12523" width="25" style="80" customWidth="1"/>
    <col min="12524" max="12524" width="12.28515625" style="80" customWidth="1"/>
    <col min="12525" max="12533" width="13.28515625" style="80" customWidth="1"/>
    <col min="12534" max="12554" width="0" style="80" hidden="1" customWidth="1"/>
    <col min="12555" max="12775" width="8.85546875" style="80"/>
    <col min="12776" max="12776" width="11.140625" style="80" customWidth="1"/>
    <col min="12777" max="12777" width="29.7109375" style="80" customWidth="1"/>
    <col min="12778" max="12778" width="12.42578125" style="80" customWidth="1"/>
    <col min="12779" max="12779" width="25" style="80" customWidth="1"/>
    <col min="12780" max="12780" width="12.28515625" style="80" customWidth="1"/>
    <col min="12781" max="12789" width="13.28515625" style="80" customWidth="1"/>
    <col min="12790" max="12810" width="0" style="80" hidden="1" customWidth="1"/>
    <col min="12811" max="13031" width="8.85546875" style="80"/>
    <col min="13032" max="13032" width="11.140625" style="80" customWidth="1"/>
    <col min="13033" max="13033" width="29.7109375" style="80" customWidth="1"/>
    <col min="13034" max="13034" width="12.42578125" style="80" customWidth="1"/>
    <col min="13035" max="13035" width="25" style="80" customWidth="1"/>
    <col min="13036" max="13036" width="12.28515625" style="80" customWidth="1"/>
    <col min="13037" max="13045" width="13.28515625" style="80" customWidth="1"/>
    <col min="13046" max="13066" width="0" style="80" hidden="1" customWidth="1"/>
    <col min="13067" max="13287" width="8.85546875" style="80"/>
    <col min="13288" max="13288" width="11.140625" style="80" customWidth="1"/>
    <col min="13289" max="13289" width="29.7109375" style="80" customWidth="1"/>
    <col min="13290" max="13290" width="12.42578125" style="80" customWidth="1"/>
    <col min="13291" max="13291" width="25" style="80" customWidth="1"/>
    <col min="13292" max="13292" width="12.28515625" style="80" customWidth="1"/>
    <col min="13293" max="13301" width="13.28515625" style="80" customWidth="1"/>
    <col min="13302" max="13322" width="0" style="80" hidden="1" customWidth="1"/>
    <col min="13323" max="13543" width="8.85546875" style="80"/>
    <col min="13544" max="13544" width="11.140625" style="80" customWidth="1"/>
    <col min="13545" max="13545" width="29.7109375" style="80" customWidth="1"/>
    <col min="13546" max="13546" width="12.42578125" style="80" customWidth="1"/>
    <col min="13547" max="13547" width="25" style="80" customWidth="1"/>
    <col min="13548" max="13548" width="12.28515625" style="80" customWidth="1"/>
    <col min="13549" max="13557" width="13.28515625" style="80" customWidth="1"/>
    <col min="13558" max="13578" width="0" style="80" hidden="1" customWidth="1"/>
    <col min="13579" max="13799" width="8.85546875" style="80"/>
    <col min="13800" max="13800" width="11.140625" style="80" customWidth="1"/>
    <col min="13801" max="13801" width="29.7109375" style="80" customWidth="1"/>
    <col min="13802" max="13802" width="12.42578125" style="80" customWidth="1"/>
    <col min="13803" max="13803" width="25" style="80" customWidth="1"/>
    <col min="13804" max="13804" width="12.28515625" style="80" customWidth="1"/>
    <col min="13805" max="13813" width="13.28515625" style="80" customWidth="1"/>
    <col min="13814" max="13834" width="0" style="80" hidden="1" customWidth="1"/>
    <col min="13835" max="14055" width="8.85546875" style="80"/>
    <col min="14056" max="14056" width="11.140625" style="80" customWidth="1"/>
    <col min="14057" max="14057" width="29.7109375" style="80" customWidth="1"/>
    <col min="14058" max="14058" width="12.42578125" style="80" customWidth="1"/>
    <col min="14059" max="14059" width="25" style="80" customWidth="1"/>
    <col min="14060" max="14060" width="12.28515625" style="80" customWidth="1"/>
    <col min="14061" max="14069" width="13.28515625" style="80" customWidth="1"/>
    <col min="14070" max="14090" width="0" style="80" hidden="1" customWidth="1"/>
    <col min="14091" max="14311" width="8.85546875" style="80"/>
    <col min="14312" max="14312" width="11.140625" style="80" customWidth="1"/>
    <col min="14313" max="14313" width="29.7109375" style="80" customWidth="1"/>
    <col min="14314" max="14314" width="12.42578125" style="80" customWidth="1"/>
    <col min="14315" max="14315" width="25" style="80" customWidth="1"/>
    <col min="14316" max="14316" width="12.28515625" style="80" customWidth="1"/>
    <col min="14317" max="14325" width="13.28515625" style="80" customWidth="1"/>
    <col min="14326" max="14346" width="0" style="80" hidden="1" customWidth="1"/>
    <col min="14347" max="14567" width="8.85546875" style="80"/>
    <col min="14568" max="14568" width="11.140625" style="80" customWidth="1"/>
    <col min="14569" max="14569" width="29.7109375" style="80" customWidth="1"/>
    <col min="14570" max="14570" width="12.42578125" style="80" customWidth="1"/>
    <col min="14571" max="14571" width="25" style="80" customWidth="1"/>
    <col min="14572" max="14572" width="12.28515625" style="80" customWidth="1"/>
    <col min="14573" max="14581" width="13.28515625" style="80" customWidth="1"/>
    <col min="14582" max="14602" width="0" style="80" hidden="1" customWidth="1"/>
    <col min="14603" max="14823" width="8.85546875" style="80"/>
    <col min="14824" max="14824" width="11.140625" style="80" customWidth="1"/>
    <col min="14825" max="14825" width="29.7109375" style="80" customWidth="1"/>
    <col min="14826" max="14826" width="12.42578125" style="80" customWidth="1"/>
    <col min="14827" max="14827" width="25" style="80" customWidth="1"/>
    <col min="14828" max="14828" width="12.28515625" style="80" customWidth="1"/>
    <col min="14829" max="14837" width="13.28515625" style="80" customWidth="1"/>
    <col min="14838" max="14858" width="0" style="80" hidden="1" customWidth="1"/>
    <col min="14859" max="15079" width="8.85546875" style="80"/>
    <col min="15080" max="15080" width="11.140625" style="80" customWidth="1"/>
    <col min="15081" max="15081" width="29.7109375" style="80" customWidth="1"/>
    <col min="15082" max="15082" width="12.42578125" style="80" customWidth="1"/>
    <col min="15083" max="15083" width="25" style="80" customWidth="1"/>
    <col min="15084" max="15084" width="12.28515625" style="80" customWidth="1"/>
    <col min="15085" max="15093" width="13.28515625" style="80" customWidth="1"/>
    <col min="15094" max="15114" width="0" style="80" hidden="1" customWidth="1"/>
    <col min="15115" max="15335" width="8.85546875" style="80"/>
    <col min="15336" max="15336" width="11.140625" style="80" customWidth="1"/>
    <col min="15337" max="15337" width="29.7109375" style="80" customWidth="1"/>
    <col min="15338" max="15338" width="12.42578125" style="80" customWidth="1"/>
    <col min="15339" max="15339" width="25" style="80" customWidth="1"/>
    <col min="15340" max="15340" width="12.28515625" style="80" customWidth="1"/>
    <col min="15341" max="15349" width="13.28515625" style="80" customWidth="1"/>
    <col min="15350" max="15370" width="0" style="80" hidden="1" customWidth="1"/>
    <col min="15371" max="15591" width="8.85546875" style="80"/>
    <col min="15592" max="15592" width="11.140625" style="80" customWidth="1"/>
    <col min="15593" max="15593" width="29.7109375" style="80" customWidth="1"/>
    <col min="15594" max="15594" width="12.42578125" style="80" customWidth="1"/>
    <col min="15595" max="15595" width="25" style="80" customWidth="1"/>
    <col min="15596" max="15596" width="12.28515625" style="80" customWidth="1"/>
    <col min="15597" max="15605" width="13.28515625" style="80" customWidth="1"/>
    <col min="15606" max="15626" width="0" style="80" hidden="1" customWidth="1"/>
    <col min="15627" max="15847" width="8.85546875" style="80"/>
    <col min="15848" max="15848" width="11.140625" style="80" customWidth="1"/>
    <col min="15849" max="15849" width="29.7109375" style="80" customWidth="1"/>
    <col min="15850" max="15850" width="12.42578125" style="80" customWidth="1"/>
    <col min="15851" max="15851" width="25" style="80" customWidth="1"/>
    <col min="15852" max="15852" width="12.28515625" style="80" customWidth="1"/>
    <col min="15853" max="15861" width="13.28515625" style="80" customWidth="1"/>
    <col min="15862" max="15882" width="0" style="80" hidden="1" customWidth="1"/>
    <col min="15883" max="16103" width="8.85546875" style="80"/>
    <col min="16104" max="16104" width="11.140625" style="80" customWidth="1"/>
    <col min="16105" max="16105" width="29.7109375" style="80" customWidth="1"/>
    <col min="16106" max="16106" width="12.42578125" style="80" customWidth="1"/>
    <col min="16107" max="16107" width="25" style="80" customWidth="1"/>
    <col min="16108" max="16108" width="12.28515625" style="80" customWidth="1"/>
    <col min="16109" max="16117" width="13.28515625" style="80" customWidth="1"/>
    <col min="16118" max="16138" width="0" style="80" hidden="1" customWidth="1"/>
    <col min="16139" max="16384" width="8.85546875" style="80"/>
  </cols>
  <sheetData>
    <row r="1" spans="1:25" s="3" customFormat="1" ht="13.15" x14ac:dyDescent="0.2">
      <c r="B1" s="4"/>
      <c r="C1" s="4"/>
      <c r="D1" s="86"/>
      <c r="E1" s="4"/>
      <c r="F1" s="4"/>
      <c r="G1" s="5"/>
      <c r="H1" s="5"/>
      <c r="O1" s="139" t="s">
        <v>519</v>
      </c>
      <c r="P1" s="139"/>
      <c r="Q1" s="139"/>
      <c r="V1" s="4"/>
      <c r="Y1" s="4"/>
    </row>
    <row r="2" spans="1:25" s="3" customFormat="1" ht="24.75" customHeight="1" x14ac:dyDescent="0.2">
      <c r="B2" s="4"/>
      <c r="C2" s="4"/>
      <c r="D2" s="4"/>
      <c r="E2" s="4"/>
      <c r="F2" s="4"/>
      <c r="G2" s="5"/>
      <c r="H2" s="5"/>
      <c r="O2" s="140" t="s">
        <v>518</v>
      </c>
      <c r="P2" s="140"/>
      <c r="Q2" s="140"/>
      <c r="V2" s="4"/>
      <c r="Y2" s="4"/>
    </row>
    <row r="3" spans="1:25" s="3" customFormat="1" ht="15" x14ac:dyDescent="0.25">
      <c r="A3" s="141" t="s">
        <v>517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V3" s="4"/>
      <c r="Y3" s="4"/>
    </row>
    <row r="4" spans="1:25" s="3" customFormat="1" ht="11.45" x14ac:dyDescent="0.2">
      <c r="B4" s="4"/>
      <c r="C4" s="4"/>
      <c r="D4" s="4"/>
      <c r="E4" s="4"/>
      <c r="F4" s="4"/>
      <c r="G4" s="5"/>
      <c r="H4" s="5"/>
      <c r="Q4" s="6"/>
      <c r="V4" s="4"/>
      <c r="Y4" s="4"/>
    </row>
    <row r="5" spans="1:25" s="3" customFormat="1" ht="15.75" customHeight="1" x14ac:dyDescent="0.2">
      <c r="A5" s="142" t="s">
        <v>0</v>
      </c>
      <c r="B5" s="142" t="s">
        <v>1</v>
      </c>
      <c r="C5" s="142" t="s">
        <v>2</v>
      </c>
      <c r="D5" s="143" t="s">
        <v>3</v>
      </c>
      <c r="E5" s="142" t="s">
        <v>4</v>
      </c>
      <c r="F5" s="143" t="s">
        <v>5</v>
      </c>
      <c r="G5" s="145" t="s">
        <v>6</v>
      </c>
      <c r="H5" s="145" t="s">
        <v>514</v>
      </c>
      <c r="I5" s="147" t="s">
        <v>7</v>
      </c>
      <c r="J5" s="147"/>
      <c r="K5" s="147"/>
      <c r="L5" s="147"/>
      <c r="M5" s="147"/>
      <c r="N5" s="147"/>
      <c r="O5" s="147"/>
      <c r="P5" s="147"/>
      <c r="Q5" s="147"/>
      <c r="V5" s="4"/>
      <c r="Y5" s="4"/>
    </row>
    <row r="6" spans="1:25" s="10" customFormat="1" ht="45.75" customHeight="1" x14ac:dyDescent="0.2">
      <c r="A6" s="142"/>
      <c r="B6" s="142"/>
      <c r="C6" s="142"/>
      <c r="D6" s="144"/>
      <c r="E6" s="142"/>
      <c r="F6" s="144"/>
      <c r="G6" s="146"/>
      <c r="H6" s="146"/>
      <c r="I6" s="87">
        <v>2024</v>
      </c>
      <c r="J6" s="87">
        <v>2025</v>
      </c>
      <c r="K6" s="87">
        <v>2026</v>
      </c>
      <c r="L6" s="87">
        <v>2027</v>
      </c>
      <c r="M6" s="87">
        <v>2028</v>
      </c>
      <c r="N6" s="87">
        <v>2029</v>
      </c>
      <c r="O6" s="87">
        <v>2030</v>
      </c>
      <c r="P6" s="87" t="s">
        <v>8</v>
      </c>
      <c r="Q6" s="7" t="s">
        <v>9</v>
      </c>
      <c r="R6" s="8"/>
      <c r="S6" s="8"/>
      <c r="T6" s="8"/>
      <c r="U6" s="8"/>
      <c r="V6" s="9"/>
      <c r="W6" s="8"/>
      <c r="X6" s="8"/>
      <c r="Y6" s="9"/>
    </row>
    <row r="7" spans="1:25" s="10" customFormat="1" ht="16.5" customHeight="1" x14ac:dyDescent="0.2">
      <c r="A7" s="88"/>
      <c r="B7" s="148" t="s">
        <v>10</v>
      </c>
      <c r="C7" s="148"/>
      <c r="D7" s="11"/>
      <c r="E7" s="11"/>
      <c r="F7" s="11"/>
      <c r="G7" s="12"/>
      <c r="H7" s="12"/>
      <c r="I7" s="89"/>
      <c r="J7" s="89"/>
      <c r="K7" s="89"/>
      <c r="L7" s="89"/>
      <c r="M7" s="89"/>
      <c r="N7" s="89"/>
      <c r="O7" s="89"/>
      <c r="P7" s="89"/>
      <c r="Q7" s="89"/>
      <c r="R7" s="13"/>
      <c r="S7" s="13"/>
      <c r="T7" s="13"/>
      <c r="U7" s="13"/>
      <c r="V7" s="13"/>
      <c r="W7" s="13"/>
      <c r="X7" s="13"/>
      <c r="Y7" s="13"/>
    </row>
    <row r="8" spans="1:25" s="10" customFormat="1" ht="38.25" x14ac:dyDescent="0.2">
      <c r="A8" s="1">
        <v>1</v>
      </c>
      <c r="B8" s="85" t="s">
        <v>11</v>
      </c>
      <c r="C8" s="2" t="s">
        <v>12</v>
      </c>
      <c r="D8" s="85" t="s">
        <v>13</v>
      </c>
      <c r="E8" s="85" t="s">
        <v>14</v>
      </c>
      <c r="F8" s="85" t="s">
        <v>15</v>
      </c>
      <c r="G8" s="14">
        <v>640292</v>
      </c>
      <c r="H8" s="14">
        <f>59600-5960</f>
        <v>53640</v>
      </c>
      <c r="I8" s="15">
        <v>26060</v>
      </c>
      <c r="J8" s="15">
        <v>25003</v>
      </c>
      <c r="K8" s="15">
        <v>6101</v>
      </c>
      <c r="L8" s="15">
        <v>0</v>
      </c>
      <c r="M8" s="15">
        <v>0</v>
      </c>
      <c r="N8" s="15"/>
      <c r="O8" s="15">
        <v>0</v>
      </c>
      <c r="P8" s="15">
        <v>0</v>
      </c>
      <c r="Q8" s="16">
        <f t="shared" ref="Q8:Q38" si="0">SUM(I8:P8)</f>
        <v>57164</v>
      </c>
      <c r="R8" s="13"/>
      <c r="S8" s="13"/>
      <c r="T8" s="13"/>
      <c r="U8" s="13"/>
      <c r="V8" s="13"/>
      <c r="W8" s="13"/>
      <c r="X8" s="13"/>
      <c r="Y8" s="13"/>
    </row>
    <row r="9" spans="1:25" s="10" customFormat="1" ht="38.25" x14ac:dyDescent="0.2">
      <c r="A9" s="1">
        <v>2</v>
      </c>
      <c r="B9" s="17" t="s">
        <v>11</v>
      </c>
      <c r="C9" s="18" t="s">
        <v>16</v>
      </c>
      <c r="D9" s="17" t="s">
        <v>17</v>
      </c>
      <c r="E9" s="19" t="s">
        <v>18</v>
      </c>
      <c r="F9" s="19" t="s">
        <v>19</v>
      </c>
      <c r="G9" s="20">
        <v>643379</v>
      </c>
      <c r="H9" s="20">
        <f>103799-8053</f>
        <v>95746</v>
      </c>
      <c r="I9" s="21">
        <v>33284</v>
      </c>
      <c r="J9" s="21">
        <v>32902</v>
      </c>
      <c r="K9" s="21">
        <v>31626</v>
      </c>
      <c r="L9" s="21">
        <v>12</v>
      </c>
      <c r="M9" s="21">
        <v>0</v>
      </c>
      <c r="N9" s="21">
        <v>0</v>
      </c>
      <c r="O9" s="22">
        <v>0</v>
      </c>
      <c r="P9" s="21">
        <v>0</v>
      </c>
      <c r="Q9" s="23">
        <f t="shared" si="0"/>
        <v>97824</v>
      </c>
      <c r="R9" s="13"/>
      <c r="S9" s="13"/>
      <c r="T9" s="13"/>
      <c r="U9" s="13"/>
      <c r="V9" s="13"/>
      <c r="W9" s="13"/>
      <c r="X9" s="13"/>
      <c r="Y9" s="13"/>
    </row>
    <row r="10" spans="1:25" s="10" customFormat="1" ht="25.5" x14ac:dyDescent="0.2">
      <c r="A10" s="90">
        <v>3</v>
      </c>
      <c r="B10" s="24" t="s">
        <v>11</v>
      </c>
      <c r="C10" s="25" t="s">
        <v>20</v>
      </c>
      <c r="D10" s="24" t="s">
        <v>21</v>
      </c>
      <c r="E10" s="26" t="s">
        <v>22</v>
      </c>
      <c r="F10" s="26" t="s">
        <v>23</v>
      </c>
      <c r="G10" s="27">
        <v>569149</v>
      </c>
      <c r="H10" s="27">
        <f>181764-5049</f>
        <v>176715</v>
      </c>
      <c r="I10" s="28">
        <v>22243</v>
      </c>
      <c r="J10" s="28">
        <v>22000</v>
      </c>
      <c r="K10" s="28">
        <v>21763</v>
      </c>
      <c r="L10" s="28">
        <v>21525</v>
      </c>
      <c r="M10" s="28">
        <v>23859</v>
      </c>
      <c r="N10" s="28">
        <v>23363</v>
      </c>
      <c r="O10" s="91">
        <v>22482</v>
      </c>
      <c r="P10" s="28">
        <v>37276</v>
      </c>
      <c r="Q10" s="29">
        <f t="shared" si="0"/>
        <v>194511</v>
      </c>
      <c r="R10" s="13"/>
      <c r="S10" s="13"/>
      <c r="T10" s="13"/>
      <c r="U10" s="13"/>
      <c r="V10" s="13"/>
      <c r="W10" s="13"/>
      <c r="X10" s="13"/>
      <c r="Y10" s="13"/>
    </row>
    <row r="11" spans="1:25" s="10" customFormat="1" ht="25.5" x14ac:dyDescent="0.2">
      <c r="A11" s="1">
        <v>4</v>
      </c>
      <c r="B11" s="17" t="s">
        <v>11</v>
      </c>
      <c r="C11" s="18" t="s">
        <v>24</v>
      </c>
      <c r="D11" s="17" t="s">
        <v>25</v>
      </c>
      <c r="E11" s="19" t="s">
        <v>26</v>
      </c>
      <c r="F11" s="19" t="s">
        <v>27</v>
      </c>
      <c r="G11" s="20">
        <v>256117</v>
      </c>
      <c r="H11" s="20">
        <f>45339-3243</f>
        <v>42096</v>
      </c>
      <c r="I11" s="21">
        <v>13443</v>
      </c>
      <c r="J11" s="21">
        <v>13290</v>
      </c>
      <c r="K11" s="21">
        <v>13137</v>
      </c>
      <c r="L11" s="21">
        <v>3211</v>
      </c>
      <c r="M11" s="21">
        <v>0</v>
      </c>
      <c r="N11" s="21">
        <v>0</v>
      </c>
      <c r="O11" s="22">
        <v>0</v>
      </c>
      <c r="P11" s="21">
        <v>0</v>
      </c>
      <c r="Q11" s="23">
        <f t="shared" si="0"/>
        <v>43081</v>
      </c>
      <c r="R11" s="13"/>
      <c r="S11" s="13"/>
      <c r="T11" s="13"/>
      <c r="U11" s="13"/>
      <c r="V11" s="13"/>
      <c r="W11" s="13"/>
      <c r="X11" s="13"/>
      <c r="Y11" s="13"/>
    </row>
    <row r="12" spans="1:25" s="10" customFormat="1" ht="12.75" x14ac:dyDescent="0.2">
      <c r="A12" s="1">
        <v>5</v>
      </c>
      <c r="B12" s="17" t="s">
        <v>11</v>
      </c>
      <c r="C12" s="18" t="s">
        <v>28</v>
      </c>
      <c r="D12" s="17" t="s">
        <v>29</v>
      </c>
      <c r="E12" s="19" t="s">
        <v>30</v>
      </c>
      <c r="F12" s="19" t="s">
        <v>31</v>
      </c>
      <c r="G12" s="20">
        <v>261808</v>
      </c>
      <c r="H12" s="20">
        <f>67969-3401</f>
        <v>64568</v>
      </c>
      <c r="I12" s="21">
        <v>14339</v>
      </c>
      <c r="J12" s="21">
        <v>14177</v>
      </c>
      <c r="K12" s="21">
        <v>14018</v>
      </c>
      <c r="L12" s="21">
        <v>13857</v>
      </c>
      <c r="M12" s="21">
        <v>10446</v>
      </c>
      <c r="N12" s="21">
        <v>0</v>
      </c>
      <c r="O12" s="22">
        <v>0</v>
      </c>
      <c r="P12" s="21">
        <v>0</v>
      </c>
      <c r="Q12" s="23">
        <f t="shared" si="0"/>
        <v>66837</v>
      </c>
      <c r="R12" s="13"/>
      <c r="S12" s="13"/>
      <c r="T12" s="13"/>
      <c r="U12" s="13"/>
      <c r="V12" s="13"/>
      <c r="W12" s="13"/>
      <c r="X12" s="13"/>
      <c r="Y12" s="13"/>
    </row>
    <row r="13" spans="1:25" s="10" customFormat="1" ht="25.5" x14ac:dyDescent="0.2">
      <c r="A13" s="1">
        <v>6</v>
      </c>
      <c r="B13" s="85" t="s">
        <v>11</v>
      </c>
      <c r="C13" s="2" t="s">
        <v>32</v>
      </c>
      <c r="D13" s="85" t="s">
        <v>33</v>
      </c>
      <c r="E13" s="85" t="s">
        <v>34</v>
      </c>
      <c r="F13" s="85" t="s">
        <v>35</v>
      </c>
      <c r="G13" s="14">
        <v>1410534</v>
      </c>
      <c r="H13" s="14">
        <f>556811-21343</f>
        <v>535468</v>
      </c>
      <c r="I13" s="15">
        <v>108900</v>
      </c>
      <c r="J13" s="15">
        <v>104846</v>
      </c>
      <c r="K13" s="15">
        <v>101048</v>
      </c>
      <c r="L13" s="15">
        <v>97239</v>
      </c>
      <c r="M13" s="15">
        <v>93447</v>
      </c>
      <c r="N13" s="15">
        <v>89617</v>
      </c>
      <c r="O13" s="15">
        <v>23946</v>
      </c>
      <c r="P13" s="15">
        <v>0</v>
      </c>
      <c r="Q13" s="16">
        <f t="shared" si="0"/>
        <v>619043</v>
      </c>
      <c r="R13" s="13"/>
      <c r="S13" s="13"/>
      <c r="T13" s="13"/>
      <c r="U13" s="13"/>
      <c r="V13" s="13"/>
      <c r="W13" s="13"/>
      <c r="X13" s="13"/>
      <c r="Y13" s="13"/>
    </row>
    <row r="14" spans="1:25" s="10" customFormat="1" ht="51" x14ac:dyDescent="0.2">
      <c r="A14" s="90">
        <v>7</v>
      </c>
      <c r="B14" s="85" t="s">
        <v>11</v>
      </c>
      <c r="C14" s="2" t="s">
        <v>36</v>
      </c>
      <c r="D14" s="85" t="s">
        <v>37</v>
      </c>
      <c r="E14" s="85" t="s">
        <v>38</v>
      </c>
      <c r="F14" s="85" t="s">
        <v>39</v>
      </c>
      <c r="G14" s="14">
        <v>82912</v>
      </c>
      <c r="H14" s="14">
        <f>46565-932</f>
        <v>45633</v>
      </c>
      <c r="I14" s="15">
        <v>5659</v>
      </c>
      <c r="J14" s="15">
        <v>5570</v>
      </c>
      <c r="K14" s="15">
        <v>5404</v>
      </c>
      <c r="L14" s="15">
        <v>5238</v>
      </c>
      <c r="M14" s="15">
        <v>5075</v>
      </c>
      <c r="N14" s="15">
        <v>4905</v>
      </c>
      <c r="O14" s="15">
        <v>4739</v>
      </c>
      <c r="P14" s="15">
        <v>22128</v>
      </c>
      <c r="Q14" s="16">
        <f t="shared" si="0"/>
        <v>58718</v>
      </c>
      <c r="R14" s="13"/>
      <c r="S14" s="13"/>
      <c r="T14" s="13"/>
      <c r="U14" s="13"/>
      <c r="V14" s="13"/>
      <c r="W14" s="13"/>
      <c r="X14" s="13"/>
      <c r="Y14" s="13"/>
    </row>
    <row r="15" spans="1:25" s="10" customFormat="1" ht="38.25" x14ac:dyDescent="0.2">
      <c r="A15" s="1">
        <v>8</v>
      </c>
      <c r="B15" s="85" t="s">
        <v>11</v>
      </c>
      <c r="C15" s="2" t="s">
        <v>40</v>
      </c>
      <c r="D15" s="85" t="s">
        <v>41</v>
      </c>
      <c r="E15" s="85" t="s">
        <v>42</v>
      </c>
      <c r="F15" s="85" t="s">
        <v>43</v>
      </c>
      <c r="G15" s="14">
        <v>357811</v>
      </c>
      <c r="H15" s="14">
        <f>114996-6389</f>
        <v>108607</v>
      </c>
      <c r="I15" s="15">
        <v>30132</v>
      </c>
      <c r="J15" s="15">
        <v>29080</v>
      </c>
      <c r="K15" s="15">
        <v>27943</v>
      </c>
      <c r="L15" s="15">
        <v>26803</v>
      </c>
      <c r="M15" s="15">
        <v>6585</v>
      </c>
      <c r="N15" s="15">
        <v>0</v>
      </c>
      <c r="O15" s="15">
        <v>0</v>
      </c>
      <c r="P15" s="15"/>
      <c r="Q15" s="16">
        <f t="shared" si="0"/>
        <v>120543</v>
      </c>
      <c r="R15" s="13"/>
      <c r="S15" s="13"/>
      <c r="T15" s="13"/>
      <c r="U15" s="13"/>
      <c r="V15" s="13"/>
      <c r="W15" s="13"/>
      <c r="X15" s="13"/>
      <c r="Y15" s="13"/>
    </row>
    <row r="16" spans="1:25" s="10" customFormat="1" ht="51" x14ac:dyDescent="0.2">
      <c r="A16" s="1">
        <v>9</v>
      </c>
      <c r="B16" s="17" t="s">
        <v>11</v>
      </c>
      <c r="C16" s="18" t="s">
        <v>45</v>
      </c>
      <c r="D16" s="17" t="s">
        <v>46</v>
      </c>
      <c r="E16" s="19" t="s">
        <v>47</v>
      </c>
      <c r="F16" s="19" t="s">
        <v>48</v>
      </c>
      <c r="G16" s="20">
        <v>208227</v>
      </c>
      <c r="H16" s="20">
        <f>9696-4848</f>
        <v>4848</v>
      </c>
      <c r="I16" s="21">
        <v>4970</v>
      </c>
      <c r="J16" s="21">
        <v>0</v>
      </c>
      <c r="K16" s="21">
        <v>0</v>
      </c>
      <c r="L16" s="21">
        <v>0</v>
      </c>
      <c r="M16" s="21">
        <v>0</v>
      </c>
      <c r="N16" s="21">
        <v>0</v>
      </c>
      <c r="O16" s="21">
        <v>0</v>
      </c>
      <c r="P16" s="21">
        <v>0</v>
      </c>
      <c r="Q16" s="23">
        <f t="shared" si="0"/>
        <v>4970</v>
      </c>
      <c r="R16" s="13"/>
      <c r="S16" s="13"/>
      <c r="T16" s="13"/>
      <c r="U16" s="13"/>
      <c r="V16" s="13"/>
      <c r="W16" s="13"/>
      <c r="X16" s="13"/>
      <c r="Y16" s="13"/>
    </row>
    <row r="17" spans="1:25" s="10" customFormat="1" ht="76.5" x14ac:dyDescent="0.2">
      <c r="A17" s="1">
        <v>10</v>
      </c>
      <c r="B17" s="85" t="s">
        <v>11</v>
      </c>
      <c r="C17" s="2" t="s">
        <v>49</v>
      </c>
      <c r="D17" s="85" t="s">
        <v>50</v>
      </c>
      <c r="E17" s="85" t="s">
        <v>51</v>
      </c>
      <c r="F17" s="85" t="s">
        <v>52</v>
      </c>
      <c r="G17" s="14">
        <v>586346</v>
      </c>
      <c r="H17" s="14">
        <f>180726-4303</f>
        <v>176423</v>
      </c>
      <c r="I17" s="15">
        <v>24429</v>
      </c>
      <c r="J17" s="15">
        <v>24190</v>
      </c>
      <c r="K17" s="15">
        <v>23425</v>
      </c>
      <c r="L17" s="15">
        <v>22657</v>
      </c>
      <c r="M17" s="15">
        <v>21901</v>
      </c>
      <c r="N17" s="15">
        <v>21120</v>
      </c>
      <c r="O17" s="15">
        <v>20353</v>
      </c>
      <c r="P17" s="15">
        <v>60898</v>
      </c>
      <c r="Q17" s="16">
        <f t="shared" si="0"/>
        <v>218973</v>
      </c>
      <c r="R17" s="13"/>
      <c r="S17" s="13"/>
      <c r="T17" s="13"/>
      <c r="U17" s="13"/>
      <c r="V17" s="13"/>
      <c r="W17" s="13"/>
      <c r="X17" s="13"/>
      <c r="Y17" s="13"/>
    </row>
    <row r="18" spans="1:25" s="10" customFormat="1" ht="63.75" x14ac:dyDescent="0.2">
      <c r="A18" s="1">
        <v>11</v>
      </c>
      <c r="B18" s="17" t="s">
        <v>11</v>
      </c>
      <c r="C18" s="18" t="s">
        <v>53</v>
      </c>
      <c r="D18" s="17" t="s">
        <v>54</v>
      </c>
      <c r="E18" s="19" t="s">
        <v>55</v>
      </c>
      <c r="F18" s="19" t="s">
        <v>56</v>
      </c>
      <c r="G18" s="20">
        <v>128058</v>
      </c>
      <c r="H18" s="20">
        <f>9012-2253</f>
        <v>6759</v>
      </c>
      <c r="I18" s="21">
        <v>6988</v>
      </c>
      <c r="J18" s="21">
        <v>0</v>
      </c>
      <c r="K18" s="21">
        <v>0</v>
      </c>
      <c r="L18" s="21">
        <v>0</v>
      </c>
      <c r="M18" s="21">
        <v>0</v>
      </c>
      <c r="N18" s="21">
        <v>0</v>
      </c>
      <c r="O18" s="21">
        <v>0</v>
      </c>
      <c r="P18" s="21">
        <v>0</v>
      </c>
      <c r="Q18" s="23">
        <f t="shared" si="0"/>
        <v>6988</v>
      </c>
      <c r="R18" s="13"/>
      <c r="S18" s="13"/>
      <c r="T18" s="13"/>
      <c r="U18" s="13"/>
      <c r="V18" s="13"/>
      <c r="W18" s="13"/>
      <c r="X18" s="13"/>
      <c r="Y18" s="13"/>
    </row>
    <row r="19" spans="1:25" s="10" customFormat="1" ht="51" x14ac:dyDescent="0.2">
      <c r="A19" s="90">
        <v>12</v>
      </c>
      <c r="B19" s="17" t="s">
        <v>11</v>
      </c>
      <c r="C19" s="18" t="s">
        <v>57</v>
      </c>
      <c r="D19" s="17" t="s">
        <v>58</v>
      </c>
      <c r="E19" s="19" t="s">
        <v>55</v>
      </c>
      <c r="F19" s="19" t="s">
        <v>56</v>
      </c>
      <c r="G19" s="20">
        <v>426467</v>
      </c>
      <c r="H19" s="20">
        <f>43292-10823</f>
        <v>32469</v>
      </c>
      <c r="I19" s="21">
        <v>33570</v>
      </c>
      <c r="J19" s="21">
        <v>0</v>
      </c>
      <c r="K19" s="21">
        <v>0</v>
      </c>
      <c r="L19" s="21">
        <v>0</v>
      </c>
      <c r="M19" s="21">
        <v>0</v>
      </c>
      <c r="N19" s="21">
        <v>0</v>
      </c>
      <c r="O19" s="21">
        <v>0</v>
      </c>
      <c r="P19" s="21">
        <v>0</v>
      </c>
      <c r="Q19" s="23">
        <f t="shared" si="0"/>
        <v>33570</v>
      </c>
      <c r="R19" s="13"/>
      <c r="S19" s="13"/>
      <c r="T19" s="13"/>
      <c r="U19" s="13"/>
      <c r="V19" s="13"/>
      <c r="W19" s="13"/>
      <c r="X19" s="13"/>
      <c r="Y19" s="13"/>
    </row>
    <row r="20" spans="1:25" s="10" customFormat="1" ht="63.75" x14ac:dyDescent="0.2">
      <c r="A20" s="1">
        <v>13</v>
      </c>
      <c r="B20" s="85" t="s">
        <v>11</v>
      </c>
      <c r="C20" s="2" t="s">
        <v>59</v>
      </c>
      <c r="D20" s="85" t="s">
        <v>60</v>
      </c>
      <c r="E20" s="85" t="s">
        <v>61</v>
      </c>
      <c r="F20" s="85" t="s">
        <v>62</v>
      </c>
      <c r="G20" s="14">
        <v>151196</v>
      </c>
      <c r="H20" s="14">
        <f>32856-1369</f>
        <v>31487</v>
      </c>
      <c r="I20" s="15">
        <v>6845</v>
      </c>
      <c r="J20" s="15">
        <v>6598</v>
      </c>
      <c r="K20" s="15">
        <v>6354</v>
      </c>
      <c r="L20" s="15">
        <v>6110</v>
      </c>
      <c r="M20" s="15">
        <v>5866</v>
      </c>
      <c r="N20" s="15">
        <v>4252</v>
      </c>
      <c r="O20" s="15">
        <v>0</v>
      </c>
      <c r="P20" s="15">
        <v>0</v>
      </c>
      <c r="Q20" s="16">
        <f t="shared" si="0"/>
        <v>36025</v>
      </c>
      <c r="R20" s="13"/>
      <c r="S20" s="13"/>
      <c r="T20" s="13"/>
      <c r="U20" s="13"/>
      <c r="V20" s="13"/>
      <c r="W20" s="13"/>
      <c r="X20" s="13"/>
      <c r="Y20" s="13"/>
    </row>
    <row r="21" spans="1:25" s="10" customFormat="1" ht="25.5" x14ac:dyDescent="0.2">
      <c r="A21" s="1">
        <v>14</v>
      </c>
      <c r="B21" s="92" t="s">
        <v>11</v>
      </c>
      <c r="C21" s="93" t="s">
        <v>63</v>
      </c>
      <c r="D21" s="92" t="s">
        <v>64</v>
      </c>
      <c r="E21" s="92" t="s">
        <v>65</v>
      </c>
      <c r="F21" s="92" t="s">
        <v>66</v>
      </c>
      <c r="G21" s="30">
        <v>186591</v>
      </c>
      <c r="H21" s="30">
        <f>34278-5724</f>
        <v>28554</v>
      </c>
      <c r="I21" s="31">
        <v>23897</v>
      </c>
      <c r="J21" s="31">
        <v>5831</v>
      </c>
      <c r="K21" s="31">
        <v>0</v>
      </c>
      <c r="L21" s="31">
        <v>0</v>
      </c>
      <c r="M21" s="31">
        <v>0</v>
      </c>
      <c r="N21" s="31">
        <v>0</v>
      </c>
      <c r="O21" s="31">
        <v>0</v>
      </c>
      <c r="P21" s="31">
        <v>0</v>
      </c>
      <c r="Q21" s="32">
        <f t="shared" si="0"/>
        <v>29728</v>
      </c>
      <c r="R21" s="13"/>
      <c r="S21" s="13"/>
      <c r="T21" s="13"/>
      <c r="U21" s="13"/>
      <c r="V21" s="13"/>
      <c r="W21" s="13"/>
      <c r="X21" s="13"/>
      <c r="Y21" s="13"/>
    </row>
    <row r="22" spans="1:25" s="10" customFormat="1" ht="63.75" x14ac:dyDescent="0.2">
      <c r="A22" s="1">
        <v>15</v>
      </c>
      <c r="B22" s="85" t="s">
        <v>11</v>
      </c>
      <c r="C22" s="2" t="s">
        <v>67</v>
      </c>
      <c r="D22" s="85" t="s">
        <v>68</v>
      </c>
      <c r="E22" s="94" t="s">
        <v>69</v>
      </c>
      <c r="F22" s="85" t="s">
        <v>70</v>
      </c>
      <c r="G22" s="14">
        <v>184386</v>
      </c>
      <c r="H22" s="14">
        <f>34506-1278</f>
        <v>33228</v>
      </c>
      <c r="I22" s="15">
        <v>6503</v>
      </c>
      <c r="J22" s="15">
        <v>6330</v>
      </c>
      <c r="K22" s="15">
        <v>6103</v>
      </c>
      <c r="L22" s="15">
        <v>5875</v>
      </c>
      <c r="M22" s="15">
        <v>5648</v>
      </c>
      <c r="N22" s="15">
        <v>5418</v>
      </c>
      <c r="O22" s="15">
        <v>2627</v>
      </c>
      <c r="P22" s="15">
        <v>0</v>
      </c>
      <c r="Q22" s="16">
        <f t="shared" si="0"/>
        <v>38504</v>
      </c>
      <c r="R22" s="13"/>
      <c r="S22" s="13"/>
      <c r="T22" s="13"/>
      <c r="U22" s="13"/>
      <c r="V22" s="13"/>
      <c r="W22" s="13"/>
      <c r="X22" s="13"/>
      <c r="Y22" s="13"/>
    </row>
    <row r="23" spans="1:25" s="10" customFormat="1" ht="38.25" x14ac:dyDescent="0.2">
      <c r="A23" s="90">
        <v>16</v>
      </c>
      <c r="B23" s="85" t="s">
        <v>11</v>
      </c>
      <c r="C23" s="2" t="s">
        <v>71</v>
      </c>
      <c r="D23" s="85" t="s">
        <v>72</v>
      </c>
      <c r="E23" s="85" t="s">
        <v>73</v>
      </c>
      <c r="F23" s="85" t="s">
        <v>74</v>
      </c>
      <c r="G23" s="14">
        <v>36001</v>
      </c>
      <c r="H23" s="14">
        <f>6636-948</f>
        <v>5688</v>
      </c>
      <c r="I23" s="15">
        <v>4007</v>
      </c>
      <c r="J23" s="15">
        <v>1952</v>
      </c>
      <c r="K23" s="15"/>
      <c r="L23" s="15">
        <v>0</v>
      </c>
      <c r="M23" s="15">
        <v>0</v>
      </c>
      <c r="N23" s="15">
        <v>0</v>
      </c>
      <c r="O23" s="15">
        <v>0</v>
      </c>
      <c r="P23" s="15">
        <v>0</v>
      </c>
      <c r="Q23" s="16">
        <f t="shared" si="0"/>
        <v>5959</v>
      </c>
      <c r="R23" s="13"/>
      <c r="S23" s="13"/>
      <c r="T23" s="13"/>
      <c r="U23" s="13"/>
      <c r="V23" s="13"/>
      <c r="W23" s="13"/>
      <c r="X23" s="13"/>
      <c r="Y23" s="13"/>
    </row>
    <row r="24" spans="1:25" s="10" customFormat="1" ht="51" x14ac:dyDescent="0.2">
      <c r="A24" s="1">
        <v>17</v>
      </c>
      <c r="B24" s="85" t="s">
        <v>11</v>
      </c>
      <c r="C24" s="2" t="s">
        <v>75</v>
      </c>
      <c r="D24" s="85" t="s">
        <v>76</v>
      </c>
      <c r="E24" s="85" t="s">
        <v>77</v>
      </c>
      <c r="F24" s="85" t="s">
        <v>74</v>
      </c>
      <c r="G24" s="14">
        <v>35830</v>
      </c>
      <c r="H24" s="14">
        <f>6601-943</f>
        <v>5658</v>
      </c>
      <c r="I24" s="15">
        <v>3986</v>
      </c>
      <c r="J24" s="15">
        <v>1941</v>
      </c>
      <c r="K24" s="15"/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6">
        <f t="shared" si="0"/>
        <v>5927</v>
      </c>
      <c r="R24" s="13"/>
      <c r="S24" s="13"/>
      <c r="T24" s="13"/>
      <c r="U24" s="13"/>
      <c r="V24" s="13"/>
      <c r="W24" s="13"/>
      <c r="X24" s="13"/>
      <c r="Y24" s="13"/>
    </row>
    <row r="25" spans="1:25" s="10" customFormat="1" ht="38.25" x14ac:dyDescent="0.2">
      <c r="A25" s="1">
        <v>18</v>
      </c>
      <c r="B25" s="17" t="s">
        <v>11</v>
      </c>
      <c r="C25" s="33" t="s">
        <v>78</v>
      </c>
      <c r="D25" s="17" t="s">
        <v>79</v>
      </c>
      <c r="E25" s="19" t="s">
        <v>80</v>
      </c>
      <c r="F25" s="19" t="s">
        <v>74</v>
      </c>
      <c r="G25" s="20">
        <v>98806</v>
      </c>
      <c r="H25" s="20">
        <f>18697-2671</f>
        <v>16026</v>
      </c>
      <c r="I25" s="21">
        <v>11290</v>
      </c>
      <c r="J25" s="21">
        <v>5499</v>
      </c>
      <c r="K25" s="21"/>
      <c r="L25" s="21">
        <v>0</v>
      </c>
      <c r="M25" s="21">
        <v>0</v>
      </c>
      <c r="N25" s="21">
        <v>0</v>
      </c>
      <c r="O25" s="22">
        <v>0</v>
      </c>
      <c r="P25" s="21">
        <v>0</v>
      </c>
      <c r="Q25" s="23">
        <f t="shared" si="0"/>
        <v>16789</v>
      </c>
      <c r="R25" s="13"/>
      <c r="S25" s="13"/>
      <c r="T25" s="13"/>
      <c r="U25" s="13"/>
      <c r="V25" s="13"/>
      <c r="W25" s="13"/>
      <c r="X25" s="13"/>
      <c r="Y25" s="13"/>
    </row>
    <row r="26" spans="1:25" s="10" customFormat="1" ht="38.25" x14ac:dyDescent="0.2">
      <c r="A26" s="1">
        <v>19</v>
      </c>
      <c r="B26" s="85" t="s">
        <v>11</v>
      </c>
      <c r="C26" s="2" t="s">
        <v>81</v>
      </c>
      <c r="D26" s="85" t="s">
        <v>82</v>
      </c>
      <c r="E26" s="85" t="s">
        <v>83</v>
      </c>
      <c r="F26" s="85" t="s">
        <v>84</v>
      </c>
      <c r="G26" s="14">
        <v>387136</v>
      </c>
      <c r="H26" s="14">
        <f>233308-4964</f>
        <v>228344</v>
      </c>
      <c r="I26" s="15">
        <v>29501</v>
      </c>
      <c r="J26" s="15">
        <v>29013</v>
      </c>
      <c r="K26" s="15">
        <v>28130</v>
      </c>
      <c r="L26" s="15">
        <v>27244</v>
      </c>
      <c r="M26" s="15">
        <v>26374</v>
      </c>
      <c r="N26" s="15">
        <v>25471</v>
      </c>
      <c r="O26" s="15">
        <v>24586</v>
      </c>
      <c r="P26" s="15">
        <v>99725</v>
      </c>
      <c r="Q26" s="23">
        <f t="shared" si="0"/>
        <v>290044</v>
      </c>
      <c r="R26" s="13"/>
      <c r="S26" s="13"/>
      <c r="T26" s="13"/>
      <c r="U26" s="13"/>
      <c r="V26" s="13"/>
      <c r="W26" s="13"/>
      <c r="X26" s="13"/>
      <c r="Y26" s="13"/>
    </row>
    <row r="27" spans="1:25" s="10" customFormat="1" ht="38.25" x14ac:dyDescent="0.2">
      <c r="A27" s="1">
        <v>20</v>
      </c>
      <c r="B27" s="17" t="s">
        <v>11</v>
      </c>
      <c r="C27" s="33" t="s">
        <v>85</v>
      </c>
      <c r="D27" s="17" t="s">
        <v>86</v>
      </c>
      <c r="E27" s="19" t="s">
        <v>87</v>
      </c>
      <c r="F27" s="19" t="s">
        <v>88</v>
      </c>
      <c r="G27" s="20">
        <v>220260</v>
      </c>
      <c r="H27" s="20">
        <f>41671-5953</f>
        <v>35718</v>
      </c>
      <c r="I27" s="21">
        <v>25190</v>
      </c>
      <c r="J27" s="21">
        <v>12278</v>
      </c>
      <c r="K27" s="21"/>
      <c r="L27" s="21">
        <v>0</v>
      </c>
      <c r="M27" s="21">
        <v>0</v>
      </c>
      <c r="N27" s="21">
        <v>0</v>
      </c>
      <c r="O27" s="22">
        <v>0</v>
      </c>
      <c r="P27" s="21">
        <v>0</v>
      </c>
      <c r="Q27" s="23">
        <f t="shared" si="0"/>
        <v>37468</v>
      </c>
      <c r="R27" s="13"/>
      <c r="S27" s="13"/>
      <c r="T27" s="13"/>
      <c r="U27" s="13"/>
      <c r="V27" s="13"/>
      <c r="W27" s="13"/>
      <c r="X27" s="13"/>
      <c r="Y27" s="13"/>
    </row>
    <row r="28" spans="1:25" s="10" customFormat="1" ht="51" x14ac:dyDescent="0.2">
      <c r="A28" s="90">
        <v>21</v>
      </c>
      <c r="B28" s="17" t="s">
        <v>11</v>
      </c>
      <c r="C28" s="18" t="s">
        <v>89</v>
      </c>
      <c r="D28" s="17" t="s">
        <v>90</v>
      </c>
      <c r="E28" s="19" t="s">
        <v>91</v>
      </c>
      <c r="F28" s="19" t="s">
        <v>92</v>
      </c>
      <c r="G28" s="20">
        <v>80000</v>
      </c>
      <c r="H28" s="20">
        <f>17304-2163</f>
        <v>15141</v>
      </c>
      <c r="I28" s="21">
        <v>9270</v>
      </c>
      <c r="J28" s="21">
        <v>6702</v>
      </c>
      <c r="K28" s="21"/>
      <c r="L28" s="21">
        <v>0</v>
      </c>
      <c r="M28" s="21">
        <v>0</v>
      </c>
      <c r="N28" s="21">
        <v>0</v>
      </c>
      <c r="O28" s="22">
        <v>0</v>
      </c>
      <c r="P28" s="21">
        <v>0</v>
      </c>
      <c r="Q28" s="23">
        <f t="shared" si="0"/>
        <v>15972</v>
      </c>
      <c r="R28" s="13"/>
      <c r="S28" s="13"/>
      <c r="T28" s="13"/>
      <c r="U28" s="13"/>
      <c r="V28" s="13"/>
      <c r="W28" s="13"/>
      <c r="X28" s="13"/>
      <c r="Y28" s="13"/>
    </row>
    <row r="29" spans="1:25" s="10" customFormat="1" ht="38.25" x14ac:dyDescent="0.2">
      <c r="A29" s="1">
        <v>22</v>
      </c>
      <c r="B29" s="85" t="s">
        <v>11</v>
      </c>
      <c r="C29" s="2" t="s">
        <v>93</v>
      </c>
      <c r="D29" s="85" t="s">
        <v>94</v>
      </c>
      <c r="E29" s="85" t="s">
        <v>95</v>
      </c>
      <c r="F29" s="85" t="s">
        <v>96</v>
      </c>
      <c r="G29" s="14">
        <v>299523</v>
      </c>
      <c r="H29" s="14">
        <f>182016-3792</f>
        <v>178224</v>
      </c>
      <c r="I29" s="15">
        <v>22980</v>
      </c>
      <c r="J29" s="15">
        <v>22331</v>
      </c>
      <c r="K29" s="15">
        <v>21657</v>
      </c>
      <c r="L29" s="15">
        <v>20981</v>
      </c>
      <c r="M29" s="15">
        <v>20317</v>
      </c>
      <c r="N29" s="15">
        <v>19626</v>
      </c>
      <c r="O29" s="15">
        <v>18950</v>
      </c>
      <c r="P29" s="15">
        <v>80812</v>
      </c>
      <c r="Q29" s="23">
        <f t="shared" si="0"/>
        <v>227654</v>
      </c>
      <c r="R29" s="13"/>
      <c r="S29" s="13"/>
      <c r="T29" s="13"/>
      <c r="U29" s="13"/>
      <c r="V29" s="13"/>
      <c r="W29" s="13"/>
      <c r="X29" s="13"/>
      <c r="Y29" s="13"/>
    </row>
    <row r="30" spans="1:25" s="10" customFormat="1" ht="25.5" x14ac:dyDescent="0.2">
      <c r="A30" s="1">
        <v>23</v>
      </c>
      <c r="B30" s="85" t="s">
        <v>11</v>
      </c>
      <c r="C30" s="2" t="s">
        <v>97</v>
      </c>
      <c r="D30" s="85" t="s">
        <v>98</v>
      </c>
      <c r="E30" s="85" t="s">
        <v>99</v>
      </c>
      <c r="F30" s="85" t="s">
        <v>100</v>
      </c>
      <c r="G30" s="14">
        <v>58458</v>
      </c>
      <c r="H30" s="14">
        <f>11992-1499</f>
        <v>10493</v>
      </c>
      <c r="I30" s="15">
        <v>6423</v>
      </c>
      <c r="J30" s="15">
        <v>4656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23">
        <f t="shared" si="0"/>
        <v>11079</v>
      </c>
      <c r="R30" s="13"/>
      <c r="S30" s="13"/>
      <c r="T30" s="13"/>
      <c r="U30" s="13"/>
      <c r="V30" s="13"/>
      <c r="W30" s="13"/>
      <c r="X30" s="13"/>
      <c r="Y30" s="13"/>
    </row>
    <row r="31" spans="1:25" s="10" customFormat="1" ht="38.25" x14ac:dyDescent="0.2">
      <c r="A31" s="1">
        <v>24</v>
      </c>
      <c r="B31" s="85" t="s">
        <v>11</v>
      </c>
      <c r="C31" s="2" t="s">
        <v>101</v>
      </c>
      <c r="D31" s="85" t="s">
        <v>102</v>
      </c>
      <c r="E31" s="85" t="s">
        <v>103</v>
      </c>
      <c r="F31" s="85" t="s">
        <v>104</v>
      </c>
      <c r="G31" s="14">
        <v>480161</v>
      </c>
      <c r="H31" s="14">
        <f>349055-5150</f>
        <v>343905</v>
      </c>
      <c r="I31" s="15">
        <v>35829</v>
      </c>
      <c r="J31" s="15">
        <v>34870</v>
      </c>
      <c r="K31" s="15">
        <v>33954</v>
      </c>
      <c r="L31" s="15">
        <v>33035</v>
      </c>
      <c r="M31" s="15">
        <v>32146</v>
      </c>
      <c r="N31" s="15">
        <v>31196</v>
      </c>
      <c r="O31" s="15">
        <v>30277</v>
      </c>
      <c r="P31" s="15">
        <v>246088</v>
      </c>
      <c r="Q31" s="23">
        <f t="shared" si="0"/>
        <v>477395</v>
      </c>
      <c r="R31" s="13"/>
      <c r="S31" s="13"/>
      <c r="T31" s="13"/>
      <c r="U31" s="13"/>
      <c r="V31" s="13"/>
      <c r="W31" s="13"/>
      <c r="X31" s="13"/>
      <c r="Y31" s="13"/>
    </row>
    <row r="32" spans="1:25" s="10" customFormat="1" ht="38.25" x14ac:dyDescent="0.2">
      <c r="A32" s="90">
        <v>25</v>
      </c>
      <c r="B32" s="85" t="s">
        <v>11</v>
      </c>
      <c r="C32" s="2" t="s">
        <v>105</v>
      </c>
      <c r="D32" s="85" t="s">
        <v>106</v>
      </c>
      <c r="E32" s="85" t="s">
        <v>107</v>
      </c>
      <c r="F32" s="85" t="s">
        <v>108</v>
      </c>
      <c r="G32" s="14">
        <v>1300000</v>
      </c>
      <c r="H32" s="14">
        <f>796250-16250</f>
        <v>780000</v>
      </c>
      <c r="I32" s="15">
        <v>99414</v>
      </c>
      <c r="J32" s="15">
        <v>96425</v>
      </c>
      <c r="K32" s="15">
        <v>93533</v>
      </c>
      <c r="L32" s="15">
        <v>90633</v>
      </c>
      <c r="M32" s="15">
        <v>87791</v>
      </c>
      <c r="N32" s="15">
        <v>84830</v>
      </c>
      <c r="O32" s="15">
        <v>81932</v>
      </c>
      <c r="P32" s="15">
        <v>366400</v>
      </c>
      <c r="Q32" s="16">
        <f t="shared" si="0"/>
        <v>1000958</v>
      </c>
      <c r="R32" s="13"/>
      <c r="S32" s="13"/>
      <c r="T32" s="13"/>
      <c r="U32" s="13"/>
      <c r="V32" s="13"/>
      <c r="W32" s="13"/>
      <c r="X32" s="13"/>
      <c r="Y32" s="13"/>
    </row>
    <row r="33" spans="1:25" s="10" customFormat="1" ht="51" x14ac:dyDescent="0.2">
      <c r="A33" s="1">
        <v>26</v>
      </c>
      <c r="B33" s="85" t="s">
        <v>11</v>
      </c>
      <c r="C33" s="2" t="s">
        <v>109</v>
      </c>
      <c r="D33" s="85" t="s">
        <v>110</v>
      </c>
      <c r="E33" s="85" t="s">
        <v>111</v>
      </c>
      <c r="F33" s="85" t="s">
        <v>39</v>
      </c>
      <c r="G33" s="14">
        <v>151608</v>
      </c>
      <c r="H33" s="14">
        <f>98450-1969</f>
        <v>96481</v>
      </c>
      <c r="I33" s="15">
        <v>11934</v>
      </c>
      <c r="J33" s="15">
        <v>11771</v>
      </c>
      <c r="K33" s="15">
        <v>11421</v>
      </c>
      <c r="L33" s="15">
        <v>11070</v>
      </c>
      <c r="M33" s="15">
        <v>10726</v>
      </c>
      <c r="N33" s="15">
        <v>10367</v>
      </c>
      <c r="O33" s="15">
        <v>10015</v>
      </c>
      <c r="P33" s="15">
        <v>46839</v>
      </c>
      <c r="Q33" s="16">
        <f t="shared" si="0"/>
        <v>124143</v>
      </c>
      <c r="R33" s="13"/>
      <c r="S33" s="13"/>
      <c r="T33" s="13"/>
      <c r="U33" s="13"/>
      <c r="V33" s="13"/>
      <c r="W33" s="13"/>
      <c r="X33" s="13"/>
      <c r="Y33" s="13"/>
    </row>
    <row r="34" spans="1:25" s="10" customFormat="1" ht="25.5" x14ac:dyDescent="0.2">
      <c r="A34" s="1">
        <v>27</v>
      </c>
      <c r="B34" s="85" t="s">
        <v>11</v>
      </c>
      <c r="C34" s="2" t="s">
        <v>112</v>
      </c>
      <c r="D34" s="85" t="s">
        <v>113</v>
      </c>
      <c r="E34" s="85" t="s">
        <v>111</v>
      </c>
      <c r="F34" s="85" t="s">
        <v>114</v>
      </c>
      <c r="G34" s="14">
        <v>242413</v>
      </c>
      <c r="H34" s="14">
        <f>175210-2503</f>
        <v>172707</v>
      </c>
      <c r="I34" s="15">
        <v>17306</v>
      </c>
      <c r="J34" s="15">
        <v>17196</v>
      </c>
      <c r="K34" s="15">
        <v>16750</v>
      </c>
      <c r="L34" s="15">
        <v>16304</v>
      </c>
      <c r="M34" s="15">
        <v>15872</v>
      </c>
      <c r="N34" s="15">
        <v>15410</v>
      </c>
      <c r="O34" s="15">
        <v>14963</v>
      </c>
      <c r="P34" s="15">
        <v>127681</v>
      </c>
      <c r="Q34" s="16">
        <f t="shared" si="0"/>
        <v>241482</v>
      </c>
      <c r="R34" s="13"/>
      <c r="S34" s="13"/>
      <c r="T34" s="13"/>
      <c r="U34" s="13"/>
      <c r="V34" s="13"/>
      <c r="W34" s="13"/>
      <c r="X34" s="13"/>
      <c r="Y34" s="13"/>
    </row>
    <row r="35" spans="1:25" s="10" customFormat="1" ht="89.25" x14ac:dyDescent="0.2">
      <c r="A35" s="1">
        <v>28</v>
      </c>
      <c r="B35" s="85" t="s">
        <v>11</v>
      </c>
      <c r="C35" s="2" t="s">
        <v>115</v>
      </c>
      <c r="D35" s="85" t="s">
        <v>116</v>
      </c>
      <c r="E35" s="85" t="s">
        <v>117</v>
      </c>
      <c r="F35" s="85" t="s">
        <v>118</v>
      </c>
      <c r="G35" s="14">
        <v>1637158</v>
      </c>
      <c r="H35" s="14">
        <f>1306942-14362</f>
        <v>1292580</v>
      </c>
      <c r="I35" s="15">
        <v>112634</v>
      </c>
      <c r="J35" s="15">
        <v>112113</v>
      </c>
      <c r="K35" s="15">
        <v>109557</v>
      </c>
      <c r="L35" s="15">
        <v>106994</v>
      </c>
      <c r="M35" s="15">
        <v>104556</v>
      </c>
      <c r="N35" s="15">
        <v>101865</v>
      </c>
      <c r="O35" s="15">
        <v>99304</v>
      </c>
      <c r="P35" s="15">
        <v>1212036</v>
      </c>
      <c r="Q35" s="16">
        <f t="shared" si="0"/>
        <v>1959059</v>
      </c>
      <c r="R35" s="13"/>
      <c r="S35" s="13"/>
      <c r="T35" s="13"/>
      <c r="U35" s="13"/>
      <c r="V35" s="13"/>
      <c r="W35" s="13"/>
      <c r="X35" s="13"/>
      <c r="Y35" s="13"/>
    </row>
    <row r="36" spans="1:25" s="10" customFormat="1" ht="25.5" x14ac:dyDescent="0.2">
      <c r="A36" s="1">
        <v>29</v>
      </c>
      <c r="B36" s="85" t="s">
        <v>11</v>
      </c>
      <c r="C36" s="2" t="s">
        <v>119</v>
      </c>
      <c r="D36" s="85" t="s">
        <v>120</v>
      </c>
      <c r="E36" s="85" t="s">
        <v>117</v>
      </c>
      <c r="F36" s="85" t="s">
        <v>121</v>
      </c>
      <c r="G36" s="14">
        <v>88488</v>
      </c>
      <c r="H36" s="14">
        <f>47306-1526</f>
        <v>45780</v>
      </c>
      <c r="I36" s="15">
        <v>8030</v>
      </c>
      <c r="J36" s="15">
        <v>7830</v>
      </c>
      <c r="K36" s="15">
        <v>7559</v>
      </c>
      <c r="L36" s="15">
        <v>7287</v>
      </c>
      <c r="M36" s="15">
        <v>7016</v>
      </c>
      <c r="N36" s="15">
        <v>6742</v>
      </c>
      <c r="O36" s="15">
        <v>6469</v>
      </c>
      <c r="P36" s="15">
        <v>3136</v>
      </c>
      <c r="Q36" s="16">
        <f t="shared" si="0"/>
        <v>54069</v>
      </c>
      <c r="R36" s="13"/>
      <c r="S36" s="13"/>
      <c r="T36" s="13"/>
      <c r="U36" s="13"/>
      <c r="V36" s="13"/>
      <c r="W36" s="13"/>
      <c r="X36" s="13"/>
      <c r="Y36" s="13"/>
    </row>
    <row r="37" spans="1:25" s="10" customFormat="1" ht="25.5" x14ac:dyDescent="0.2">
      <c r="A37" s="90">
        <v>30</v>
      </c>
      <c r="B37" s="85" t="s">
        <v>11</v>
      </c>
      <c r="C37" s="2" t="s">
        <v>122</v>
      </c>
      <c r="D37" s="85" t="s">
        <v>123</v>
      </c>
      <c r="E37" s="85" t="s">
        <v>124</v>
      </c>
      <c r="F37" s="85" t="s">
        <v>125</v>
      </c>
      <c r="G37" s="14">
        <v>166843</v>
      </c>
      <c r="H37" s="14">
        <f>89187-2877</f>
        <v>86310</v>
      </c>
      <c r="I37" s="15">
        <v>15098</v>
      </c>
      <c r="J37" s="15">
        <v>14763</v>
      </c>
      <c r="K37" s="15">
        <v>14251</v>
      </c>
      <c r="L37" s="15">
        <v>13738</v>
      </c>
      <c r="M37" s="15">
        <v>13228</v>
      </c>
      <c r="N37" s="15">
        <v>12710</v>
      </c>
      <c r="O37" s="15">
        <v>12197</v>
      </c>
      <c r="P37" s="15">
        <v>5923</v>
      </c>
      <c r="Q37" s="16">
        <f t="shared" si="0"/>
        <v>101908</v>
      </c>
      <c r="R37" s="13"/>
      <c r="S37" s="13"/>
      <c r="T37" s="13"/>
      <c r="U37" s="13"/>
      <c r="V37" s="13"/>
      <c r="W37" s="13"/>
      <c r="X37" s="13"/>
      <c r="Y37" s="13"/>
    </row>
    <row r="38" spans="1:25" s="10" customFormat="1" ht="38.25" x14ac:dyDescent="0.2">
      <c r="A38" s="1">
        <v>31</v>
      </c>
      <c r="B38" s="85" t="s">
        <v>11</v>
      </c>
      <c r="C38" s="2" t="s">
        <v>126</v>
      </c>
      <c r="D38" s="85" t="s">
        <v>127</v>
      </c>
      <c r="E38" s="85" t="s">
        <v>128</v>
      </c>
      <c r="F38" s="85" t="s">
        <v>129</v>
      </c>
      <c r="G38" s="14">
        <v>265803</v>
      </c>
      <c r="H38" s="14">
        <f>175552-3376</f>
        <v>172176</v>
      </c>
      <c r="I38" s="15">
        <v>21125</v>
      </c>
      <c r="J38" s="15">
        <v>20484</v>
      </c>
      <c r="K38" s="15">
        <v>19883</v>
      </c>
      <c r="L38" s="15">
        <v>19281</v>
      </c>
      <c r="M38" s="15">
        <v>18692</v>
      </c>
      <c r="N38" s="15">
        <v>18075</v>
      </c>
      <c r="O38" s="15">
        <v>17473</v>
      </c>
      <c r="P38" s="15">
        <v>88808</v>
      </c>
      <c r="Q38" s="16">
        <f t="shared" si="0"/>
        <v>223821</v>
      </c>
      <c r="R38" s="13"/>
      <c r="S38" s="13"/>
      <c r="T38" s="13"/>
      <c r="U38" s="13"/>
      <c r="V38" s="13"/>
      <c r="W38" s="13"/>
      <c r="X38" s="13"/>
      <c r="Y38" s="13"/>
    </row>
    <row r="39" spans="1:25" s="10" customFormat="1" ht="25.5" x14ac:dyDescent="0.2">
      <c r="A39" s="1">
        <v>32</v>
      </c>
      <c r="B39" s="85" t="s">
        <v>11</v>
      </c>
      <c r="C39" s="2" t="s">
        <v>130</v>
      </c>
      <c r="D39" s="85" t="s">
        <v>131</v>
      </c>
      <c r="E39" s="85" t="s">
        <v>132</v>
      </c>
      <c r="F39" s="85" t="s">
        <v>133</v>
      </c>
      <c r="G39" s="14">
        <v>610898</v>
      </c>
      <c r="H39" s="14">
        <f>472328-5134</f>
        <v>467194</v>
      </c>
      <c r="I39" s="15">
        <v>40970</v>
      </c>
      <c r="J39" s="15">
        <v>40306</v>
      </c>
      <c r="K39" s="15">
        <v>39392</v>
      </c>
      <c r="L39" s="15">
        <v>38476</v>
      </c>
      <c r="M39" s="15">
        <v>37605</v>
      </c>
      <c r="N39" s="15">
        <v>36643</v>
      </c>
      <c r="O39" s="15">
        <v>35727</v>
      </c>
      <c r="P39" s="15">
        <v>442078</v>
      </c>
      <c r="Q39" s="16">
        <f t="shared" ref="Q39:Q96" si="1">SUM(I39:P39)</f>
        <v>711197</v>
      </c>
      <c r="R39" s="13"/>
      <c r="S39" s="13"/>
      <c r="T39" s="13"/>
      <c r="U39" s="13"/>
      <c r="V39" s="13"/>
      <c r="W39" s="13"/>
      <c r="X39" s="13"/>
      <c r="Y39" s="13"/>
    </row>
    <row r="40" spans="1:25" s="10" customFormat="1" ht="63.75" x14ac:dyDescent="0.2">
      <c r="A40" s="1">
        <v>33</v>
      </c>
      <c r="B40" s="17" t="s">
        <v>11</v>
      </c>
      <c r="C40" s="18" t="s">
        <v>134</v>
      </c>
      <c r="D40" s="17" t="s">
        <v>135</v>
      </c>
      <c r="E40" s="19" t="s">
        <v>136</v>
      </c>
      <c r="F40" s="19" t="s">
        <v>137</v>
      </c>
      <c r="G40" s="20">
        <v>663400</v>
      </c>
      <c r="H40" s="20">
        <f>204132-17011</f>
        <v>187121</v>
      </c>
      <c r="I40" s="21">
        <v>75872</v>
      </c>
      <c r="J40" s="21">
        <v>72881</v>
      </c>
      <c r="K40" s="21">
        <v>52843</v>
      </c>
      <c r="L40" s="21">
        <v>0</v>
      </c>
      <c r="M40" s="21">
        <v>0</v>
      </c>
      <c r="N40" s="21">
        <v>0</v>
      </c>
      <c r="O40" s="22">
        <v>0</v>
      </c>
      <c r="P40" s="21">
        <v>0</v>
      </c>
      <c r="Q40" s="23">
        <f t="shared" si="1"/>
        <v>201596</v>
      </c>
      <c r="R40" s="13"/>
      <c r="S40" s="13"/>
      <c r="T40" s="13"/>
      <c r="U40" s="13"/>
      <c r="V40" s="13"/>
      <c r="W40" s="13"/>
      <c r="X40" s="13"/>
      <c r="Y40" s="13"/>
    </row>
    <row r="41" spans="1:25" s="10" customFormat="1" ht="38.25" x14ac:dyDescent="0.2">
      <c r="A41" s="90">
        <v>34</v>
      </c>
      <c r="B41" s="85" t="s">
        <v>11</v>
      </c>
      <c r="C41" s="2" t="s">
        <v>138</v>
      </c>
      <c r="D41" s="85" t="s">
        <v>139</v>
      </c>
      <c r="E41" s="85" t="s">
        <v>140</v>
      </c>
      <c r="F41" s="85" t="s">
        <v>141</v>
      </c>
      <c r="G41" s="14">
        <v>693304</v>
      </c>
      <c r="H41" s="14">
        <f>427572-11556</f>
        <v>416016</v>
      </c>
      <c r="I41" s="15">
        <v>64395</v>
      </c>
      <c r="J41" s="15">
        <v>62389</v>
      </c>
      <c r="K41" s="15">
        <v>60333</v>
      </c>
      <c r="L41" s="15">
        <v>58271</v>
      </c>
      <c r="M41" s="15">
        <v>56233</v>
      </c>
      <c r="N41" s="15">
        <v>54144</v>
      </c>
      <c r="O41" s="15">
        <v>52083</v>
      </c>
      <c r="P41" s="15">
        <v>98112</v>
      </c>
      <c r="Q41" s="16">
        <f t="shared" si="1"/>
        <v>505960</v>
      </c>
      <c r="R41" s="13"/>
      <c r="S41" s="13"/>
      <c r="T41" s="13"/>
      <c r="U41" s="13"/>
      <c r="V41" s="13"/>
      <c r="W41" s="13"/>
      <c r="X41" s="13"/>
      <c r="Y41" s="13"/>
    </row>
    <row r="42" spans="1:25" s="10" customFormat="1" ht="25.5" x14ac:dyDescent="0.2">
      <c r="A42" s="1">
        <v>35</v>
      </c>
      <c r="B42" s="85" t="s">
        <v>11</v>
      </c>
      <c r="C42" s="2" t="s">
        <v>142</v>
      </c>
      <c r="D42" s="85" t="s">
        <v>143</v>
      </c>
      <c r="E42" s="85" t="s">
        <v>144</v>
      </c>
      <c r="F42" s="85" t="s">
        <v>145</v>
      </c>
      <c r="G42" s="14">
        <v>118952</v>
      </c>
      <c r="H42" s="14">
        <f>66561-2017</f>
        <v>64544</v>
      </c>
      <c r="I42" s="15">
        <v>10836</v>
      </c>
      <c r="J42" s="15">
        <v>10530</v>
      </c>
      <c r="K42" s="15">
        <v>10171</v>
      </c>
      <c r="L42" s="15">
        <v>9811</v>
      </c>
      <c r="M42" s="15">
        <v>9454</v>
      </c>
      <c r="N42" s="15">
        <v>9091</v>
      </c>
      <c r="O42" s="15">
        <v>8731</v>
      </c>
      <c r="P42" s="15">
        <v>8376</v>
      </c>
      <c r="Q42" s="16">
        <f t="shared" si="1"/>
        <v>77000</v>
      </c>
      <c r="R42" s="13"/>
      <c r="S42" s="13"/>
      <c r="T42" s="13"/>
      <c r="U42" s="13"/>
      <c r="V42" s="13"/>
      <c r="W42" s="13"/>
      <c r="X42" s="13"/>
      <c r="Y42" s="13"/>
    </row>
    <row r="43" spans="1:25" s="10" customFormat="1" ht="38.25" x14ac:dyDescent="0.2">
      <c r="A43" s="1">
        <v>36</v>
      </c>
      <c r="B43" s="85" t="s">
        <v>11</v>
      </c>
      <c r="C43" s="2" t="s">
        <v>146</v>
      </c>
      <c r="D43" s="85" t="s">
        <v>147</v>
      </c>
      <c r="E43" s="85" t="s">
        <v>148</v>
      </c>
      <c r="F43" s="85" t="s">
        <v>149</v>
      </c>
      <c r="G43" s="14">
        <v>400000</v>
      </c>
      <c r="H43" s="14">
        <f>304191-4167</f>
        <v>300024</v>
      </c>
      <c r="I43" s="15">
        <v>29218</v>
      </c>
      <c r="J43" s="15">
        <v>29185</v>
      </c>
      <c r="K43" s="15">
        <v>28443</v>
      </c>
      <c r="L43" s="15">
        <v>27700</v>
      </c>
      <c r="M43" s="15">
        <v>26983</v>
      </c>
      <c r="N43" s="15">
        <v>26211</v>
      </c>
      <c r="O43" s="15">
        <v>25468</v>
      </c>
      <c r="P43" s="15">
        <v>231196</v>
      </c>
      <c r="Q43" s="16">
        <f t="shared" si="1"/>
        <v>424404</v>
      </c>
      <c r="R43" s="13"/>
      <c r="S43" s="13"/>
      <c r="T43" s="13"/>
      <c r="U43" s="13"/>
      <c r="V43" s="13"/>
      <c r="W43" s="13"/>
      <c r="X43" s="13"/>
      <c r="Y43" s="13"/>
    </row>
    <row r="44" spans="1:25" s="10" customFormat="1" ht="51" x14ac:dyDescent="0.2">
      <c r="A44" s="1">
        <v>37</v>
      </c>
      <c r="B44" s="85" t="s">
        <v>11</v>
      </c>
      <c r="C44" s="2" t="s">
        <v>150</v>
      </c>
      <c r="D44" s="85" t="s">
        <v>151</v>
      </c>
      <c r="E44" s="85" t="s">
        <v>152</v>
      </c>
      <c r="F44" s="85" t="s">
        <v>153</v>
      </c>
      <c r="G44" s="14">
        <v>131949</v>
      </c>
      <c r="H44" s="14">
        <f>55209-1673</f>
        <v>53536</v>
      </c>
      <c r="I44" s="15">
        <v>8892</v>
      </c>
      <c r="J44" s="15">
        <v>8734</v>
      </c>
      <c r="K44" s="15">
        <v>8436</v>
      </c>
      <c r="L44" s="15">
        <v>8138</v>
      </c>
      <c r="M44" s="15">
        <v>7842</v>
      </c>
      <c r="N44" s="15">
        <v>7540</v>
      </c>
      <c r="O44" s="15">
        <v>7242</v>
      </c>
      <c r="P44" s="15">
        <v>6961</v>
      </c>
      <c r="Q44" s="16">
        <f t="shared" si="1"/>
        <v>63785</v>
      </c>
      <c r="R44" s="13"/>
      <c r="S44" s="13"/>
      <c r="T44" s="13"/>
      <c r="U44" s="13"/>
      <c r="V44" s="13"/>
      <c r="W44" s="13"/>
      <c r="X44" s="13"/>
      <c r="Y44" s="13"/>
    </row>
    <row r="45" spans="1:25" s="10" customFormat="1" ht="51" x14ac:dyDescent="0.2">
      <c r="A45" s="1">
        <v>38</v>
      </c>
      <c r="B45" s="85" t="s">
        <v>11</v>
      </c>
      <c r="C45" s="2" t="s">
        <v>154</v>
      </c>
      <c r="D45" s="85" t="s">
        <v>155</v>
      </c>
      <c r="E45" s="85" t="s">
        <v>152</v>
      </c>
      <c r="F45" s="85" t="s">
        <v>153</v>
      </c>
      <c r="G45" s="14">
        <v>117679</v>
      </c>
      <c r="H45" s="14">
        <f>40821-1237</f>
        <v>39584</v>
      </c>
      <c r="I45" s="15">
        <v>6575</v>
      </c>
      <c r="J45" s="15">
        <v>6458</v>
      </c>
      <c r="K45" s="15">
        <v>6238</v>
      </c>
      <c r="L45" s="15">
        <v>6017</v>
      </c>
      <c r="M45" s="15">
        <v>5798</v>
      </c>
      <c r="N45" s="15">
        <v>5575</v>
      </c>
      <c r="O45" s="15">
        <v>5355</v>
      </c>
      <c r="P45" s="15">
        <v>5147</v>
      </c>
      <c r="Q45" s="16">
        <f t="shared" si="1"/>
        <v>47163</v>
      </c>
      <c r="R45" s="13"/>
      <c r="S45" s="13"/>
      <c r="T45" s="13"/>
      <c r="U45" s="13"/>
      <c r="V45" s="13"/>
      <c r="W45" s="13"/>
      <c r="X45" s="13"/>
      <c r="Y45" s="13"/>
    </row>
    <row r="46" spans="1:25" s="10" customFormat="1" ht="51" x14ac:dyDescent="0.2">
      <c r="A46" s="90">
        <v>39</v>
      </c>
      <c r="B46" s="85" t="s">
        <v>11</v>
      </c>
      <c r="C46" s="2" t="s">
        <v>156</v>
      </c>
      <c r="D46" s="85" t="s">
        <v>157</v>
      </c>
      <c r="E46" s="85" t="s">
        <v>158</v>
      </c>
      <c r="F46" s="85" t="s">
        <v>159</v>
      </c>
      <c r="G46" s="14">
        <v>95705</v>
      </c>
      <c r="H46" s="14">
        <f>21567-1659</f>
        <v>19908</v>
      </c>
      <c r="I46" s="15">
        <v>7437</v>
      </c>
      <c r="J46" s="15">
        <v>7182</v>
      </c>
      <c r="K46" s="15">
        <v>6886</v>
      </c>
      <c r="L46" s="15">
        <v>16</v>
      </c>
      <c r="M46" s="15"/>
      <c r="N46" s="15">
        <v>0</v>
      </c>
      <c r="O46" s="15">
        <v>0</v>
      </c>
      <c r="P46" s="15">
        <v>0</v>
      </c>
      <c r="Q46" s="16">
        <f t="shared" si="1"/>
        <v>21521</v>
      </c>
      <c r="R46" s="13"/>
      <c r="S46" s="13"/>
      <c r="T46" s="13"/>
      <c r="U46" s="13"/>
      <c r="V46" s="13"/>
      <c r="W46" s="13"/>
      <c r="X46" s="13"/>
      <c r="Y46" s="13"/>
    </row>
    <row r="47" spans="1:25" s="10" customFormat="1" ht="51" x14ac:dyDescent="0.2">
      <c r="A47" s="1">
        <v>40</v>
      </c>
      <c r="B47" s="85" t="s">
        <v>11</v>
      </c>
      <c r="C47" s="2" t="s">
        <v>160</v>
      </c>
      <c r="D47" s="85" t="s">
        <v>161</v>
      </c>
      <c r="E47" s="85" t="s">
        <v>158</v>
      </c>
      <c r="F47" s="85" t="s">
        <v>137</v>
      </c>
      <c r="G47" s="14">
        <v>92003</v>
      </c>
      <c r="H47" s="14">
        <f>19212-1601</f>
        <v>17611</v>
      </c>
      <c r="I47" s="15">
        <v>7109</v>
      </c>
      <c r="J47" s="15">
        <v>6859</v>
      </c>
      <c r="K47" s="15">
        <v>4973</v>
      </c>
      <c r="L47" s="15">
        <v>0</v>
      </c>
      <c r="M47" s="15">
        <v>0</v>
      </c>
      <c r="N47" s="15">
        <v>0</v>
      </c>
      <c r="O47" s="15">
        <v>0</v>
      </c>
      <c r="P47" s="15">
        <v>0</v>
      </c>
      <c r="Q47" s="16">
        <f t="shared" si="1"/>
        <v>18941</v>
      </c>
      <c r="R47" s="13"/>
      <c r="S47" s="13"/>
      <c r="T47" s="13"/>
      <c r="U47" s="13"/>
      <c r="V47" s="13"/>
      <c r="W47" s="13"/>
      <c r="X47" s="13"/>
      <c r="Y47" s="13"/>
    </row>
    <row r="48" spans="1:25" s="10" customFormat="1" ht="63.75" x14ac:dyDescent="0.2">
      <c r="A48" s="1">
        <v>41</v>
      </c>
      <c r="B48" s="85" t="s">
        <v>11</v>
      </c>
      <c r="C48" s="2" t="s">
        <v>162</v>
      </c>
      <c r="D48" s="85" t="s">
        <v>163</v>
      </c>
      <c r="E48" s="85" t="s">
        <v>164</v>
      </c>
      <c r="F48" s="85" t="s">
        <v>165</v>
      </c>
      <c r="G48" s="14">
        <v>238827</v>
      </c>
      <c r="H48" s="14">
        <f>167508-3102</f>
        <v>164406</v>
      </c>
      <c r="I48" s="15">
        <v>19247</v>
      </c>
      <c r="J48" s="15">
        <v>19098</v>
      </c>
      <c r="K48" s="15">
        <v>18546</v>
      </c>
      <c r="L48" s="15">
        <v>17993</v>
      </c>
      <c r="M48" s="15">
        <v>17452</v>
      </c>
      <c r="N48" s="15">
        <v>16885</v>
      </c>
      <c r="O48" s="15">
        <v>16332</v>
      </c>
      <c r="P48" s="15">
        <v>89585</v>
      </c>
      <c r="Q48" s="16">
        <f t="shared" si="1"/>
        <v>215138</v>
      </c>
      <c r="R48" s="13"/>
      <c r="S48" s="13"/>
      <c r="T48" s="13"/>
      <c r="U48" s="13"/>
      <c r="V48" s="13"/>
      <c r="W48" s="13"/>
      <c r="X48" s="13"/>
      <c r="Y48" s="13"/>
    </row>
    <row r="49" spans="1:25" s="10" customFormat="1" ht="38.25" x14ac:dyDescent="0.2">
      <c r="A49" s="1">
        <v>42</v>
      </c>
      <c r="B49" s="85" t="s">
        <v>11</v>
      </c>
      <c r="C49" s="2" t="s">
        <v>146</v>
      </c>
      <c r="D49" s="85" t="s">
        <v>166</v>
      </c>
      <c r="E49" s="85" t="s">
        <v>167</v>
      </c>
      <c r="F49" s="85" t="s">
        <v>168</v>
      </c>
      <c r="G49" s="14">
        <v>399990</v>
      </c>
      <c r="H49" s="14">
        <f>332630-4495</f>
        <v>328135</v>
      </c>
      <c r="I49" s="15">
        <v>31767</v>
      </c>
      <c r="J49" s="15">
        <v>31682</v>
      </c>
      <c r="K49" s="15">
        <v>30882</v>
      </c>
      <c r="L49" s="15">
        <v>30080</v>
      </c>
      <c r="M49" s="15">
        <v>29308</v>
      </c>
      <c r="N49" s="15">
        <v>28475</v>
      </c>
      <c r="O49" s="15">
        <v>27673</v>
      </c>
      <c r="P49" s="15">
        <v>256189</v>
      </c>
      <c r="Q49" s="16">
        <f t="shared" si="1"/>
        <v>466056</v>
      </c>
      <c r="R49" s="13"/>
      <c r="S49" s="13"/>
      <c r="T49" s="13"/>
      <c r="U49" s="13"/>
      <c r="V49" s="13"/>
      <c r="W49" s="13"/>
      <c r="X49" s="13"/>
      <c r="Y49" s="13"/>
    </row>
    <row r="50" spans="1:25" s="10" customFormat="1" ht="63.75" x14ac:dyDescent="0.2">
      <c r="A50" s="90">
        <v>43</v>
      </c>
      <c r="B50" s="85" t="s">
        <v>11</v>
      </c>
      <c r="C50" s="2" t="s">
        <v>169</v>
      </c>
      <c r="D50" s="85" t="s">
        <v>170</v>
      </c>
      <c r="E50" s="85" t="s">
        <v>171</v>
      </c>
      <c r="F50" s="85" t="s">
        <v>172</v>
      </c>
      <c r="G50" s="14">
        <v>4102470</v>
      </c>
      <c r="H50" s="14">
        <f>3543120-37296</f>
        <v>3505824</v>
      </c>
      <c r="I50" s="15">
        <v>298939</v>
      </c>
      <c r="J50" s="15">
        <v>297791</v>
      </c>
      <c r="K50" s="15">
        <v>291154</v>
      </c>
      <c r="L50" s="15">
        <v>284499</v>
      </c>
      <c r="M50" s="15">
        <v>278185</v>
      </c>
      <c r="N50" s="15">
        <v>271179</v>
      </c>
      <c r="O50" s="15">
        <v>264529</v>
      </c>
      <c r="P50" s="15">
        <v>3405438</v>
      </c>
      <c r="Q50" s="16">
        <f t="shared" si="1"/>
        <v>5391714</v>
      </c>
      <c r="R50" s="13"/>
      <c r="S50" s="13"/>
      <c r="T50" s="13"/>
      <c r="U50" s="13"/>
      <c r="V50" s="13"/>
      <c r="W50" s="13"/>
      <c r="X50" s="13"/>
      <c r="Y50" s="13"/>
    </row>
    <row r="51" spans="1:25" s="10" customFormat="1" ht="38.25" x14ac:dyDescent="0.2">
      <c r="A51" s="1">
        <v>44</v>
      </c>
      <c r="B51" s="85" t="s">
        <v>11</v>
      </c>
      <c r="C51" s="2" t="s">
        <v>173</v>
      </c>
      <c r="D51" s="85" t="s">
        <v>174</v>
      </c>
      <c r="E51" s="85" t="s">
        <v>175</v>
      </c>
      <c r="F51" s="85" t="s">
        <v>141</v>
      </c>
      <c r="G51" s="14">
        <v>1100000</v>
      </c>
      <c r="H51" s="14">
        <f>678358-18334</f>
        <v>660024</v>
      </c>
      <c r="I51" s="15">
        <v>101347</v>
      </c>
      <c r="J51" s="15">
        <v>98983</v>
      </c>
      <c r="K51" s="15">
        <v>95720</v>
      </c>
      <c r="L51" s="15">
        <v>92448</v>
      </c>
      <c r="M51" s="15">
        <v>89215</v>
      </c>
      <c r="N51" s="15">
        <v>85901</v>
      </c>
      <c r="O51" s="15">
        <v>82631</v>
      </c>
      <c r="P51" s="15">
        <v>155658</v>
      </c>
      <c r="Q51" s="16">
        <f t="shared" si="1"/>
        <v>801903</v>
      </c>
      <c r="R51" s="13"/>
      <c r="S51" s="13"/>
      <c r="T51" s="13"/>
      <c r="U51" s="13"/>
      <c r="V51" s="13"/>
      <c r="W51" s="13"/>
      <c r="X51" s="13"/>
      <c r="Y51" s="13"/>
    </row>
    <row r="52" spans="1:25" s="10" customFormat="1" ht="25.5" x14ac:dyDescent="0.2">
      <c r="A52" s="1">
        <v>45</v>
      </c>
      <c r="B52" s="85" t="s">
        <v>11</v>
      </c>
      <c r="C52" s="2" t="s">
        <v>176</v>
      </c>
      <c r="D52" s="85" t="s">
        <v>177</v>
      </c>
      <c r="E52" s="85" t="s">
        <v>178</v>
      </c>
      <c r="F52" s="85" t="s">
        <v>179</v>
      </c>
      <c r="G52" s="14">
        <v>574514</v>
      </c>
      <c r="H52" s="14">
        <f>444225-5923</f>
        <v>438302</v>
      </c>
      <c r="I52" s="15">
        <v>42787</v>
      </c>
      <c r="J52" s="15">
        <v>42011</v>
      </c>
      <c r="K52" s="15">
        <v>40957</v>
      </c>
      <c r="L52" s="15">
        <v>39900</v>
      </c>
      <c r="M52" s="15">
        <v>38883</v>
      </c>
      <c r="N52" s="15">
        <v>37785</v>
      </c>
      <c r="O52" s="15">
        <v>36729</v>
      </c>
      <c r="P52" s="15">
        <v>346595</v>
      </c>
      <c r="Q52" s="16">
        <f t="shared" si="1"/>
        <v>625647</v>
      </c>
      <c r="R52" s="13"/>
      <c r="S52" s="13"/>
      <c r="T52" s="13"/>
      <c r="U52" s="13"/>
      <c r="V52" s="13"/>
      <c r="W52" s="13"/>
      <c r="X52" s="13"/>
      <c r="Y52" s="13"/>
    </row>
    <row r="53" spans="1:25" s="10" customFormat="1" ht="25.5" x14ac:dyDescent="0.2">
      <c r="A53" s="1">
        <v>46</v>
      </c>
      <c r="B53" s="85" t="s">
        <v>11</v>
      </c>
      <c r="C53" s="2" t="s">
        <v>180</v>
      </c>
      <c r="D53" s="85" t="s">
        <v>181</v>
      </c>
      <c r="E53" s="85" t="s">
        <v>178</v>
      </c>
      <c r="F53" s="85" t="s">
        <v>182</v>
      </c>
      <c r="G53" s="14">
        <v>642766</v>
      </c>
      <c r="H53" s="14">
        <f>526490-5542</f>
        <v>520948</v>
      </c>
      <c r="I53" s="15">
        <v>44905</v>
      </c>
      <c r="J53" s="15">
        <v>44250</v>
      </c>
      <c r="K53" s="15">
        <v>43264</v>
      </c>
      <c r="L53" s="15">
        <v>42275</v>
      </c>
      <c r="M53" s="15">
        <v>41337</v>
      </c>
      <c r="N53" s="15">
        <v>40296</v>
      </c>
      <c r="O53" s="15">
        <v>39308</v>
      </c>
      <c r="P53" s="15">
        <v>506071</v>
      </c>
      <c r="Q53" s="16">
        <f t="shared" si="1"/>
        <v>801706</v>
      </c>
      <c r="R53" s="13"/>
      <c r="S53" s="13"/>
      <c r="T53" s="13"/>
      <c r="U53" s="13"/>
      <c r="V53" s="13"/>
      <c r="W53" s="13"/>
      <c r="X53" s="13"/>
      <c r="Y53" s="13"/>
    </row>
    <row r="54" spans="1:25" s="10" customFormat="1" ht="63.75" x14ac:dyDescent="0.2">
      <c r="A54" s="1">
        <v>47</v>
      </c>
      <c r="B54" s="85" t="s">
        <v>11</v>
      </c>
      <c r="C54" s="2" t="s">
        <v>183</v>
      </c>
      <c r="D54" s="85" t="s">
        <v>184</v>
      </c>
      <c r="E54" s="85" t="s">
        <v>178</v>
      </c>
      <c r="F54" s="85" t="s">
        <v>185</v>
      </c>
      <c r="G54" s="14">
        <v>238305</v>
      </c>
      <c r="H54" s="14">
        <f>169785-3087</f>
        <v>166698</v>
      </c>
      <c r="I54" s="15">
        <v>19587</v>
      </c>
      <c r="J54" s="15">
        <v>19143</v>
      </c>
      <c r="K54" s="15">
        <v>18594</v>
      </c>
      <c r="L54" s="15">
        <v>18043</v>
      </c>
      <c r="M54" s="15">
        <v>17506</v>
      </c>
      <c r="N54" s="15">
        <v>16941</v>
      </c>
      <c r="O54" s="15">
        <v>16390</v>
      </c>
      <c r="P54" s="15">
        <v>93164</v>
      </c>
      <c r="Q54" s="16">
        <f t="shared" si="1"/>
        <v>219368</v>
      </c>
      <c r="R54" s="13"/>
      <c r="S54" s="13"/>
      <c r="T54" s="13"/>
      <c r="U54" s="13"/>
      <c r="V54" s="13"/>
      <c r="W54" s="13"/>
      <c r="X54" s="13"/>
      <c r="Y54" s="13"/>
    </row>
    <row r="55" spans="1:25" s="10" customFormat="1" ht="25.5" x14ac:dyDescent="0.2">
      <c r="A55" s="90">
        <v>48</v>
      </c>
      <c r="B55" s="85" t="s">
        <v>11</v>
      </c>
      <c r="C55" s="2" t="s">
        <v>186</v>
      </c>
      <c r="D55" s="85" t="s">
        <v>187</v>
      </c>
      <c r="E55" s="85" t="s">
        <v>178</v>
      </c>
      <c r="F55" s="85" t="s">
        <v>182</v>
      </c>
      <c r="G55" s="14">
        <v>772384</v>
      </c>
      <c r="H55" s="14">
        <f>627190-6602</f>
        <v>620588</v>
      </c>
      <c r="I55" s="15">
        <v>53494</v>
      </c>
      <c r="J55" s="15">
        <v>52714</v>
      </c>
      <c r="K55" s="15">
        <v>51539</v>
      </c>
      <c r="L55" s="15">
        <v>50361</v>
      </c>
      <c r="M55" s="15">
        <v>49243</v>
      </c>
      <c r="N55" s="15">
        <v>48003</v>
      </c>
      <c r="O55" s="15">
        <v>46825</v>
      </c>
      <c r="P55" s="15">
        <v>602866</v>
      </c>
      <c r="Q55" s="16">
        <f t="shared" si="1"/>
        <v>955045</v>
      </c>
      <c r="R55" s="13"/>
      <c r="S55" s="13"/>
      <c r="T55" s="13"/>
      <c r="U55" s="13"/>
      <c r="V55" s="13"/>
      <c r="W55" s="13"/>
      <c r="X55" s="13"/>
      <c r="Y55" s="13"/>
    </row>
    <row r="56" spans="1:25" s="10" customFormat="1" ht="38.25" x14ac:dyDescent="0.2">
      <c r="A56" s="1">
        <v>49</v>
      </c>
      <c r="B56" s="85" t="s">
        <v>11</v>
      </c>
      <c r="C56" s="2" t="s">
        <v>188</v>
      </c>
      <c r="D56" s="85" t="s">
        <v>189</v>
      </c>
      <c r="E56" s="85" t="s">
        <v>190</v>
      </c>
      <c r="F56" s="85" t="s">
        <v>191</v>
      </c>
      <c r="G56" s="14">
        <v>831260</v>
      </c>
      <c r="H56" s="14">
        <f>693984-7229</f>
        <v>686755</v>
      </c>
      <c r="I56" s="15">
        <v>58892</v>
      </c>
      <c r="J56" s="15">
        <v>58042</v>
      </c>
      <c r="K56" s="15">
        <v>56756</v>
      </c>
      <c r="L56" s="15">
        <v>55466</v>
      </c>
      <c r="M56" s="15">
        <v>54243</v>
      </c>
      <c r="N56" s="15">
        <v>52884</v>
      </c>
      <c r="O56" s="15">
        <v>51595</v>
      </c>
      <c r="P56" s="15">
        <v>672769</v>
      </c>
      <c r="Q56" s="16">
        <f t="shared" si="1"/>
        <v>1060647</v>
      </c>
      <c r="R56" s="13"/>
      <c r="S56" s="13"/>
      <c r="T56" s="13"/>
      <c r="U56" s="13"/>
      <c r="V56" s="13"/>
      <c r="W56" s="13"/>
      <c r="X56" s="13"/>
      <c r="Y56" s="13"/>
    </row>
    <row r="57" spans="1:25" s="10" customFormat="1" ht="63.75" x14ac:dyDescent="0.2">
      <c r="A57" s="1">
        <v>50</v>
      </c>
      <c r="B57" s="85" t="s">
        <v>11</v>
      </c>
      <c r="C57" s="2" t="s">
        <v>192</v>
      </c>
      <c r="D57" s="85" t="s">
        <v>193</v>
      </c>
      <c r="E57" s="85" t="s">
        <v>194</v>
      </c>
      <c r="F57" s="85" t="s">
        <v>195</v>
      </c>
      <c r="G57" s="14">
        <v>828319</v>
      </c>
      <c r="H57" s="14">
        <f>528960-5510</f>
        <v>523450</v>
      </c>
      <c r="I57" s="15">
        <v>45150</v>
      </c>
      <c r="J57" s="15">
        <v>44240</v>
      </c>
      <c r="K57" s="15">
        <v>43260</v>
      </c>
      <c r="L57" s="15">
        <v>42277</v>
      </c>
      <c r="M57" s="15">
        <v>41345</v>
      </c>
      <c r="N57" s="15">
        <v>40309</v>
      </c>
      <c r="O57" s="15">
        <v>39326</v>
      </c>
      <c r="P57" s="15">
        <v>512809</v>
      </c>
      <c r="Q57" s="16">
        <f t="shared" si="1"/>
        <v>808716</v>
      </c>
      <c r="R57" s="13"/>
      <c r="S57" s="13"/>
      <c r="T57" s="13"/>
      <c r="U57" s="13"/>
      <c r="V57" s="13"/>
      <c r="W57" s="13"/>
      <c r="X57" s="13"/>
      <c r="Y57" s="13"/>
    </row>
    <row r="58" spans="1:25" s="10" customFormat="1" ht="38.25" x14ac:dyDescent="0.2">
      <c r="A58" s="1">
        <v>51</v>
      </c>
      <c r="B58" s="85" t="s">
        <v>11</v>
      </c>
      <c r="C58" s="2" t="s">
        <v>196</v>
      </c>
      <c r="D58" s="85" t="s">
        <v>197</v>
      </c>
      <c r="E58" s="85" t="s">
        <v>194</v>
      </c>
      <c r="F58" s="85" t="s">
        <v>56</v>
      </c>
      <c r="G58" s="14">
        <v>129372</v>
      </c>
      <c r="H58" s="14">
        <f>19168-4792</f>
        <v>14376</v>
      </c>
      <c r="I58" s="15">
        <v>14863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v>0</v>
      </c>
      <c r="Q58" s="16">
        <f t="shared" si="1"/>
        <v>14863</v>
      </c>
      <c r="R58" s="13"/>
      <c r="S58" s="13"/>
      <c r="T58" s="13"/>
      <c r="U58" s="13"/>
      <c r="V58" s="13"/>
      <c r="W58" s="13"/>
      <c r="X58" s="13"/>
      <c r="Y58" s="13"/>
    </row>
    <row r="59" spans="1:25" s="10" customFormat="1" ht="25.5" x14ac:dyDescent="0.2">
      <c r="A59" s="90">
        <v>52</v>
      </c>
      <c r="B59" s="85" t="s">
        <v>11</v>
      </c>
      <c r="C59" s="2" t="s">
        <v>198</v>
      </c>
      <c r="D59" s="85" t="s">
        <v>199</v>
      </c>
      <c r="E59" s="85" t="s">
        <v>200</v>
      </c>
      <c r="F59" s="85" t="s">
        <v>201</v>
      </c>
      <c r="G59" s="14">
        <v>274947</v>
      </c>
      <c r="H59" s="14">
        <f>177785-4805</f>
        <v>172980</v>
      </c>
      <c r="I59" s="15">
        <v>26688</v>
      </c>
      <c r="J59" s="15">
        <v>25942</v>
      </c>
      <c r="K59" s="15">
        <v>25086</v>
      </c>
      <c r="L59" s="15">
        <v>24229</v>
      </c>
      <c r="M59" s="15">
        <v>23382</v>
      </c>
      <c r="N59" s="15">
        <v>22513</v>
      </c>
      <c r="O59" s="15">
        <v>21656</v>
      </c>
      <c r="P59" s="15">
        <v>40759</v>
      </c>
      <c r="Q59" s="16">
        <f t="shared" si="1"/>
        <v>210255</v>
      </c>
      <c r="R59" s="13"/>
      <c r="S59" s="13"/>
      <c r="T59" s="13"/>
      <c r="U59" s="13"/>
      <c r="V59" s="13"/>
      <c r="W59" s="13"/>
      <c r="X59" s="13"/>
      <c r="Y59" s="13"/>
    </row>
    <row r="60" spans="1:25" s="10" customFormat="1" ht="51" x14ac:dyDescent="0.2">
      <c r="A60" s="1">
        <v>53</v>
      </c>
      <c r="B60" s="85" t="s">
        <v>11</v>
      </c>
      <c r="C60" s="2" t="s">
        <v>202</v>
      </c>
      <c r="D60" s="85" t="s">
        <v>203</v>
      </c>
      <c r="E60" s="85" t="s">
        <v>204</v>
      </c>
      <c r="F60" s="85" t="s">
        <v>205</v>
      </c>
      <c r="G60" s="14">
        <v>995818</v>
      </c>
      <c r="H60" s="14">
        <f>95487-4547</f>
        <v>90940</v>
      </c>
      <c r="I60" s="15">
        <v>22035</v>
      </c>
      <c r="J60" s="15">
        <v>21305</v>
      </c>
      <c r="K60" s="15">
        <v>20496</v>
      </c>
      <c r="L60" s="15">
        <v>19685</v>
      </c>
      <c r="M60" s="15">
        <v>18874</v>
      </c>
      <c r="N60" s="15">
        <v>44</v>
      </c>
      <c r="O60" s="15">
        <v>0</v>
      </c>
      <c r="P60" s="15">
        <v>0</v>
      </c>
      <c r="Q60" s="16">
        <f t="shared" si="1"/>
        <v>102439</v>
      </c>
      <c r="R60" s="13"/>
      <c r="S60" s="13"/>
      <c r="T60" s="13"/>
      <c r="U60" s="13"/>
      <c r="V60" s="13"/>
      <c r="W60" s="13"/>
      <c r="X60" s="13"/>
      <c r="Y60" s="13"/>
    </row>
    <row r="61" spans="1:25" s="10" customFormat="1" ht="38.25" x14ac:dyDescent="0.2">
      <c r="A61" s="1">
        <v>54</v>
      </c>
      <c r="B61" s="85" t="s">
        <v>11</v>
      </c>
      <c r="C61" s="2" t="s">
        <v>206</v>
      </c>
      <c r="D61" s="85" t="s">
        <v>207</v>
      </c>
      <c r="E61" s="85" t="s">
        <v>208</v>
      </c>
      <c r="F61" s="85" t="s">
        <v>141</v>
      </c>
      <c r="G61" s="14">
        <v>303578</v>
      </c>
      <c r="H61" s="14">
        <f>200614-5422</f>
        <v>195192</v>
      </c>
      <c r="I61" s="15">
        <v>29739</v>
      </c>
      <c r="J61" s="15">
        <v>29273</v>
      </c>
      <c r="K61" s="15">
        <v>28308</v>
      </c>
      <c r="L61" s="15">
        <v>27340</v>
      </c>
      <c r="M61" s="15">
        <v>26384</v>
      </c>
      <c r="N61" s="15">
        <v>25404</v>
      </c>
      <c r="O61" s="15">
        <v>24437</v>
      </c>
      <c r="P61" s="15">
        <v>46034</v>
      </c>
      <c r="Q61" s="16">
        <f t="shared" si="1"/>
        <v>236919</v>
      </c>
      <c r="R61" s="13"/>
      <c r="S61" s="13"/>
      <c r="T61" s="13"/>
      <c r="U61" s="13"/>
      <c r="V61" s="13"/>
      <c r="W61" s="13"/>
      <c r="X61" s="13"/>
      <c r="Y61" s="13"/>
    </row>
    <row r="62" spans="1:25" s="10" customFormat="1" ht="51" x14ac:dyDescent="0.2">
      <c r="A62" s="1">
        <v>55</v>
      </c>
      <c r="B62" s="85" t="s">
        <v>11</v>
      </c>
      <c r="C62" s="2" t="s">
        <v>209</v>
      </c>
      <c r="D62" s="85" t="s">
        <v>210</v>
      </c>
      <c r="E62" s="85" t="s">
        <v>211</v>
      </c>
      <c r="F62" s="85" t="s">
        <v>212</v>
      </c>
      <c r="G62" s="14">
        <v>1987144</v>
      </c>
      <c r="H62" s="14">
        <f>1536522-19699</f>
        <v>1516823</v>
      </c>
      <c r="I62" s="15">
        <v>143312</v>
      </c>
      <c r="J62" s="15">
        <v>142358</v>
      </c>
      <c r="K62" s="15">
        <v>138853</v>
      </c>
      <c r="L62" s="15">
        <v>135337</v>
      </c>
      <c r="M62" s="15">
        <v>131962</v>
      </c>
      <c r="N62" s="15">
        <v>128302</v>
      </c>
      <c r="O62" s="15">
        <v>124789</v>
      </c>
      <c r="P62" s="15">
        <v>1243976</v>
      </c>
      <c r="Q62" s="16">
        <f t="shared" si="1"/>
        <v>2188889</v>
      </c>
      <c r="R62" s="13"/>
      <c r="S62" s="13"/>
      <c r="T62" s="13"/>
      <c r="U62" s="13"/>
      <c r="V62" s="13"/>
      <c r="W62" s="13"/>
      <c r="X62" s="13"/>
      <c r="Y62" s="13"/>
    </row>
    <row r="63" spans="1:25" s="10" customFormat="1" ht="51" x14ac:dyDescent="0.2">
      <c r="A63" s="1">
        <v>56</v>
      </c>
      <c r="B63" s="85" t="s">
        <v>11</v>
      </c>
      <c r="C63" s="2" t="s">
        <v>213</v>
      </c>
      <c r="D63" s="85" t="s">
        <v>214</v>
      </c>
      <c r="E63" s="85" t="s">
        <v>215</v>
      </c>
      <c r="F63" s="85" t="s">
        <v>216</v>
      </c>
      <c r="G63" s="14">
        <v>1011655</v>
      </c>
      <c r="H63" s="14">
        <f>323829-3271</f>
        <v>320558</v>
      </c>
      <c r="I63" s="15">
        <v>26728</v>
      </c>
      <c r="J63" s="15">
        <v>26701</v>
      </c>
      <c r="K63" s="15">
        <v>26119</v>
      </c>
      <c r="L63" s="15">
        <v>25535</v>
      </c>
      <c r="M63" s="15">
        <v>24983</v>
      </c>
      <c r="N63" s="15">
        <v>24367</v>
      </c>
      <c r="O63" s="15">
        <v>23783</v>
      </c>
      <c r="P63" s="15">
        <v>321876</v>
      </c>
      <c r="Q63" s="16">
        <f t="shared" si="1"/>
        <v>500092</v>
      </c>
      <c r="R63" s="13"/>
      <c r="S63" s="13"/>
      <c r="T63" s="13"/>
      <c r="U63" s="13"/>
      <c r="V63" s="13"/>
      <c r="W63" s="13"/>
      <c r="X63" s="13"/>
      <c r="Y63" s="13"/>
    </row>
    <row r="64" spans="1:25" s="10" customFormat="1" ht="38.25" x14ac:dyDescent="0.2">
      <c r="A64" s="90">
        <v>57</v>
      </c>
      <c r="B64" s="85" t="s">
        <v>11</v>
      </c>
      <c r="C64" s="2" t="s">
        <v>217</v>
      </c>
      <c r="D64" s="85" t="s">
        <v>218</v>
      </c>
      <c r="E64" s="85" t="s">
        <v>219</v>
      </c>
      <c r="F64" s="85" t="s">
        <v>220</v>
      </c>
      <c r="G64" s="14">
        <v>228362</v>
      </c>
      <c r="H64" s="14">
        <f>200502-2538</f>
        <v>197964</v>
      </c>
      <c r="I64" s="15">
        <v>18563</v>
      </c>
      <c r="J64" s="15">
        <v>18454</v>
      </c>
      <c r="K64" s="15">
        <v>18003</v>
      </c>
      <c r="L64" s="15">
        <v>17550</v>
      </c>
      <c r="M64" s="15">
        <v>17115</v>
      </c>
      <c r="N64" s="15">
        <v>16643</v>
      </c>
      <c r="O64" s="15">
        <v>16191</v>
      </c>
      <c r="P64" s="15">
        <v>164240</v>
      </c>
      <c r="Q64" s="16">
        <f t="shared" si="1"/>
        <v>286759</v>
      </c>
      <c r="R64" s="13"/>
      <c r="S64" s="13"/>
      <c r="T64" s="13"/>
      <c r="U64" s="13"/>
      <c r="V64" s="13"/>
      <c r="W64" s="13"/>
      <c r="X64" s="13"/>
      <c r="Y64" s="13"/>
    </row>
    <row r="65" spans="1:25" s="10" customFormat="1" ht="51" x14ac:dyDescent="0.2">
      <c r="A65" s="1">
        <v>58</v>
      </c>
      <c r="B65" s="85" t="s">
        <v>11</v>
      </c>
      <c r="C65" s="2" t="s">
        <v>221</v>
      </c>
      <c r="D65" s="85" t="s">
        <v>222</v>
      </c>
      <c r="E65" s="85" t="s">
        <v>223</v>
      </c>
      <c r="F65" s="85" t="s">
        <v>205</v>
      </c>
      <c r="G65" s="14">
        <v>400000</v>
      </c>
      <c r="H65" s="14">
        <v>200000</v>
      </c>
      <c r="I65" s="15">
        <v>48215</v>
      </c>
      <c r="J65" s="15">
        <v>46856</v>
      </c>
      <c r="K65" s="15">
        <v>45076</v>
      </c>
      <c r="L65" s="15">
        <v>43292</v>
      </c>
      <c r="M65" s="15">
        <v>41508</v>
      </c>
      <c r="N65" s="15">
        <v>98</v>
      </c>
      <c r="O65" s="15">
        <v>0</v>
      </c>
      <c r="P65" s="15">
        <v>0</v>
      </c>
      <c r="Q65" s="16">
        <f t="shared" si="1"/>
        <v>225045</v>
      </c>
      <c r="R65" s="13"/>
      <c r="S65" s="13"/>
      <c r="T65" s="13"/>
      <c r="U65" s="13"/>
      <c r="V65" s="13"/>
      <c r="W65" s="13"/>
      <c r="X65" s="13"/>
      <c r="Y65" s="13"/>
    </row>
    <row r="66" spans="1:25" s="10" customFormat="1" ht="63.75" x14ac:dyDescent="0.2">
      <c r="A66" s="1">
        <v>59</v>
      </c>
      <c r="B66" s="85" t="s">
        <v>11</v>
      </c>
      <c r="C66" s="2" t="s">
        <v>224</v>
      </c>
      <c r="D66" s="85" t="s">
        <v>225</v>
      </c>
      <c r="E66" s="85" t="s">
        <v>226</v>
      </c>
      <c r="F66" s="85" t="s">
        <v>227</v>
      </c>
      <c r="G66" s="14">
        <v>78281</v>
      </c>
      <c r="H66" s="14">
        <f>10575-2115</f>
        <v>8460</v>
      </c>
      <c r="I66" s="15">
        <v>8765</v>
      </c>
      <c r="J66" s="15">
        <v>21</v>
      </c>
      <c r="K66" s="15">
        <v>0</v>
      </c>
      <c r="L66" s="15">
        <v>0</v>
      </c>
      <c r="M66" s="15">
        <v>0</v>
      </c>
      <c r="N66" s="15">
        <v>0</v>
      </c>
      <c r="O66" s="15">
        <v>0</v>
      </c>
      <c r="P66" s="15">
        <v>0</v>
      </c>
      <c r="Q66" s="16">
        <f t="shared" si="1"/>
        <v>8786</v>
      </c>
      <c r="R66" s="13"/>
      <c r="S66" s="13"/>
      <c r="T66" s="13"/>
      <c r="U66" s="13"/>
      <c r="V66" s="13"/>
      <c r="W66" s="13"/>
      <c r="X66" s="13"/>
      <c r="Y66" s="13"/>
    </row>
    <row r="67" spans="1:25" s="10" customFormat="1" ht="51" x14ac:dyDescent="0.2">
      <c r="A67" s="1">
        <v>60</v>
      </c>
      <c r="B67" s="85" t="s">
        <v>11</v>
      </c>
      <c r="C67" s="2" t="s">
        <v>228</v>
      </c>
      <c r="D67" s="85" t="s">
        <v>229</v>
      </c>
      <c r="E67" s="85" t="s">
        <v>226</v>
      </c>
      <c r="F67" s="85" t="s">
        <v>230</v>
      </c>
      <c r="G67" s="14">
        <v>277402</v>
      </c>
      <c r="H67" s="14">
        <f>40833-1047</f>
        <v>39786</v>
      </c>
      <c r="I67" s="15">
        <v>5872</v>
      </c>
      <c r="J67" s="15">
        <v>5746</v>
      </c>
      <c r="K67" s="15">
        <v>5560</v>
      </c>
      <c r="L67" s="15">
        <v>5373</v>
      </c>
      <c r="M67" s="15">
        <v>5188</v>
      </c>
      <c r="N67" s="15">
        <v>4999</v>
      </c>
      <c r="O67" s="15">
        <v>4812</v>
      </c>
      <c r="P67" s="15">
        <v>11222</v>
      </c>
      <c r="Q67" s="16">
        <f t="shared" si="1"/>
        <v>48772</v>
      </c>
      <c r="R67" s="13"/>
      <c r="S67" s="13"/>
      <c r="T67" s="13"/>
      <c r="U67" s="13"/>
      <c r="V67" s="13"/>
      <c r="W67" s="13"/>
      <c r="X67" s="13"/>
      <c r="Y67" s="13"/>
    </row>
    <row r="68" spans="1:25" s="10" customFormat="1" ht="38.25" x14ac:dyDescent="0.2">
      <c r="A68" s="90">
        <v>61</v>
      </c>
      <c r="B68" s="85" t="s">
        <v>11</v>
      </c>
      <c r="C68" s="2" t="s">
        <v>231</v>
      </c>
      <c r="D68" s="85" t="s">
        <v>232</v>
      </c>
      <c r="E68" s="85" t="s">
        <v>226</v>
      </c>
      <c r="F68" s="85" t="s">
        <v>227</v>
      </c>
      <c r="G68" s="14">
        <v>95373</v>
      </c>
      <c r="H68" s="14">
        <f>12370-2474</f>
        <v>9896</v>
      </c>
      <c r="I68" s="15">
        <v>10253</v>
      </c>
      <c r="J68" s="15">
        <v>24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v>0</v>
      </c>
      <c r="Q68" s="16">
        <f t="shared" si="1"/>
        <v>10277</v>
      </c>
      <c r="R68" s="13"/>
      <c r="S68" s="13"/>
      <c r="T68" s="13"/>
      <c r="U68" s="13"/>
      <c r="V68" s="13"/>
      <c r="W68" s="13"/>
      <c r="X68" s="13"/>
      <c r="Y68" s="13"/>
    </row>
    <row r="69" spans="1:25" s="10" customFormat="1" ht="51" x14ac:dyDescent="0.2">
      <c r="A69" s="1">
        <v>62</v>
      </c>
      <c r="B69" s="85" t="s">
        <v>11</v>
      </c>
      <c r="C69" s="2" t="s">
        <v>233</v>
      </c>
      <c r="D69" s="85" t="s">
        <v>234</v>
      </c>
      <c r="E69" s="85" t="s">
        <v>226</v>
      </c>
      <c r="F69" s="85" t="s">
        <v>235</v>
      </c>
      <c r="G69" s="14">
        <v>188520</v>
      </c>
      <c r="H69" s="14">
        <f>81142-2798</f>
        <v>78344</v>
      </c>
      <c r="I69" s="15">
        <v>14488</v>
      </c>
      <c r="J69" s="15">
        <v>14108</v>
      </c>
      <c r="K69" s="15">
        <v>13610</v>
      </c>
      <c r="L69" s="15">
        <v>13111</v>
      </c>
      <c r="M69" s="15">
        <v>12615</v>
      </c>
      <c r="N69" s="15">
        <v>12112</v>
      </c>
      <c r="O69" s="15">
        <v>11613</v>
      </c>
      <c r="P69" s="15">
        <v>27</v>
      </c>
      <c r="Q69" s="16">
        <f t="shared" si="1"/>
        <v>91684</v>
      </c>
      <c r="R69" s="13"/>
      <c r="S69" s="13"/>
      <c r="T69" s="13"/>
      <c r="U69" s="13"/>
      <c r="V69" s="13"/>
      <c r="W69" s="13"/>
      <c r="X69" s="13"/>
      <c r="Y69" s="13"/>
    </row>
    <row r="70" spans="1:25" s="10" customFormat="1" ht="63.75" x14ac:dyDescent="0.2">
      <c r="A70" s="1">
        <v>63</v>
      </c>
      <c r="B70" s="85" t="s">
        <v>11</v>
      </c>
      <c r="C70" s="2" t="s">
        <v>236</v>
      </c>
      <c r="D70" s="85" t="s">
        <v>237</v>
      </c>
      <c r="E70" s="85" t="s">
        <v>226</v>
      </c>
      <c r="F70" s="85" t="s">
        <v>238</v>
      </c>
      <c r="G70" s="14">
        <v>85339</v>
      </c>
      <c r="H70" s="14">
        <f>18216-2024</f>
        <v>16192</v>
      </c>
      <c r="I70" s="15">
        <v>8737</v>
      </c>
      <c r="J70" s="15">
        <v>8401</v>
      </c>
      <c r="K70" s="15">
        <v>20</v>
      </c>
      <c r="L70" s="15">
        <v>0</v>
      </c>
      <c r="M70" s="15">
        <v>0</v>
      </c>
      <c r="N70" s="15">
        <v>0</v>
      </c>
      <c r="O70" s="15">
        <v>0</v>
      </c>
      <c r="P70" s="15">
        <v>0</v>
      </c>
      <c r="Q70" s="16">
        <f t="shared" si="1"/>
        <v>17158</v>
      </c>
      <c r="R70" s="13"/>
      <c r="S70" s="13"/>
      <c r="T70" s="13"/>
      <c r="U70" s="13"/>
      <c r="V70" s="13"/>
      <c r="W70" s="13"/>
      <c r="X70" s="13"/>
      <c r="Y70" s="13"/>
    </row>
    <row r="71" spans="1:25" s="10" customFormat="1" ht="51" x14ac:dyDescent="0.2">
      <c r="A71" s="1">
        <v>64</v>
      </c>
      <c r="B71" s="85" t="s">
        <v>11</v>
      </c>
      <c r="C71" s="2" t="s">
        <v>239</v>
      </c>
      <c r="D71" s="85" t="s">
        <v>240</v>
      </c>
      <c r="E71" s="85" t="s">
        <v>226</v>
      </c>
      <c r="F71" s="85" t="s">
        <v>241</v>
      </c>
      <c r="G71" s="14">
        <v>198864</v>
      </c>
      <c r="H71" s="14">
        <f>120744-2808</f>
        <v>117936</v>
      </c>
      <c r="I71" s="15">
        <v>16234</v>
      </c>
      <c r="J71" s="15">
        <v>15911</v>
      </c>
      <c r="K71" s="15">
        <v>15411</v>
      </c>
      <c r="L71" s="15">
        <v>14910</v>
      </c>
      <c r="M71" s="15">
        <v>14417</v>
      </c>
      <c r="N71" s="15">
        <v>13907</v>
      </c>
      <c r="O71" s="15">
        <v>13407</v>
      </c>
      <c r="P71" s="15">
        <v>43004</v>
      </c>
      <c r="Q71" s="16">
        <f t="shared" si="1"/>
        <v>147201</v>
      </c>
      <c r="R71" s="13"/>
      <c r="S71" s="13"/>
      <c r="T71" s="13"/>
      <c r="U71" s="13"/>
      <c r="V71" s="13"/>
      <c r="W71" s="13"/>
      <c r="X71" s="13"/>
      <c r="Y71" s="13"/>
    </row>
    <row r="72" spans="1:25" s="10" customFormat="1" ht="51" x14ac:dyDescent="0.2">
      <c r="A72" s="1">
        <v>65</v>
      </c>
      <c r="B72" s="85" t="s">
        <v>11</v>
      </c>
      <c r="C72" s="2" t="s">
        <v>242</v>
      </c>
      <c r="D72" s="85" t="s">
        <v>243</v>
      </c>
      <c r="E72" s="85" t="s">
        <v>226</v>
      </c>
      <c r="F72" s="85" t="s">
        <v>244</v>
      </c>
      <c r="G72" s="14">
        <v>227673</v>
      </c>
      <c r="H72" s="14">
        <f>161129-2731</f>
        <v>158398</v>
      </c>
      <c r="I72" s="15">
        <v>17671</v>
      </c>
      <c r="J72" s="15">
        <v>17423</v>
      </c>
      <c r="K72" s="15">
        <v>16937</v>
      </c>
      <c r="L72" s="15">
        <v>16449</v>
      </c>
      <c r="M72" s="15">
        <v>15975</v>
      </c>
      <c r="N72" s="15">
        <v>15474</v>
      </c>
      <c r="O72" s="15">
        <v>14987</v>
      </c>
      <c r="P72" s="15">
        <v>96914</v>
      </c>
      <c r="Q72" s="16">
        <f t="shared" si="1"/>
        <v>211830</v>
      </c>
      <c r="R72" s="13"/>
      <c r="S72" s="13"/>
      <c r="T72" s="13"/>
      <c r="U72" s="13"/>
      <c r="V72" s="13"/>
      <c r="W72" s="13"/>
      <c r="X72" s="13"/>
      <c r="Y72" s="13"/>
    </row>
    <row r="73" spans="1:25" s="10" customFormat="1" ht="38.25" x14ac:dyDescent="0.2">
      <c r="A73" s="90">
        <v>66</v>
      </c>
      <c r="B73" s="85" t="s">
        <v>11</v>
      </c>
      <c r="C73" s="2" t="s">
        <v>245</v>
      </c>
      <c r="D73" s="85" t="s">
        <v>246</v>
      </c>
      <c r="E73" s="85" t="s">
        <v>247</v>
      </c>
      <c r="F73" s="85" t="s">
        <v>248</v>
      </c>
      <c r="G73" s="14">
        <v>10991671</v>
      </c>
      <c r="H73" s="14">
        <f>5738904-207582</f>
        <v>5531322</v>
      </c>
      <c r="I73" s="15">
        <v>1007539</v>
      </c>
      <c r="J73" s="15">
        <v>923359</v>
      </c>
      <c r="K73" s="15">
        <v>885959</v>
      </c>
      <c r="L73" s="15">
        <v>793900</v>
      </c>
      <c r="M73" s="15">
        <v>599180</v>
      </c>
      <c r="N73" s="15">
        <v>473084</v>
      </c>
      <c r="O73" s="15">
        <v>456001</v>
      </c>
      <c r="P73" s="15">
        <v>1692597</v>
      </c>
      <c r="Q73" s="16">
        <f t="shared" si="1"/>
        <v>6831619</v>
      </c>
      <c r="R73" s="13"/>
      <c r="S73" s="13"/>
      <c r="T73" s="13"/>
      <c r="U73" s="13"/>
      <c r="V73" s="13"/>
      <c r="W73" s="13"/>
      <c r="X73" s="13"/>
      <c r="Y73" s="13"/>
    </row>
    <row r="74" spans="1:25" s="10" customFormat="1" ht="38.25" x14ac:dyDescent="0.2">
      <c r="A74" s="1">
        <v>67</v>
      </c>
      <c r="B74" s="85" t="s">
        <v>11</v>
      </c>
      <c r="C74" s="2" t="s">
        <v>249</v>
      </c>
      <c r="D74" s="85" t="s">
        <v>250</v>
      </c>
      <c r="E74" s="85" t="s">
        <v>251</v>
      </c>
      <c r="F74" s="85" t="s">
        <v>252</v>
      </c>
      <c r="G74" s="14">
        <v>386344</v>
      </c>
      <c r="H74" s="14">
        <f>193173-10167</f>
        <v>183006</v>
      </c>
      <c r="I74" s="15">
        <v>48426</v>
      </c>
      <c r="J74" s="15">
        <v>46732</v>
      </c>
      <c r="K74" s="15">
        <v>44922</v>
      </c>
      <c r="L74" s="15">
        <v>43108</v>
      </c>
      <c r="M74" s="15">
        <v>20972</v>
      </c>
      <c r="N74" s="15">
        <v>0</v>
      </c>
      <c r="O74" s="15">
        <v>0</v>
      </c>
      <c r="P74" s="15">
        <v>0</v>
      </c>
      <c r="Q74" s="16">
        <f t="shared" si="1"/>
        <v>204160</v>
      </c>
      <c r="R74" s="13"/>
      <c r="S74" s="13"/>
      <c r="T74" s="13"/>
      <c r="U74" s="13"/>
      <c r="V74" s="13"/>
      <c r="W74" s="13"/>
      <c r="X74" s="13"/>
      <c r="Y74" s="13"/>
    </row>
    <row r="75" spans="1:25" s="10" customFormat="1" ht="63.75" x14ac:dyDescent="0.2">
      <c r="A75" s="1">
        <v>68</v>
      </c>
      <c r="B75" s="85" t="s">
        <v>11</v>
      </c>
      <c r="C75" s="2" t="s">
        <v>254</v>
      </c>
      <c r="D75" s="85" t="s">
        <v>255</v>
      </c>
      <c r="E75" s="85" t="s">
        <v>253</v>
      </c>
      <c r="F75" s="85" t="s">
        <v>256</v>
      </c>
      <c r="G75" s="14">
        <v>622067</v>
      </c>
      <c r="H75" s="14">
        <f>511796-5708</f>
        <v>506088</v>
      </c>
      <c r="I75" s="15">
        <v>45351</v>
      </c>
      <c r="J75" s="15">
        <v>44218</v>
      </c>
      <c r="K75" s="15">
        <v>43202</v>
      </c>
      <c r="L75" s="15">
        <v>42183</v>
      </c>
      <c r="M75" s="15">
        <v>41213</v>
      </c>
      <c r="N75" s="15">
        <v>40145</v>
      </c>
      <c r="O75" s="15">
        <v>39127</v>
      </c>
      <c r="P75" s="15">
        <v>468790</v>
      </c>
      <c r="Q75" s="16">
        <f t="shared" si="1"/>
        <v>764229</v>
      </c>
      <c r="R75" s="13"/>
      <c r="S75" s="13"/>
      <c r="T75" s="13"/>
      <c r="U75" s="13"/>
      <c r="V75" s="13"/>
      <c r="W75" s="13"/>
      <c r="X75" s="13"/>
      <c r="Y75" s="13"/>
    </row>
    <row r="76" spans="1:25" s="10" customFormat="1" ht="89.25" x14ac:dyDescent="0.2">
      <c r="A76" s="1">
        <v>69</v>
      </c>
      <c r="B76" s="17" t="s">
        <v>11</v>
      </c>
      <c r="C76" s="95" t="s">
        <v>257</v>
      </c>
      <c r="D76" s="96" t="s">
        <v>258</v>
      </c>
      <c r="E76" s="19" t="s">
        <v>259</v>
      </c>
      <c r="F76" s="19" t="s">
        <v>260</v>
      </c>
      <c r="G76" s="20">
        <v>825403</v>
      </c>
      <c r="H76" s="20">
        <f>76100-3805</f>
        <v>72295</v>
      </c>
      <c r="I76" s="21">
        <v>18326</v>
      </c>
      <c r="J76" s="21">
        <v>17659</v>
      </c>
      <c r="K76" s="21">
        <v>16982</v>
      </c>
      <c r="L76" s="21">
        <v>16303</v>
      </c>
      <c r="M76" s="21">
        <v>11790</v>
      </c>
      <c r="N76" s="21">
        <v>0</v>
      </c>
      <c r="O76" s="22">
        <v>0</v>
      </c>
      <c r="P76" s="21">
        <v>0</v>
      </c>
      <c r="Q76" s="23">
        <f t="shared" si="1"/>
        <v>81060</v>
      </c>
      <c r="R76" s="13"/>
      <c r="S76" s="13"/>
      <c r="T76" s="13"/>
      <c r="U76" s="13"/>
      <c r="V76" s="13"/>
      <c r="W76" s="13"/>
      <c r="X76" s="13"/>
      <c r="Y76" s="13"/>
    </row>
    <row r="77" spans="1:25" s="10" customFormat="1" ht="25.5" x14ac:dyDescent="0.2">
      <c r="A77" s="90">
        <v>70</v>
      </c>
      <c r="B77" s="85" t="s">
        <v>11</v>
      </c>
      <c r="C77" s="2" t="s">
        <v>261</v>
      </c>
      <c r="D77" s="85" t="s">
        <v>262</v>
      </c>
      <c r="E77" s="85" t="s">
        <v>263</v>
      </c>
      <c r="F77" s="85" t="s">
        <v>205</v>
      </c>
      <c r="G77" s="14">
        <v>1450422</v>
      </c>
      <c r="H77" s="14">
        <f>386130-34854</f>
        <v>351276</v>
      </c>
      <c r="I77" s="15">
        <v>94127</v>
      </c>
      <c r="J77" s="15">
        <v>79784</v>
      </c>
      <c r="K77" s="15">
        <v>76724</v>
      </c>
      <c r="L77" s="15">
        <v>73691</v>
      </c>
      <c r="M77" s="15">
        <v>70656</v>
      </c>
      <c r="N77" s="15">
        <v>166</v>
      </c>
      <c r="O77" s="15">
        <v>0</v>
      </c>
      <c r="P77" s="15">
        <v>0</v>
      </c>
      <c r="Q77" s="16">
        <f t="shared" si="1"/>
        <v>395148</v>
      </c>
      <c r="R77" s="13"/>
      <c r="S77" s="13"/>
      <c r="T77" s="13"/>
      <c r="U77" s="13"/>
      <c r="V77" s="13"/>
      <c r="W77" s="13"/>
      <c r="X77" s="13"/>
      <c r="Y77" s="13"/>
    </row>
    <row r="78" spans="1:25" s="10" customFormat="1" ht="38.25" x14ac:dyDescent="0.2">
      <c r="A78" s="1">
        <v>71</v>
      </c>
      <c r="B78" s="85" t="s">
        <v>11</v>
      </c>
      <c r="C78" s="2" t="s">
        <v>264</v>
      </c>
      <c r="D78" s="85" t="s">
        <v>265</v>
      </c>
      <c r="E78" s="85" t="s">
        <v>266</v>
      </c>
      <c r="F78" s="85" t="s">
        <v>31</v>
      </c>
      <c r="G78" s="14">
        <v>187540</v>
      </c>
      <c r="H78" s="14">
        <f>96180-4809</f>
        <v>91371</v>
      </c>
      <c r="I78" s="15">
        <v>23161</v>
      </c>
      <c r="J78" s="15">
        <v>22318</v>
      </c>
      <c r="K78" s="15">
        <v>21463</v>
      </c>
      <c r="L78" s="15">
        <v>20605</v>
      </c>
      <c r="M78" s="15">
        <v>14920</v>
      </c>
      <c r="N78" s="15">
        <v>0</v>
      </c>
      <c r="O78" s="15">
        <v>0</v>
      </c>
      <c r="P78" s="15">
        <v>0</v>
      </c>
      <c r="Q78" s="16">
        <f t="shared" si="1"/>
        <v>102467</v>
      </c>
      <c r="R78" s="13"/>
      <c r="S78" s="13"/>
      <c r="T78" s="13"/>
      <c r="U78" s="13"/>
      <c r="V78" s="13"/>
      <c r="W78" s="13"/>
      <c r="X78" s="13"/>
      <c r="Y78" s="13"/>
    </row>
    <row r="79" spans="1:25" s="10" customFormat="1" ht="63.75" x14ac:dyDescent="0.2">
      <c r="A79" s="1">
        <v>72</v>
      </c>
      <c r="B79" s="85" t="s">
        <v>11</v>
      </c>
      <c r="C79" s="2" t="s">
        <v>268</v>
      </c>
      <c r="D79" s="85" t="s">
        <v>269</v>
      </c>
      <c r="E79" s="85" t="s">
        <v>270</v>
      </c>
      <c r="F79" s="85" t="s">
        <v>271</v>
      </c>
      <c r="G79" s="14">
        <v>496423</v>
      </c>
      <c r="H79" s="14">
        <f>407757-5933</f>
        <v>401824</v>
      </c>
      <c r="I79" s="15">
        <v>41229</v>
      </c>
      <c r="J79" s="15">
        <v>40423</v>
      </c>
      <c r="K79" s="15">
        <v>39367</v>
      </c>
      <c r="L79" s="15">
        <v>38309</v>
      </c>
      <c r="M79" s="15">
        <v>37285</v>
      </c>
      <c r="N79" s="15">
        <v>36190</v>
      </c>
      <c r="O79" s="15">
        <v>35132</v>
      </c>
      <c r="P79" s="15">
        <v>303235</v>
      </c>
      <c r="Q79" s="16">
        <f t="shared" si="1"/>
        <v>571170</v>
      </c>
      <c r="R79" s="13"/>
      <c r="S79" s="13"/>
      <c r="T79" s="13"/>
      <c r="U79" s="13"/>
      <c r="V79" s="13"/>
      <c r="W79" s="13"/>
      <c r="X79" s="13"/>
      <c r="Y79" s="13"/>
    </row>
    <row r="80" spans="1:25" s="10" customFormat="1" ht="38.25" x14ac:dyDescent="0.2">
      <c r="A80" s="1">
        <v>73</v>
      </c>
      <c r="B80" s="85" t="s">
        <v>11</v>
      </c>
      <c r="C80" s="2" t="s">
        <v>272</v>
      </c>
      <c r="D80" s="85" t="s">
        <v>273</v>
      </c>
      <c r="E80" s="85" t="s">
        <v>274</v>
      </c>
      <c r="F80" s="85" t="s">
        <v>275</v>
      </c>
      <c r="G80" s="14">
        <v>61135</v>
      </c>
      <c r="H80" s="14">
        <f>41902-1022</f>
        <v>40880</v>
      </c>
      <c r="I80" s="15">
        <v>5827</v>
      </c>
      <c r="J80" s="15">
        <v>5700</v>
      </c>
      <c r="K80" s="15">
        <v>5518</v>
      </c>
      <c r="L80" s="15">
        <v>5336</v>
      </c>
      <c r="M80" s="15">
        <v>5156</v>
      </c>
      <c r="N80" s="15">
        <v>4971</v>
      </c>
      <c r="O80" s="15">
        <v>4788</v>
      </c>
      <c r="P80" s="15">
        <v>13280</v>
      </c>
      <c r="Q80" s="16">
        <f t="shared" si="1"/>
        <v>50576</v>
      </c>
      <c r="R80" s="13"/>
      <c r="S80" s="13"/>
      <c r="T80" s="13"/>
      <c r="U80" s="13"/>
      <c r="V80" s="13"/>
      <c r="W80" s="13"/>
      <c r="X80" s="13"/>
      <c r="Y80" s="13"/>
    </row>
    <row r="81" spans="1:25" s="10" customFormat="1" ht="63.75" x14ac:dyDescent="0.2">
      <c r="A81" s="1">
        <v>74</v>
      </c>
      <c r="B81" s="85" t="s">
        <v>11</v>
      </c>
      <c r="C81" s="2" t="s">
        <v>276</v>
      </c>
      <c r="D81" s="85" t="s">
        <v>277</v>
      </c>
      <c r="E81" s="85" t="s">
        <v>278</v>
      </c>
      <c r="F81" s="85" t="s">
        <v>279</v>
      </c>
      <c r="G81" s="14">
        <v>119137</v>
      </c>
      <c r="H81" s="14">
        <f>36530-1635</f>
        <v>34895</v>
      </c>
      <c r="I81" s="15">
        <v>7992</v>
      </c>
      <c r="J81" s="15">
        <v>7759</v>
      </c>
      <c r="K81" s="15">
        <v>7468</v>
      </c>
      <c r="L81" s="15">
        <v>7176</v>
      </c>
      <c r="M81" s="15">
        <v>6885</v>
      </c>
      <c r="N81" s="15">
        <v>2263</v>
      </c>
      <c r="O81" s="15">
        <v>0</v>
      </c>
      <c r="P81" s="15">
        <v>0</v>
      </c>
      <c r="Q81" s="16">
        <f t="shared" si="1"/>
        <v>39543</v>
      </c>
      <c r="R81" s="13"/>
      <c r="S81" s="13"/>
      <c r="T81" s="13"/>
      <c r="U81" s="13"/>
      <c r="V81" s="13"/>
      <c r="W81" s="13"/>
      <c r="X81" s="13"/>
      <c r="Y81" s="13"/>
    </row>
    <row r="82" spans="1:25" s="10" customFormat="1" ht="51" x14ac:dyDescent="0.2">
      <c r="A82" s="90">
        <v>75</v>
      </c>
      <c r="B82" s="85" t="s">
        <v>11</v>
      </c>
      <c r="C82" s="2" t="s">
        <v>280</v>
      </c>
      <c r="D82" s="85" t="s">
        <v>281</v>
      </c>
      <c r="E82" s="85" t="s">
        <v>282</v>
      </c>
      <c r="F82" s="85" t="s">
        <v>283</v>
      </c>
      <c r="G82" s="14">
        <v>847872</v>
      </c>
      <c r="H82" s="14">
        <f>516516-7826</f>
        <v>508690</v>
      </c>
      <c r="I82" s="15">
        <v>52994</v>
      </c>
      <c r="J82" s="15">
        <v>52369</v>
      </c>
      <c r="K82" s="15">
        <v>50977</v>
      </c>
      <c r="L82" s="15">
        <v>49580</v>
      </c>
      <c r="M82" s="15">
        <v>48227</v>
      </c>
      <c r="N82" s="15">
        <v>46785</v>
      </c>
      <c r="O82" s="15">
        <v>45390</v>
      </c>
      <c r="P82" s="15">
        <v>353839</v>
      </c>
      <c r="Q82" s="16">
        <f t="shared" si="1"/>
        <v>700161</v>
      </c>
      <c r="R82" s="13"/>
      <c r="S82" s="13"/>
      <c r="T82" s="13"/>
      <c r="U82" s="13"/>
      <c r="V82" s="13"/>
      <c r="W82" s="13"/>
      <c r="X82" s="13"/>
      <c r="Y82" s="13"/>
    </row>
    <row r="83" spans="1:25" s="10" customFormat="1" ht="51" x14ac:dyDescent="0.2">
      <c r="A83" s="1">
        <v>76</v>
      </c>
      <c r="B83" s="85" t="s">
        <v>11</v>
      </c>
      <c r="C83" s="2" t="s">
        <v>284</v>
      </c>
      <c r="D83" s="85" t="s">
        <v>285</v>
      </c>
      <c r="E83" s="85" t="s">
        <v>286</v>
      </c>
      <c r="F83" s="85" t="s">
        <v>287</v>
      </c>
      <c r="G83" s="14">
        <v>773964</v>
      </c>
      <c r="H83" s="14">
        <f>146304-4572</f>
        <v>141732</v>
      </c>
      <c r="I83" s="15">
        <v>24456</v>
      </c>
      <c r="J83" s="15">
        <v>23664</v>
      </c>
      <c r="K83" s="15">
        <v>22851</v>
      </c>
      <c r="L83" s="15">
        <v>22035</v>
      </c>
      <c r="M83" s="15">
        <v>21226</v>
      </c>
      <c r="N83" s="15">
        <v>20402</v>
      </c>
      <c r="O83" s="15">
        <v>19587</v>
      </c>
      <c r="P83" s="15">
        <v>14166</v>
      </c>
      <c r="Q83" s="16">
        <f t="shared" si="1"/>
        <v>168387</v>
      </c>
      <c r="R83" s="13"/>
      <c r="S83" s="13"/>
      <c r="T83" s="13"/>
      <c r="U83" s="13"/>
      <c r="V83" s="13"/>
      <c r="W83" s="13"/>
      <c r="X83" s="13"/>
      <c r="Y83" s="13"/>
    </row>
    <row r="84" spans="1:25" s="10" customFormat="1" ht="51" x14ac:dyDescent="0.2">
      <c r="A84" s="1">
        <v>77</v>
      </c>
      <c r="B84" s="85" t="s">
        <v>11</v>
      </c>
      <c r="C84" s="2" t="s">
        <v>288</v>
      </c>
      <c r="D84" s="85" t="s">
        <v>289</v>
      </c>
      <c r="E84" s="85" t="s">
        <v>290</v>
      </c>
      <c r="F84" s="85" t="s">
        <v>291</v>
      </c>
      <c r="G84" s="14">
        <v>517940</v>
      </c>
      <c r="H84" s="14">
        <f>40224-3352</f>
        <v>36872</v>
      </c>
      <c r="I84" s="15">
        <v>14953</v>
      </c>
      <c r="J84" s="15">
        <v>14361</v>
      </c>
      <c r="K84" s="15">
        <v>10400</v>
      </c>
      <c r="L84" s="15">
        <v>0</v>
      </c>
      <c r="M84" s="15">
        <v>0</v>
      </c>
      <c r="N84" s="15">
        <v>0</v>
      </c>
      <c r="O84" s="15">
        <v>0</v>
      </c>
      <c r="P84" s="15">
        <v>0</v>
      </c>
      <c r="Q84" s="16">
        <f t="shared" si="1"/>
        <v>39714</v>
      </c>
      <c r="R84" s="13"/>
      <c r="S84" s="13"/>
      <c r="T84" s="13"/>
      <c r="U84" s="13"/>
      <c r="V84" s="13"/>
      <c r="W84" s="13"/>
      <c r="X84" s="13"/>
      <c r="Y84" s="13"/>
    </row>
    <row r="85" spans="1:25" s="10" customFormat="1" ht="51" x14ac:dyDescent="0.2">
      <c r="A85" s="1">
        <v>78</v>
      </c>
      <c r="B85" s="85" t="s">
        <v>11</v>
      </c>
      <c r="C85" s="2" t="s">
        <v>292</v>
      </c>
      <c r="D85" s="85" t="s">
        <v>293</v>
      </c>
      <c r="E85" s="85" t="s">
        <v>290</v>
      </c>
      <c r="F85" s="85" t="s">
        <v>294</v>
      </c>
      <c r="G85" s="14">
        <v>522498</v>
      </c>
      <c r="H85" s="14">
        <f>48280-2840</f>
        <v>45440</v>
      </c>
      <c r="I85" s="15">
        <v>13300</v>
      </c>
      <c r="J85" s="15">
        <v>12801</v>
      </c>
      <c r="K85" s="15">
        <v>12295</v>
      </c>
      <c r="L85" s="15">
        <v>11788</v>
      </c>
      <c r="M85" s="15">
        <v>28</v>
      </c>
      <c r="N85" s="15">
        <v>0</v>
      </c>
      <c r="O85" s="15">
        <v>0</v>
      </c>
      <c r="P85" s="15">
        <v>0</v>
      </c>
      <c r="Q85" s="16">
        <f t="shared" si="1"/>
        <v>50212</v>
      </c>
      <c r="R85" s="13"/>
      <c r="S85" s="13"/>
      <c r="T85" s="13"/>
      <c r="U85" s="13"/>
      <c r="V85" s="13"/>
      <c r="W85" s="13"/>
      <c r="X85" s="13"/>
      <c r="Y85" s="13"/>
    </row>
    <row r="86" spans="1:25" s="10" customFormat="1" ht="51" x14ac:dyDescent="0.2">
      <c r="A86" s="90">
        <v>79</v>
      </c>
      <c r="B86" s="85" t="s">
        <v>11</v>
      </c>
      <c r="C86" s="2" t="s">
        <v>295</v>
      </c>
      <c r="D86" s="85" t="s">
        <v>296</v>
      </c>
      <c r="E86" s="85" t="s">
        <v>290</v>
      </c>
      <c r="F86" s="85" t="s">
        <v>238</v>
      </c>
      <c r="G86" s="14">
        <v>441877</v>
      </c>
      <c r="H86" s="14">
        <f>30024-3336</f>
        <v>26688</v>
      </c>
      <c r="I86" s="15">
        <v>14437</v>
      </c>
      <c r="J86" s="15">
        <v>13846</v>
      </c>
      <c r="K86" s="15">
        <v>33</v>
      </c>
      <c r="L86" s="15">
        <v>0</v>
      </c>
      <c r="M86" s="15">
        <v>0</v>
      </c>
      <c r="N86" s="15">
        <v>0</v>
      </c>
      <c r="O86" s="15">
        <v>0</v>
      </c>
      <c r="P86" s="15">
        <v>0</v>
      </c>
      <c r="Q86" s="16">
        <f t="shared" si="1"/>
        <v>28316</v>
      </c>
      <c r="R86" s="13"/>
      <c r="S86" s="13"/>
      <c r="T86" s="13"/>
      <c r="U86" s="13"/>
      <c r="V86" s="13"/>
      <c r="W86" s="13"/>
      <c r="X86" s="13"/>
      <c r="Y86" s="13"/>
    </row>
    <row r="87" spans="1:25" s="10" customFormat="1" ht="76.5" x14ac:dyDescent="0.2">
      <c r="A87" s="1">
        <v>80</v>
      </c>
      <c r="B87" s="85" t="s">
        <v>11</v>
      </c>
      <c r="C87" s="2" t="s">
        <v>297</v>
      </c>
      <c r="D87" s="85" t="s">
        <v>298</v>
      </c>
      <c r="E87" s="85" t="s">
        <v>299</v>
      </c>
      <c r="F87" s="85" t="s">
        <v>300</v>
      </c>
      <c r="G87" s="14">
        <v>184000</v>
      </c>
      <c r="H87" s="14">
        <f>147870-3286</f>
        <v>144584</v>
      </c>
      <c r="I87" s="15">
        <v>19213</v>
      </c>
      <c r="J87" s="15">
        <v>18913</v>
      </c>
      <c r="K87" s="15">
        <v>18328</v>
      </c>
      <c r="L87" s="15">
        <v>17741</v>
      </c>
      <c r="M87" s="15">
        <v>17165</v>
      </c>
      <c r="N87" s="15">
        <v>16568</v>
      </c>
      <c r="O87" s="15">
        <v>15982</v>
      </c>
      <c r="P87" s="15">
        <v>58096</v>
      </c>
      <c r="Q87" s="16">
        <f t="shared" si="1"/>
        <v>182006</v>
      </c>
      <c r="R87" s="13"/>
      <c r="S87" s="13"/>
      <c r="T87" s="13"/>
      <c r="U87" s="13"/>
      <c r="V87" s="13"/>
      <c r="W87" s="13"/>
      <c r="X87" s="13"/>
      <c r="Y87" s="13"/>
    </row>
    <row r="88" spans="1:25" s="10" customFormat="1" ht="76.5" x14ac:dyDescent="0.2">
      <c r="A88" s="1">
        <v>81</v>
      </c>
      <c r="B88" s="17" t="s">
        <v>11</v>
      </c>
      <c r="C88" s="95" t="s">
        <v>301</v>
      </c>
      <c r="D88" s="96" t="s">
        <v>302</v>
      </c>
      <c r="E88" s="19" t="s">
        <v>303</v>
      </c>
      <c r="F88" s="19" t="s">
        <v>304</v>
      </c>
      <c r="G88" s="20">
        <v>360066</v>
      </c>
      <c r="H88" s="20">
        <f>289503-4677</f>
        <v>284826</v>
      </c>
      <c r="I88" s="21">
        <v>32050</v>
      </c>
      <c r="J88" s="21">
        <v>31859</v>
      </c>
      <c r="K88" s="21">
        <v>30926</v>
      </c>
      <c r="L88" s="21">
        <v>29991</v>
      </c>
      <c r="M88" s="21">
        <v>29082</v>
      </c>
      <c r="N88" s="21">
        <v>28119</v>
      </c>
      <c r="O88" s="22">
        <v>27184</v>
      </c>
      <c r="P88" s="21">
        <v>188217</v>
      </c>
      <c r="Q88" s="23">
        <f t="shared" si="1"/>
        <v>397428</v>
      </c>
      <c r="R88" s="13"/>
      <c r="S88" s="13"/>
      <c r="T88" s="13"/>
      <c r="U88" s="13"/>
      <c r="V88" s="13"/>
      <c r="W88" s="13"/>
      <c r="X88" s="13"/>
      <c r="Y88" s="13"/>
    </row>
    <row r="89" spans="1:25" s="10" customFormat="1" ht="51" x14ac:dyDescent="0.2">
      <c r="A89" s="1">
        <v>82</v>
      </c>
      <c r="B89" s="85" t="s">
        <v>11</v>
      </c>
      <c r="C89" s="2" t="s">
        <v>305</v>
      </c>
      <c r="D89" s="85" t="s">
        <v>306</v>
      </c>
      <c r="E89" s="85" t="s">
        <v>307</v>
      </c>
      <c r="F89" s="85" t="s">
        <v>308</v>
      </c>
      <c r="G89" s="14">
        <v>2118102</v>
      </c>
      <c r="H89" s="14">
        <f>1603500-17993</f>
        <v>1585507</v>
      </c>
      <c r="I89" s="15">
        <v>150912</v>
      </c>
      <c r="J89" s="15">
        <v>150996</v>
      </c>
      <c r="K89" s="15">
        <v>147218</v>
      </c>
      <c r="L89" s="15">
        <v>143430</v>
      </c>
      <c r="M89" s="15">
        <v>139821</v>
      </c>
      <c r="N89" s="15">
        <v>135848</v>
      </c>
      <c r="O89" s="15">
        <v>132062</v>
      </c>
      <c r="P89" s="15">
        <v>1529431</v>
      </c>
      <c r="Q89" s="23">
        <f t="shared" si="1"/>
        <v>2529718</v>
      </c>
      <c r="R89" s="13"/>
      <c r="S89" s="13"/>
      <c r="T89" s="13"/>
      <c r="U89" s="13"/>
      <c r="V89" s="13"/>
      <c r="W89" s="13"/>
      <c r="X89" s="13"/>
      <c r="Y89" s="13"/>
    </row>
    <row r="90" spans="1:25" s="10" customFormat="1" ht="63.75" x14ac:dyDescent="0.2">
      <c r="A90" s="1">
        <v>83</v>
      </c>
      <c r="B90" s="85" t="s">
        <v>11</v>
      </c>
      <c r="C90" s="2" t="s">
        <v>254</v>
      </c>
      <c r="D90" s="85" t="s">
        <v>309</v>
      </c>
      <c r="E90" s="85" t="s">
        <v>310</v>
      </c>
      <c r="F90" s="85" t="s">
        <v>311</v>
      </c>
      <c r="G90" s="14">
        <v>252480</v>
      </c>
      <c r="H90" s="14">
        <f>245333-2355</f>
        <v>242978</v>
      </c>
      <c r="I90" s="15">
        <v>21600</v>
      </c>
      <c r="J90" s="15">
        <v>21628</v>
      </c>
      <c r="K90" s="15">
        <v>21134</v>
      </c>
      <c r="L90" s="15">
        <v>20638</v>
      </c>
      <c r="M90" s="15">
        <v>20171</v>
      </c>
      <c r="N90" s="15">
        <v>19646</v>
      </c>
      <c r="O90" s="15">
        <v>19150</v>
      </c>
      <c r="P90" s="15">
        <v>267849</v>
      </c>
      <c r="Q90" s="23">
        <f t="shared" si="1"/>
        <v>411816</v>
      </c>
      <c r="R90" s="13"/>
      <c r="S90" s="13"/>
      <c r="T90" s="13"/>
      <c r="U90" s="13"/>
      <c r="V90" s="13"/>
      <c r="W90" s="13"/>
      <c r="X90" s="13"/>
      <c r="Y90" s="13"/>
    </row>
    <row r="91" spans="1:25" s="10" customFormat="1" ht="51" x14ac:dyDescent="0.2">
      <c r="A91" s="90">
        <v>84</v>
      </c>
      <c r="B91" s="85" t="s">
        <v>11</v>
      </c>
      <c r="C91" s="2" t="s">
        <v>312</v>
      </c>
      <c r="D91" s="85" t="s">
        <v>313</v>
      </c>
      <c r="E91" s="85" t="s">
        <v>314</v>
      </c>
      <c r="F91" s="85" t="s">
        <v>315</v>
      </c>
      <c r="G91" s="14">
        <v>841650</v>
      </c>
      <c r="H91" s="14">
        <f>527584-5702</f>
        <v>521882</v>
      </c>
      <c r="I91" s="15">
        <v>51219</v>
      </c>
      <c r="J91" s="15">
        <v>50396</v>
      </c>
      <c r="K91" s="15">
        <v>49128</v>
      </c>
      <c r="L91" s="15">
        <v>47857</v>
      </c>
      <c r="M91" s="15">
        <v>46650</v>
      </c>
      <c r="N91" s="15">
        <v>45314</v>
      </c>
      <c r="O91" s="15">
        <v>44045</v>
      </c>
      <c r="P91" s="15">
        <v>529208</v>
      </c>
      <c r="Q91" s="23">
        <f t="shared" si="1"/>
        <v>863817</v>
      </c>
      <c r="R91" s="13"/>
      <c r="S91" s="13"/>
      <c r="T91" s="13"/>
      <c r="U91" s="13"/>
      <c r="V91" s="13"/>
      <c r="W91" s="13"/>
      <c r="X91" s="13"/>
      <c r="Y91" s="13"/>
    </row>
    <row r="92" spans="1:25" s="10" customFormat="1" ht="89.25" x14ac:dyDescent="0.2">
      <c r="A92" s="1">
        <v>85</v>
      </c>
      <c r="B92" s="85" t="s">
        <v>11</v>
      </c>
      <c r="C92" s="2" t="s">
        <v>316</v>
      </c>
      <c r="D92" s="85" t="s">
        <v>317</v>
      </c>
      <c r="E92" s="85" t="s">
        <v>318</v>
      </c>
      <c r="F92" s="85" t="s">
        <v>516</v>
      </c>
      <c r="G92" s="14">
        <v>238979</v>
      </c>
      <c r="H92" s="14">
        <f>91894-4426</f>
        <v>87468</v>
      </c>
      <c r="I92" s="15">
        <v>22228</v>
      </c>
      <c r="J92" s="15">
        <v>21015</v>
      </c>
      <c r="K92" s="15">
        <v>20142</v>
      </c>
      <c r="L92" s="15">
        <v>19267</v>
      </c>
      <c r="M92" s="15">
        <v>17340</v>
      </c>
      <c r="N92" s="15">
        <v>37</v>
      </c>
      <c r="O92" s="15">
        <v>0</v>
      </c>
      <c r="P92" s="15">
        <v>0</v>
      </c>
      <c r="Q92" s="16">
        <f t="shared" si="1"/>
        <v>100029</v>
      </c>
      <c r="R92" s="13"/>
      <c r="S92" s="13"/>
      <c r="T92" s="13"/>
      <c r="U92" s="13"/>
      <c r="V92" s="13"/>
      <c r="W92" s="13"/>
      <c r="X92" s="13"/>
      <c r="Y92" s="13"/>
    </row>
    <row r="93" spans="1:25" s="10" customFormat="1" ht="38.25" x14ac:dyDescent="0.2">
      <c r="A93" s="1">
        <v>86</v>
      </c>
      <c r="B93" s="85" t="s">
        <v>11</v>
      </c>
      <c r="C93" s="2" t="s">
        <v>319</v>
      </c>
      <c r="D93" s="85" t="s">
        <v>320</v>
      </c>
      <c r="E93" s="85" t="s">
        <v>321</v>
      </c>
      <c r="F93" s="85" t="s">
        <v>322</v>
      </c>
      <c r="G93" s="14">
        <v>698589</v>
      </c>
      <c r="H93" s="14">
        <f>639960-6075</f>
        <v>633885</v>
      </c>
      <c r="I93" s="15">
        <v>56236</v>
      </c>
      <c r="J93" s="15">
        <v>55324</v>
      </c>
      <c r="K93" s="15">
        <v>54082</v>
      </c>
      <c r="L93" s="15">
        <v>52837</v>
      </c>
      <c r="M93" s="15">
        <v>51665</v>
      </c>
      <c r="N93" s="15">
        <v>50345</v>
      </c>
      <c r="O93" s="15">
        <v>49100</v>
      </c>
      <c r="P93" s="15">
        <v>698870</v>
      </c>
      <c r="Q93" s="16">
        <f t="shared" si="1"/>
        <v>1068459</v>
      </c>
      <c r="R93" s="13"/>
      <c r="S93" s="13"/>
      <c r="T93" s="13"/>
      <c r="U93" s="13"/>
      <c r="V93" s="13"/>
      <c r="W93" s="13"/>
      <c r="X93" s="13"/>
      <c r="Y93" s="13"/>
    </row>
    <row r="94" spans="1:25" s="10" customFormat="1" ht="76.5" x14ac:dyDescent="0.2">
      <c r="A94" s="1">
        <v>87</v>
      </c>
      <c r="B94" s="17" t="s">
        <v>11</v>
      </c>
      <c r="C94" s="97" t="s">
        <v>323</v>
      </c>
      <c r="D94" s="96" t="s">
        <v>324</v>
      </c>
      <c r="E94" s="19" t="s">
        <v>325</v>
      </c>
      <c r="F94" s="19" t="s">
        <v>326</v>
      </c>
      <c r="G94" s="20">
        <v>91175</v>
      </c>
      <c r="H94" s="20">
        <f>22097-5364</f>
        <v>16733</v>
      </c>
      <c r="I94" s="21">
        <v>16767</v>
      </c>
      <c r="J94" s="21">
        <v>0</v>
      </c>
      <c r="K94" s="21">
        <v>0</v>
      </c>
      <c r="L94" s="21">
        <v>0</v>
      </c>
      <c r="M94" s="21">
        <v>0</v>
      </c>
      <c r="N94" s="21">
        <v>0</v>
      </c>
      <c r="O94" s="21">
        <v>0</v>
      </c>
      <c r="P94" s="21">
        <v>0</v>
      </c>
      <c r="Q94" s="23">
        <f t="shared" si="1"/>
        <v>16767</v>
      </c>
      <c r="R94" s="13"/>
      <c r="S94" s="13"/>
      <c r="T94" s="13"/>
      <c r="U94" s="13"/>
      <c r="V94" s="13"/>
      <c r="W94" s="13"/>
      <c r="X94" s="13"/>
      <c r="Y94" s="13"/>
    </row>
    <row r="95" spans="1:25" s="10" customFormat="1" ht="25.5" x14ac:dyDescent="0.2">
      <c r="A95" s="90">
        <v>88</v>
      </c>
      <c r="B95" s="85" t="s">
        <v>11</v>
      </c>
      <c r="C95" s="2" t="s">
        <v>327</v>
      </c>
      <c r="D95" s="85" t="s">
        <v>328</v>
      </c>
      <c r="E95" s="85" t="s">
        <v>329</v>
      </c>
      <c r="F95" s="85" t="s">
        <v>330</v>
      </c>
      <c r="G95" s="14">
        <v>660540</v>
      </c>
      <c r="H95" s="14">
        <f>614352-6609</f>
        <v>607743</v>
      </c>
      <c r="I95" s="15">
        <v>57050</v>
      </c>
      <c r="J95" s="15">
        <v>56235</v>
      </c>
      <c r="K95" s="15">
        <v>54873</v>
      </c>
      <c r="L95" s="15">
        <v>53507</v>
      </c>
      <c r="M95" s="15">
        <v>52210</v>
      </c>
      <c r="N95" s="15">
        <v>50774</v>
      </c>
      <c r="O95" s="15">
        <v>49409</v>
      </c>
      <c r="P95" s="15">
        <v>604880</v>
      </c>
      <c r="Q95" s="23">
        <f t="shared" si="1"/>
        <v>978938</v>
      </c>
      <c r="R95" s="13"/>
      <c r="S95" s="13"/>
      <c r="T95" s="13"/>
      <c r="U95" s="13"/>
      <c r="V95" s="13"/>
      <c r="W95" s="13"/>
      <c r="X95" s="13"/>
      <c r="Y95" s="13"/>
    </row>
    <row r="96" spans="1:25" s="10" customFormat="1" ht="38.25" x14ac:dyDescent="0.2">
      <c r="A96" s="1">
        <v>89</v>
      </c>
      <c r="B96" s="85" t="s">
        <v>11</v>
      </c>
      <c r="C96" s="2" t="s">
        <v>331</v>
      </c>
      <c r="D96" s="85" t="s">
        <v>332</v>
      </c>
      <c r="E96" s="85" t="s">
        <v>329</v>
      </c>
      <c r="F96" s="85" t="s">
        <v>96</v>
      </c>
      <c r="G96" s="14">
        <v>315428</v>
      </c>
      <c r="H96" s="14">
        <f>275328-5736</f>
        <v>269592</v>
      </c>
      <c r="I96" s="15">
        <v>35448</v>
      </c>
      <c r="J96" s="15">
        <v>34594</v>
      </c>
      <c r="K96" s="15">
        <v>33497</v>
      </c>
      <c r="L96" s="15">
        <v>32396</v>
      </c>
      <c r="M96" s="15">
        <v>31317</v>
      </c>
      <c r="N96" s="15">
        <v>30194</v>
      </c>
      <c r="O96" s="15">
        <v>29094</v>
      </c>
      <c r="P96" s="15">
        <v>123235</v>
      </c>
      <c r="Q96" s="23">
        <f t="shared" si="1"/>
        <v>349775</v>
      </c>
      <c r="R96" s="13"/>
      <c r="S96" s="13"/>
      <c r="T96" s="13"/>
      <c r="U96" s="13"/>
      <c r="V96" s="13"/>
      <c r="W96" s="13"/>
      <c r="X96" s="13"/>
      <c r="Y96" s="13"/>
    </row>
    <row r="97" spans="1:25" s="10" customFormat="1" ht="63.75" x14ac:dyDescent="0.2">
      <c r="A97" s="1">
        <v>90</v>
      </c>
      <c r="B97" s="85" t="s">
        <v>11</v>
      </c>
      <c r="C97" s="2" t="s">
        <v>333</v>
      </c>
      <c r="D97" s="85" t="s">
        <v>334</v>
      </c>
      <c r="E97" s="85" t="s">
        <v>335</v>
      </c>
      <c r="F97" s="85" t="s">
        <v>336</v>
      </c>
      <c r="G97" s="14">
        <v>230000</v>
      </c>
      <c r="H97" s="14">
        <f>208863-3027</f>
        <v>205836</v>
      </c>
      <c r="I97" s="15">
        <v>22003</v>
      </c>
      <c r="J97" s="15">
        <v>21493</v>
      </c>
      <c r="K97" s="15">
        <v>20902</v>
      </c>
      <c r="L97" s="15">
        <v>20309</v>
      </c>
      <c r="M97" s="15">
        <v>19736</v>
      </c>
      <c r="N97" s="15">
        <v>19123</v>
      </c>
      <c r="O97" s="15">
        <v>18531</v>
      </c>
      <c r="P97" s="15">
        <v>152794</v>
      </c>
      <c r="Q97" s="16">
        <f t="shared" ref="Q97:Q134" si="2">SUM(I97:P97)</f>
        <v>294891</v>
      </c>
      <c r="R97" s="13"/>
      <c r="S97" s="13"/>
      <c r="T97" s="13"/>
      <c r="U97" s="13"/>
      <c r="V97" s="13"/>
      <c r="W97" s="13"/>
      <c r="X97" s="13"/>
      <c r="Y97" s="13"/>
    </row>
    <row r="98" spans="1:25" s="10" customFormat="1" ht="38.25" x14ac:dyDescent="0.2">
      <c r="A98" s="1">
        <v>91</v>
      </c>
      <c r="B98" s="85" t="s">
        <v>11</v>
      </c>
      <c r="C98" s="2" t="s">
        <v>337</v>
      </c>
      <c r="D98" s="85" t="s">
        <v>338</v>
      </c>
      <c r="E98" s="85" t="s">
        <v>335</v>
      </c>
      <c r="F98" s="85" t="s">
        <v>336</v>
      </c>
      <c r="G98" s="14">
        <v>98000</v>
      </c>
      <c r="H98" s="14">
        <f>84525-1225</f>
        <v>83300</v>
      </c>
      <c r="I98" s="15">
        <v>8905</v>
      </c>
      <c r="J98" s="15">
        <v>8698</v>
      </c>
      <c r="K98" s="15">
        <v>8459</v>
      </c>
      <c r="L98" s="15">
        <v>8219</v>
      </c>
      <c r="M98" s="15">
        <v>7987</v>
      </c>
      <c r="N98" s="15">
        <v>7739</v>
      </c>
      <c r="O98" s="15">
        <v>7499</v>
      </c>
      <c r="P98" s="15">
        <v>61834</v>
      </c>
      <c r="Q98" s="16">
        <f t="shared" si="2"/>
        <v>119340</v>
      </c>
      <c r="R98" s="13"/>
      <c r="S98" s="13"/>
      <c r="T98" s="13"/>
      <c r="U98" s="13"/>
      <c r="V98" s="13"/>
      <c r="W98" s="13"/>
      <c r="X98" s="13"/>
      <c r="Y98" s="13"/>
    </row>
    <row r="99" spans="1:25" s="10" customFormat="1" ht="51" x14ac:dyDescent="0.2">
      <c r="A99" s="1">
        <v>92</v>
      </c>
      <c r="B99" s="85" t="s">
        <v>11</v>
      </c>
      <c r="C99" s="2" t="s">
        <v>339</v>
      </c>
      <c r="D99" s="85" t="s">
        <v>340</v>
      </c>
      <c r="E99" s="85" t="s">
        <v>335</v>
      </c>
      <c r="F99" s="85" t="s">
        <v>336</v>
      </c>
      <c r="G99" s="14">
        <v>113860</v>
      </c>
      <c r="H99" s="14">
        <f>98256-1424</f>
        <v>96832</v>
      </c>
      <c r="I99" s="15">
        <v>10351</v>
      </c>
      <c r="J99" s="15">
        <v>10111</v>
      </c>
      <c r="K99" s="15">
        <v>9833</v>
      </c>
      <c r="L99" s="15">
        <v>9554</v>
      </c>
      <c r="M99" s="15">
        <v>9285</v>
      </c>
      <c r="N99" s="15">
        <v>8996</v>
      </c>
      <c r="O99" s="15">
        <v>8717</v>
      </c>
      <c r="P99" s="15">
        <v>71879</v>
      </c>
      <c r="Q99" s="16">
        <f t="shared" si="2"/>
        <v>138726</v>
      </c>
      <c r="R99" s="13"/>
      <c r="S99" s="13"/>
      <c r="T99" s="13"/>
      <c r="U99" s="13"/>
      <c r="V99" s="13"/>
      <c r="W99" s="13"/>
      <c r="X99" s="13"/>
      <c r="Y99" s="13"/>
    </row>
    <row r="100" spans="1:25" s="10" customFormat="1" ht="38.25" x14ac:dyDescent="0.2">
      <c r="A100" s="90">
        <v>93</v>
      </c>
      <c r="B100" s="85" t="s">
        <v>11</v>
      </c>
      <c r="C100" s="2" t="s">
        <v>341</v>
      </c>
      <c r="D100" s="85" t="s">
        <v>342</v>
      </c>
      <c r="E100" s="85" t="s">
        <v>343</v>
      </c>
      <c r="F100" s="85" t="s">
        <v>344</v>
      </c>
      <c r="G100" s="14">
        <v>121491</v>
      </c>
      <c r="H100" s="14">
        <f>106032-2209</f>
        <v>103823</v>
      </c>
      <c r="I100" s="15">
        <v>13781</v>
      </c>
      <c r="J100" s="15">
        <v>13347</v>
      </c>
      <c r="K100" s="15">
        <v>12922</v>
      </c>
      <c r="L100" s="15">
        <v>12496</v>
      </c>
      <c r="M100" s="15">
        <v>12078</v>
      </c>
      <c r="N100" s="15">
        <v>11643</v>
      </c>
      <c r="O100" s="15">
        <v>11218</v>
      </c>
      <c r="P100" s="15">
        <v>47499</v>
      </c>
      <c r="Q100" s="16">
        <f t="shared" si="2"/>
        <v>134984</v>
      </c>
      <c r="R100" s="13"/>
      <c r="S100" s="13"/>
      <c r="T100" s="13"/>
      <c r="U100" s="13"/>
      <c r="V100" s="13"/>
      <c r="W100" s="13"/>
      <c r="X100" s="13"/>
      <c r="Y100" s="13"/>
    </row>
    <row r="101" spans="1:25" s="10" customFormat="1" ht="51" x14ac:dyDescent="0.2">
      <c r="A101" s="1">
        <v>94</v>
      </c>
      <c r="B101" s="85" t="s">
        <v>11</v>
      </c>
      <c r="C101" s="2" t="s">
        <v>345</v>
      </c>
      <c r="D101" s="85" t="s">
        <v>346</v>
      </c>
      <c r="E101" s="85" t="s">
        <v>347</v>
      </c>
      <c r="F101" s="85" t="s">
        <v>348</v>
      </c>
      <c r="G101" s="14">
        <v>91190</v>
      </c>
      <c r="H101" s="14">
        <f>64600-3800</f>
        <v>60800</v>
      </c>
      <c r="I101" s="15">
        <v>15349</v>
      </c>
      <c r="J101" s="15">
        <v>15310</v>
      </c>
      <c r="K101" s="15">
        <v>15271</v>
      </c>
      <c r="L101" s="15">
        <v>15233</v>
      </c>
      <c r="M101" s="15">
        <v>1</v>
      </c>
      <c r="N101" s="15"/>
      <c r="O101" s="15">
        <v>0</v>
      </c>
      <c r="P101" s="15">
        <v>0</v>
      </c>
      <c r="Q101" s="16">
        <f t="shared" si="2"/>
        <v>61164</v>
      </c>
      <c r="R101" s="13"/>
      <c r="S101" s="13"/>
      <c r="T101" s="13"/>
      <c r="U101" s="13"/>
      <c r="V101" s="13"/>
      <c r="W101" s="13"/>
      <c r="X101" s="13"/>
      <c r="Y101" s="13"/>
    </row>
    <row r="102" spans="1:25" s="10" customFormat="1" ht="38.25" x14ac:dyDescent="0.2">
      <c r="A102" s="1">
        <v>95</v>
      </c>
      <c r="B102" s="85" t="s">
        <v>11</v>
      </c>
      <c r="C102" s="2" t="s">
        <v>349</v>
      </c>
      <c r="D102" s="85" t="s">
        <v>350</v>
      </c>
      <c r="E102" s="85" t="s">
        <v>351</v>
      </c>
      <c r="F102" s="85" t="s">
        <v>352</v>
      </c>
      <c r="G102" s="14">
        <v>400000</v>
      </c>
      <c r="H102" s="14">
        <f>383826-5406</f>
        <v>378420</v>
      </c>
      <c r="I102" s="15">
        <v>38704</v>
      </c>
      <c r="J102" s="15">
        <v>38158</v>
      </c>
      <c r="K102" s="15">
        <v>37148</v>
      </c>
      <c r="L102" s="15">
        <v>36136</v>
      </c>
      <c r="M102" s="15">
        <v>35159</v>
      </c>
      <c r="N102" s="15">
        <v>34110</v>
      </c>
      <c r="O102" s="15">
        <v>33099</v>
      </c>
      <c r="P102" s="15">
        <v>286554</v>
      </c>
      <c r="Q102" s="16">
        <f t="shared" si="2"/>
        <v>539068</v>
      </c>
      <c r="R102" s="13"/>
      <c r="S102" s="13"/>
      <c r="T102" s="13"/>
      <c r="U102" s="13"/>
      <c r="V102" s="13"/>
      <c r="W102" s="13"/>
      <c r="X102" s="13"/>
      <c r="Y102" s="13"/>
    </row>
    <row r="103" spans="1:25" s="10" customFormat="1" ht="25.5" x14ac:dyDescent="0.2">
      <c r="A103" s="1">
        <v>96</v>
      </c>
      <c r="B103" s="85" t="s">
        <v>11</v>
      </c>
      <c r="C103" s="2" t="s">
        <v>353</v>
      </c>
      <c r="D103" s="85" t="s">
        <v>354</v>
      </c>
      <c r="E103" s="85" t="s">
        <v>355</v>
      </c>
      <c r="F103" s="85" t="s">
        <v>356</v>
      </c>
      <c r="G103" s="14">
        <v>72515</v>
      </c>
      <c r="H103" s="14">
        <f>49455-3297</f>
        <v>46158</v>
      </c>
      <c r="I103" s="15">
        <v>13300</v>
      </c>
      <c r="J103" s="15">
        <v>13266</v>
      </c>
      <c r="K103" s="15">
        <v>13233</v>
      </c>
      <c r="L103" s="15">
        <v>6606</v>
      </c>
      <c r="M103" s="15">
        <v>0</v>
      </c>
      <c r="N103" s="15">
        <v>0</v>
      </c>
      <c r="O103" s="15">
        <v>0</v>
      </c>
      <c r="P103" s="15">
        <v>0</v>
      </c>
      <c r="Q103" s="16">
        <f t="shared" si="2"/>
        <v>46405</v>
      </c>
      <c r="R103" s="13"/>
      <c r="S103" s="13"/>
      <c r="T103" s="13"/>
      <c r="U103" s="13"/>
      <c r="V103" s="13"/>
      <c r="W103" s="13"/>
      <c r="X103" s="13"/>
      <c r="Y103" s="13"/>
    </row>
    <row r="104" spans="1:25" s="10" customFormat="1" ht="25.5" x14ac:dyDescent="0.2">
      <c r="A104" s="90">
        <v>97</v>
      </c>
      <c r="B104" s="17" t="s">
        <v>11</v>
      </c>
      <c r="C104" s="97" t="s">
        <v>357</v>
      </c>
      <c r="D104" s="96" t="s">
        <v>358</v>
      </c>
      <c r="E104" s="19" t="s">
        <v>355</v>
      </c>
      <c r="F104" s="19" t="s">
        <v>359</v>
      </c>
      <c r="G104" s="20">
        <v>7677320</v>
      </c>
      <c r="H104" s="20">
        <f>4468813-65619</f>
        <v>4403194</v>
      </c>
      <c r="I104" s="21">
        <v>602013</v>
      </c>
      <c r="J104" s="21">
        <v>589495</v>
      </c>
      <c r="K104" s="21">
        <v>576978</v>
      </c>
      <c r="L104" s="21">
        <v>564460</v>
      </c>
      <c r="M104" s="21">
        <v>551943</v>
      </c>
      <c r="N104" s="21">
        <v>539425</v>
      </c>
      <c r="O104" s="22">
        <v>526908</v>
      </c>
      <c r="P104" s="21">
        <v>8042288</v>
      </c>
      <c r="Q104" s="23">
        <f t="shared" si="2"/>
        <v>11993510</v>
      </c>
      <c r="R104" s="13"/>
      <c r="S104" s="13"/>
      <c r="T104" s="13"/>
      <c r="U104" s="13"/>
      <c r="V104" s="13"/>
      <c r="W104" s="13"/>
      <c r="X104" s="13"/>
      <c r="Y104" s="13"/>
    </row>
    <row r="105" spans="1:25" s="10" customFormat="1" ht="25.5" x14ac:dyDescent="0.2">
      <c r="A105" s="1">
        <v>98</v>
      </c>
      <c r="B105" s="85" t="s">
        <v>11</v>
      </c>
      <c r="C105" s="2" t="s">
        <v>360</v>
      </c>
      <c r="D105" s="85" t="s">
        <v>361</v>
      </c>
      <c r="E105" s="85" t="s">
        <v>362</v>
      </c>
      <c r="F105" s="85" t="s">
        <v>359</v>
      </c>
      <c r="G105" s="14">
        <v>2370000</v>
      </c>
      <c r="H105" s="14">
        <f>2307690-20790</f>
        <v>2286900</v>
      </c>
      <c r="I105" s="15">
        <v>194221</v>
      </c>
      <c r="J105" s="15">
        <v>190535</v>
      </c>
      <c r="K105" s="15">
        <v>186467</v>
      </c>
      <c r="L105" s="15">
        <v>182389</v>
      </c>
      <c r="M105" s="15">
        <v>178564</v>
      </c>
      <c r="N105" s="15">
        <v>174226</v>
      </c>
      <c r="O105" s="15">
        <v>170150</v>
      </c>
      <c r="P105" s="15">
        <v>2590842</v>
      </c>
      <c r="Q105" s="16">
        <f t="shared" si="2"/>
        <v>3867394</v>
      </c>
      <c r="R105" s="13"/>
      <c r="S105" s="13"/>
      <c r="T105" s="13"/>
      <c r="U105" s="13"/>
      <c r="V105" s="13"/>
      <c r="W105" s="13"/>
      <c r="X105" s="13"/>
      <c r="Y105" s="13"/>
    </row>
    <row r="106" spans="1:25" s="10" customFormat="1" ht="25.5" x14ac:dyDescent="0.2">
      <c r="A106" s="1">
        <v>99</v>
      </c>
      <c r="B106" s="85" t="s">
        <v>11</v>
      </c>
      <c r="C106" s="2" t="s">
        <v>363</v>
      </c>
      <c r="D106" s="85" t="s">
        <v>364</v>
      </c>
      <c r="E106" s="85" t="s">
        <v>365</v>
      </c>
      <c r="F106" s="85" t="s">
        <v>359</v>
      </c>
      <c r="G106" s="14">
        <v>2260000</v>
      </c>
      <c r="H106" s="14">
        <f>2200575-19825</f>
        <v>2180750</v>
      </c>
      <c r="I106" s="98">
        <v>186786</v>
      </c>
      <c r="J106" s="98">
        <v>182326</v>
      </c>
      <c r="K106" s="98">
        <v>178423</v>
      </c>
      <c r="L106" s="98">
        <v>174510</v>
      </c>
      <c r="M106" s="98">
        <v>170840</v>
      </c>
      <c r="N106" s="98">
        <v>166678</v>
      </c>
      <c r="O106" s="98">
        <v>162767</v>
      </c>
      <c r="P106" s="98">
        <v>2475828</v>
      </c>
      <c r="Q106" s="16">
        <f t="shared" si="2"/>
        <v>3698158</v>
      </c>
      <c r="R106" s="13"/>
      <c r="S106" s="13"/>
      <c r="T106" s="13"/>
      <c r="U106" s="13"/>
      <c r="V106" s="13"/>
      <c r="W106" s="13"/>
      <c r="X106" s="13"/>
      <c r="Y106" s="13"/>
    </row>
    <row r="107" spans="1:25" s="10" customFormat="1" ht="63.75" x14ac:dyDescent="0.2">
      <c r="A107" s="1">
        <v>100</v>
      </c>
      <c r="B107" s="17" t="s">
        <v>11</v>
      </c>
      <c r="C107" s="97" t="s">
        <v>366</v>
      </c>
      <c r="D107" s="96" t="s">
        <v>367</v>
      </c>
      <c r="E107" s="19" t="s">
        <v>368</v>
      </c>
      <c r="F107" s="19" t="s">
        <v>369</v>
      </c>
      <c r="G107" s="20">
        <v>160283</v>
      </c>
      <c r="H107" s="20">
        <f>61794-2915</f>
        <v>58879</v>
      </c>
      <c r="I107" s="21">
        <v>14310</v>
      </c>
      <c r="J107" s="21">
        <v>13811</v>
      </c>
      <c r="K107" s="21">
        <v>13260</v>
      </c>
      <c r="L107" s="21">
        <v>12707</v>
      </c>
      <c r="M107" s="21">
        <v>12155</v>
      </c>
      <c r="N107" s="21">
        <v>622</v>
      </c>
      <c r="O107" s="22">
        <v>0</v>
      </c>
      <c r="P107" s="21">
        <v>0</v>
      </c>
      <c r="Q107" s="23">
        <f t="shared" si="2"/>
        <v>66865</v>
      </c>
      <c r="R107" s="13"/>
      <c r="S107" s="13"/>
      <c r="T107" s="13"/>
      <c r="U107" s="13"/>
      <c r="V107" s="13"/>
      <c r="W107" s="13"/>
      <c r="X107" s="13"/>
      <c r="Y107" s="13"/>
    </row>
    <row r="108" spans="1:25" s="10" customFormat="1" ht="38.25" x14ac:dyDescent="0.2">
      <c r="A108" s="1">
        <v>101</v>
      </c>
      <c r="B108" s="34" t="s">
        <v>11</v>
      </c>
      <c r="C108" s="97" t="s">
        <v>370</v>
      </c>
      <c r="D108" s="96" t="s">
        <v>371</v>
      </c>
      <c r="E108" s="19" t="s">
        <v>368</v>
      </c>
      <c r="F108" s="19" t="s">
        <v>372</v>
      </c>
      <c r="G108" s="20">
        <v>208435</v>
      </c>
      <c r="H108" s="20">
        <f>171040-5345</f>
        <v>165695</v>
      </c>
      <c r="I108" s="21">
        <v>28816</v>
      </c>
      <c r="J108" s="21">
        <v>27969</v>
      </c>
      <c r="K108" s="21">
        <v>26971</v>
      </c>
      <c r="L108" s="21">
        <v>25972</v>
      </c>
      <c r="M108" s="21">
        <v>24980</v>
      </c>
      <c r="N108" s="21">
        <v>23971</v>
      </c>
      <c r="O108" s="22">
        <v>22972</v>
      </c>
      <c r="P108" s="21">
        <v>16606</v>
      </c>
      <c r="Q108" s="23">
        <f t="shared" si="2"/>
        <v>198257</v>
      </c>
      <c r="R108" s="13"/>
      <c r="S108" s="13"/>
      <c r="T108" s="13"/>
      <c r="U108" s="13"/>
      <c r="V108" s="13"/>
      <c r="W108" s="13"/>
      <c r="X108" s="13"/>
      <c r="Y108" s="13"/>
    </row>
    <row r="109" spans="1:25" s="10" customFormat="1" ht="63.75" x14ac:dyDescent="0.2">
      <c r="A109" s="90">
        <v>102</v>
      </c>
      <c r="B109" s="34" t="s">
        <v>11</v>
      </c>
      <c r="C109" s="97" t="s">
        <v>373</v>
      </c>
      <c r="D109" s="96" t="s">
        <v>374</v>
      </c>
      <c r="E109" s="19" t="s">
        <v>375</v>
      </c>
      <c r="F109" s="19" t="s">
        <v>376</v>
      </c>
      <c r="G109" s="20">
        <v>250550</v>
      </c>
      <c r="H109" s="20">
        <f>216704-6772</f>
        <v>209932</v>
      </c>
      <c r="I109" s="21">
        <v>36406</v>
      </c>
      <c r="J109" s="21">
        <v>35195</v>
      </c>
      <c r="K109" s="21">
        <v>33968</v>
      </c>
      <c r="L109" s="21">
        <v>32738</v>
      </c>
      <c r="M109" s="21">
        <v>31518</v>
      </c>
      <c r="N109" s="21">
        <v>30276</v>
      </c>
      <c r="O109" s="22">
        <v>29046</v>
      </c>
      <c r="P109" s="21">
        <v>21047</v>
      </c>
      <c r="Q109" s="23">
        <f t="shared" si="2"/>
        <v>250194</v>
      </c>
      <c r="R109" s="13"/>
      <c r="S109" s="13"/>
      <c r="T109" s="13"/>
      <c r="U109" s="13"/>
      <c r="V109" s="13"/>
      <c r="W109" s="13"/>
      <c r="X109" s="13"/>
      <c r="Y109" s="13"/>
    </row>
    <row r="110" spans="1:25" s="10" customFormat="1" ht="38.25" x14ac:dyDescent="0.2">
      <c r="A110" s="1">
        <v>103</v>
      </c>
      <c r="B110" s="34" t="s">
        <v>11</v>
      </c>
      <c r="C110" s="97" t="s">
        <v>377</v>
      </c>
      <c r="D110" s="96" t="s">
        <v>378</v>
      </c>
      <c r="E110" s="19" t="s">
        <v>379</v>
      </c>
      <c r="F110" s="19" t="s">
        <v>376</v>
      </c>
      <c r="G110" s="20">
        <v>220000</v>
      </c>
      <c r="H110" s="20">
        <f>180544-5642</f>
        <v>174902</v>
      </c>
      <c r="I110" s="21">
        <v>30343</v>
      </c>
      <c r="J110" s="21">
        <v>29387</v>
      </c>
      <c r="K110" s="21">
        <v>28355</v>
      </c>
      <c r="L110" s="21">
        <v>27320</v>
      </c>
      <c r="M110" s="21">
        <v>26294</v>
      </c>
      <c r="N110" s="21">
        <v>25249</v>
      </c>
      <c r="O110" s="22">
        <v>24215</v>
      </c>
      <c r="P110" s="21">
        <v>17541</v>
      </c>
      <c r="Q110" s="23">
        <f t="shared" si="2"/>
        <v>208704</v>
      </c>
      <c r="R110" s="13"/>
      <c r="S110" s="13"/>
      <c r="T110" s="13"/>
      <c r="U110" s="13"/>
      <c r="V110" s="13"/>
      <c r="W110" s="13"/>
      <c r="X110" s="13"/>
      <c r="Y110" s="13"/>
    </row>
    <row r="111" spans="1:25" s="10" customFormat="1" ht="51" x14ac:dyDescent="0.2">
      <c r="A111" s="1">
        <v>104</v>
      </c>
      <c r="B111" s="24" t="s">
        <v>11</v>
      </c>
      <c r="C111" s="99" t="s">
        <v>380</v>
      </c>
      <c r="D111" s="100" t="s">
        <v>381</v>
      </c>
      <c r="E111" s="35" t="s">
        <v>382</v>
      </c>
      <c r="F111" s="35" t="s">
        <v>383</v>
      </c>
      <c r="G111" s="36">
        <v>117198</v>
      </c>
      <c r="H111" s="36">
        <f>70692-3214</f>
        <v>67478</v>
      </c>
      <c r="I111" s="37">
        <v>15781</v>
      </c>
      <c r="J111" s="37">
        <v>15320</v>
      </c>
      <c r="K111" s="37">
        <v>14720</v>
      </c>
      <c r="L111" s="37">
        <v>14117</v>
      </c>
      <c r="M111" s="37">
        <v>13515</v>
      </c>
      <c r="N111" s="37">
        <v>3301</v>
      </c>
      <c r="O111" s="101">
        <v>0</v>
      </c>
      <c r="P111" s="37">
        <v>0</v>
      </c>
      <c r="Q111" s="38">
        <f t="shared" si="2"/>
        <v>76754</v>
      </c>
      <c r="R111" s="13"/>
      <c r="S111" s="13"/>
      <c r="T111" s="13"/>
      <c r="U111" s="13"/>
      <c r="V111" s="13"/>
      <c r="W111" s="13"/>
      <c r="X111" s="13"/>
      <c r="Y111" s="13"/>
    </row>
    <row r="112" spans="1:25" s="10" customFormat="1" ht="63.75" x14ac:dyDescent="0.2">
      <c r="A112" s="1">
        <v>105</v>
      </c>
      <c r="B112" s="17" t="s">
        <v>11</v>
      </c>
      <c r="C112" s="97" t="s">
        <v>384</v>
      </c>
      <c r="D112" s="102" t="s">
        <v>385</v>
      </c>
      <c r="E112" s="19" t="s">
        <v>386</v>
      </c>
      <c r="F112" s="19" t="s">
        <v>387</v>
      </c>
      <c r="G112" s="20">
        <v>3249914</v>
      </c>
      <c r="H112" s="20">
        <v>3249914</v>
      </c>
      <c r="I112" s="21">
        <v>288345</v>
      </c>
      <c r="J112" s="21">
        <v>276667</v>
      </c>
      <c r="K112" s="21">
        <v>270732</v>
      </c>
      <c r="L112" s="21">
        <v>264780</v>
      </c>
      <c r="M112" s="21">
        <v>259216</v>
      </c>
      <c r="N112" s="21">
        <v>252869</v>
      </c>
      <c r="O112" s="22">
        <v>246922</v>
      </c>
      <c r="P112" s="21">
        <v>3842237</v>
      </c>
      <c r="Q112" s="29">
        <f t="shared" si="2"/>
        <v>5701768</v>
      </c>
      <c r="R112" s="13"/>
      <c r="S112" s="13"/>
      <c r="T112" s="13"/>
      <c r="U112" s="13"/>
      <c r="V112" s="13"/>
      <c r="W112" s="13"/>
      <c r="X112" s="13"/>
      <c r="Y112" s="13"/>
    </row>
    <row r="113" spans="1:38" s="10" customFormat="1" ht="38.25" x14ac:dyDescent="0.2">
      <c r="A113" s="90">
        <v>106</v>
      </c>
      <c r="B113" s="17" t="s">
        <v>11</v>
      </c>
      <c r="C113" s="97" t="s">
        <v>388</v>
      </c>
      <c r="D113" s="96" t="s">
        <v>389</v>
      </c>
      <c r="E113" s="19" t="s">
        <v>386</v>
      </c>
      <c r="F113" s="19" t="s">
        <v>390</v>
      </c>
      <c r="G113" s="20">
        <v>1255956</v>
      </c>
      <c r="H113" s="20">
        <v>1255956</v>
      </c>
      <c r="I113" s="21">
        <v>129592</v>
      </c>
      <c r="J113" s="21">
        <v>124233</v>
      </c>
      <c r="K113" s="21">
        <v>120991</v>
      </c>
      <c r="L113" s="21">
        <v>117740</v>
      </c>
      <c r="M113" s="21">
        <v>114612</v>
      </c>
      <c r="N113" s="74">
        <v>111235</v>
      </c>
      <c r="O113" s="22">
        <v>107987</v>
      </c>
      <c r="P113" s="21">
        <v>1008697</v>
      </c>
      <c r="Q113" s="23">
        <f t="shared" si="2"/>
        <v>1835087</v>
      </c>
      <c r="R113" s="13"/>
      <c r="S113" s="13"/>
      <c r="T113" s="13"/>
      <c r="U113" s="13"/>
      <c r="V113" s="13"/>
      <c r="W113" s="13"/>
      <c r="X113" s="13"/>
      <c r="Y113" s="13"/>
    </row>
    <row r="114" spans="1:38" s="10" customFormat="1" ht="38.25" x14ac:dyDescent="0.2">
      <c r="A114" s="1">
        <v>107</v>
      </c>
      <c r="B114" s="17" t="s">
        <v>11</v>
      </c>
      <c r="C114" s="97" t="s">
        <v>391</v>
      </c>
      <c r="D114" s="96" t="s">
        <v>392</v>
      </c>
      <c r="E114" s="19" t="s">
        <v>393</v>
      </c>
      <c r="F114" s="19" t="s">
        <v>179</v>
      </c>
      <c r="G114" s="20">
        <v>1000000</v>
      </c>
      <c r="H114" s="20">
        <v>1000000</v>
      </c>
      <c r="I114" s="21">
        <v>109560</v>
      </c>
      <c r="J114" s="21">
        <v>106615</v>
      </c>
      <c r="K114" s="21">
        <v>103590</v>
      </c>
      <c r="L114" s="21">
        <v>100558</v>
      </c>
      <c r="M114" s="21">
        <v>97640</v>
      </c>
      <c r="N114" s="21">
        <v>94489</v>
      </c>
      <c r="O114" s="22">
        <v>91459</v>
      </c>
      <c r="P114" s="21">
        <v>834346</v>
      </c>
      <c r="Q114" s="23">
        <f t="shared" si="2"/>
        <v>1538257</v>
      </c>
      <c r="R114" s="13"/>
      <c r="S114" s="13"/>
      <c r="T114" s="13"/>
      <c r="U114" s="13"/>
      <c r="V114" s="13"/>
      <c r="W114" s="13"/>
      <c r="X114" s="13"/>
      <c r="Y114" s="13"/>
    </row>
    <row r="115" spans="1:38" s="10" customFormat="1" ht="51" x14ac:dyDescent="0.2">
      <c r="A115" s="1">
        <v>108</v>
      </c>
      <c r="B115" s="24" t="s">
        <v>11</v>
      </c>
      <c r="C115" s="103" t="s">
        <v>394</v>
      </c>
      <c r="D115" s="104" t="s">
        <v>395</v>
      </c>
      <c r="E115" s="26" t="s">
        <v>393</v>
      </c>
      <c r="F115" s="26" t="s">
        <v>396</v>
      </c>
      <c r="G115" s="27">
        <v>217024</v>
      </c>
      <c r="H115" s="27">
        <v>217024</v>
      </c>
      <c r="I115" s="28">
        <v>35991</v>
      </c>
      <c r="J115" s="28">
        <v>34671</v>
      </c>
      <c r="K115" s="28">
        <v>33430</v>
      </c>
      <c r="L115" s="28">
        <v>32185</v>
      </c>
      <c r="M115" s="28">
        <v>30953</v>
      </c>
      <c r="N115" s="28">
        <v>29694</v>
      </c>
      <c r="O115" s="91">
        <v>28450</v>
      </c>
      <c r="P115" s="28">
        <v>40418</v>
      </c>
      <c r="Q115" s="29">
        <f t="shared" si="2"/>
        <v>265792</v>
      </c>
      <c r="R115" s="13"/>
      <c r="S115" s="13"/>
      <c r="T115" s="13"/>
      <c r="U115" s="13"/>
      <c r="V115" s="13"/>
      <c r="W115" s="13"/>
      <c r="X115" s="13"/>
      <c r="Y115" s="13"/>
    </row>
    <row r="116" spans="1:38" s="10" customFormat="1" ht="63.75" x14ac:dyDescent="0.2">
      <c r="A116" s="1">
        <v>109</v>
      </c>
      <c r="B116" s="17" t="s">
        <v>11</v>
      </c>
      <c r="C116" s="39" t="s">
        <v>397</v>
      </c>
      <c r="D116" s="96" t="s">
        <v>398</v>
      </c>
      <c r="E116" s="19" t="s">
        <v>399</v>
      </c>
      <c r="F116" s="19" t="s">
        <v>400</v>
      </c>
      <c r="G116" s="20">
        <v>152598</v>
      </c>
      <c r="H116" s="20">
        <f>11646-3913</f>
        <v>7733</v>
      </c>
      <c r="I116" s="21">
        <v>8037</v>
      </c>
      <c r="J116" s="21">
        <v>0</v>
      </c>
      <c r="K116" s="21">
        <v>0</v>
      </c>
      <c r="L116" s="21">
        <v>0</v>
      </c>
      <c r="M116" s="21"/>
      <c r="N116" s="21"/>
      <c r="O116" s="22"/>
      <c r="P116" s="21"/>
      <c r="Q116" s="23">
        <f t="shared" si="2"/>
        <v>8037</v>
      </c>
      <c r="R116" s="40"/>
      <c r="S116" s="41"/>
      <c r="T116" s="41"/>
      <c r="U116" s="41"/>
      <c r="V116" s="41"/>
      <c r="W116" s="41"/>
      <c r="X116" s="41"/>
      <c r="Y116" s="41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3"/>
    </row>
    <row r="117" spans="1:38" s="10" customFormat="1" ht="51" x14ac:dyDescent="0.2">
      <c r="A117" s="1">
        <v>110</v>
      </c>
      <c r="B117" s="17" t="s">
        <v>11</v>
      </c>
      <c r="C117" s="39" t="s">
        <v>401</v>
      </c>
      <c r="D117" s="96" t="s">
        <v>402</v>
      </c>
      <c r="E117" s="19" t="s">
        <v>399</v>
      </c>
      <c r="F117" s="19" t="s">
        <v>403</v>
      </c>
      <c r="G117" s="20">
        <v>69808</v>
      </c>
      <c r="H117" s="20">
        <f>63421-1802</f>
        <v>61619</v>
      </c>
      <c r="I117" s="21">
        <v>10602</v>
      </c>
      <c r="J117" s="21">
        <v>10239</v>
      </c>
      <c r="K117" s="20">
        <v>9829</v>
      </c>
      <c r="L117" s="21">
        <v>9419</v>
      </c>
      <c r="M117" s="21">
        <v>9013</v>
      </c>
      <c r="N117" s="21">
        <v>8598</v>
      </c>
      <c r="O117" s="22">
        <v>8188</v>
      </c>
      <c r="P117" s="21">
        <v>11896</v>
      </c>
      <c r="Q117" s="23">
        <f t="shared" si="2"/>
        <v>77784</v>
      </c>
      <c r="R117" s="13"/>
      <c r="S117" s="13"/>
      <c r="T117" s="13"/>
      <c r="U117" s="13"/>
      <c r="V117" s="13"/>
      <c r="W117" s="13"/>
      <c r="X117" s="13"/>
      <c r="Y117" s="13"/>
    </row>
    <row r="118" spans="1:38" s="10" customFormat="1" ht="38.25" x14ac:dyDescent="0.2">
      <c r="A118" s="90">
        <v>111</v>
      </c>
      <c r="B118" s="17" t="s">
        <v>11</v>
      </c>
      <c r="C118" s="39" t="s">
        <v>404</v>
      </c>
      <c r="D118" s="96" t="s">
        <v>405</v>
      </c>
      <c r="E118" s="19" t="s">
        <v>399</v>
      </c>
      <c r="F118" s="19" t="s">
        <v>403</v>
      </c>
      <c r="G118" s="20">
        <v>422605</v>
      </c>
      <c r="H118" s="20">
        <v>304590</v>
      </c>
      <c r="I118" s="21">
        <v>71051</v>
      </c>
      <c r="J118" s="21">
        <v>68578</v>
      </c>
      <c r="K118" s="51">
        <v>65919</v>
      </c>
      <c r="L118" s="20">
        <v>63259</v>
      </c>
      <c r="M118" s="21">
        <v>60600</v>
      </c>
      <c r="N118" s="21">
        <v>57940</v>
      </c>
      <c r="O118" s="21">
        <v>55281</v>
      </c>
      <c r="P118" s="21">
        <v>90509</v>
      </c>
      <c r="Q118" s="23">
        <f t="shared" si="2"/>
        <v>533137</v>
      </c>
      <c r="R118" s="13"/>
      <c r="S118" s="13"/>
      <c r="T118" s="13"/>
      <c r="U118" s="13"/>
      <c r="V118" s="13"/>
      <c r="W118" s="13"/>
      <c r="X118" s="13"/>
      <c r="Y118" s="13"/>
    </row>
    <row r="119" spans="1:38" s="10" customFormat="1" ht="51" x14ac:dyDescent="0.2">
      <c r="A119" s="1">
        <v>112</v>
      </c>
      <c r="B119" s="17" t="s">
        <v>11</v>
      </c>
      <c r="C119" s="39" t="s">
        <v>406</v>
      </c>
      <c r="D119" s="96" t="s">
        <v>407</v>
      </c>
      <c r="E119" s="19" t="s">
        <v>399</v>
      </c>
      <c r="F119" s="19" t="s">
        <v>403</v>
      </c>
      <c r="G119" s="20">
        <v>85445</v>
      </c>
      <c r="H119" s="20">
        <f>78659-2266</f>
        <v>76393</v>
      </c>
      <c r="I119" s="21">
        <v>13271</v>
      </c>
      <c r="J119" s="21">
        <v>12813</v>
      </c>
      <c r="K119" s="20">
        <v>12298</v>
      </c>
      <c r="L119" s="21">
        <v>11783</v>
      </c>
      <c r="M119" s="21">
        <v>11272</v>
      </c>
      <c r="N119" s="21">
        <v>10750</v>
      </c>
      <c r="O119" s="22">
        <v>10235</v>
      </c>
      <c r="P119" s="21">
        <v>13758</v>
      </c>
      <c r="Q119" s="23">
        <f t="shared" si="2"/>
        <v>96180</v>
      </c>
      <c r="R119" s="13"/>
      <c r="S119" s="13"/>
      <c r="T119" s="13"/>
      <c r="U119" s="13"/>
      <c r="V119" s="13"/>
      <c r="W119" s="13"/>
      <c r="X119" s="13"/>
      <c r="Y119" s="13"/>
    </row>
    <row r="120" spans="1:38" s="10" customFormat="1" ht="38.25" x14ac:dyDescent="0.2">
      <c r="A120" s="1">
        <v>113</v>
      </c>
      <c r="B120" s="17" t="s">
        <v>11</v>
      </c>
      <c r="C120" s="39" t="s">
        <v>408</v>
      </c>
      <c r="D120" s="96" t="s">
        <v>409</v>
      </c>
      <c r="E120" s="19" t="s">
        <v>399</v>
      </c>
      <c r="F120" s="19" t="s">
        <v>403</v>
      </c>
      <c r="G120" s="20">
        <v>111292</v>
      </c>
      <c r="H120" s="20">
        <f>101399-3307</f>
        <v>98092</v>
      </c>
      <c r="I120" s="21">
        <v>18616</v>
      </c>
      <c r="J120" s="21">
        <v>17937</v>
      </c>
      <c r="K120" s="20">
        <v>17186</v>
      </c>
      <c r="L120" s="21">
        <v>16434</v>
      </c>
      <c r="M120" s="21">
        <v>15686</v>
      </c>
      <c r="N120" s="21">
        <v>14927</v>
      </c>
      <c r="O120" s="22">
        <v>14175</v>
      </c>
      <c r="P120" s="21">
        <v>5714</v>
      </c>
      <c r="Q120" s="23">
        <f t="shared" si="2"/>
        <v>120675</v>
      </c>
      <c r="R120" s="13"/>
      <c r="S120" s="13"/>
      <c r="T120" s="13"/>
      <c r="U120" s="13"/>
      <c r="V120" s="13"/>
      <c r="W120" s="13"/>
      <c r="X120" s="13"/>
      <c r="Y120" s="13"/>
    </row>
    <row r="121" spans="1:38" s="10" customFormat="1" ht="51" x14ac:dyDescent="0.2">
      <c r="A121" s="1">
        <v>114</v>
      </c>
      <c r="B121" s="24" t="s">
        <v>11</v>
      </c>
      <c r="C121" s="44" t="s">
        <v>410</v>
      </c>
      <c r="D121" s="104" t="s">
        <v>411</v>
      </c>
      <c r="E121" s="26" t="s">
        <v>399</v>
      </c>
      <c r="F121" s="26" t="s">
        <v>403</v>
      </c>
      <c r="G121" s="27">
        <v>104699</v>
      </c>
      <c r="H121" s="27">
        <v>100237</v>
      </c>
      <c r="I121" s="28">
        <v>19040</v>
      </c>
      <c r="J121" s="28">
        <v>18412</v>
      </c>
      <c r="K121" s="27">
        <v>17640</v>
      </c>
      <c r="L121" s="28">
        <v>16866</v>
      </c>
      <c r="M121" s="28">
        <v>16097</v>
      </c>
      <c r="N121" s="28">
        <v>15316</v>
      </c>
      <c r="O121" s="91">
        <v>14543</v>
      </c>
      <c r="P121" s="28">
        <v>5237</v>
      </c>
      <c r="Q121" s="29">
        <f t="shared" si="2"/>
        <v>123151</v>
      </c>
      <c r="R121" s="13"/>
      <c r="S121" s="13"/>
      <c r="T121" s="13"/>
      <c r="U121" s="13"/>
      <c r="V121" s="13"/>
      <c r="W121" s="13"/>
      <c r="X121" s="13"/>
      <c r="Y121" s="13"/>
    </row>
    <row r="122" spans="1:38" s="10" customFormat="1" ht="51" x14ac:dyDescent="0.2">
      <c r="A122" s="90">
        <v>115</v>
      </c>
      <c r="B122" s="24" t="s">
        <v>11</v>
      </c>
      <c r="C122" s="105" t="s">
        <v>412</v>
      </c>
      <c r="D122" s="104" t="s">
        <v>413</v>
      </c>
      <c r="E122" s="19" t="s">
        <v>414</v>
      </c>
      <c r="F122" s="19" t="s">
        <v>415</v>
      </c>
      <c r="G122" s="20">
        <v>1561658</v>
      </c>
      <c r="H122" s="20">
        <v>1561658</v>
      </c>
      <c r="I122" s="21">
        <v>178486</v>
      </c>
      <c r="J122" s="21">
        <v>172717</v>
      </c>
      <c r="K122" s="21">
        <v>167655</v>
      </c>
      <c r="L122" s="21">
        <v>162578</v>
      </c>
      <c r="M122" s="21">
        <v>157700</v>
      </c>
      <c r="N122" s="21">
        <v>152419</v>
      </c>
      <c r="O122" s="22">
        <v>147346</v>
      </c>
      <c r="P122" s="21">
        <v>1372914</v>
      </c>
      <c r="Q122" s="29">
        <f t="shared" si="2"/>
        <v>2511815</v>
      </c>
      <c r="R122" s="13"/>
      <c r="S122" s="13"/>
      <c r="T122" s="13"/>
      <c r="U122" s="13"/>
      <c r="V122" s="13"/>
      <c r="W122" s="13"/>
      <c r="X122" s="13"/>
      <c r="Y122" s="13"/>
    </row>
    <row r="123" spans="1:38" s="10" customFormat="1" ht="63.75" x14ac:dyDescent="0.2">
      <c r="A123" s="1">
        <v>116</v>
      </c>
      <c r="B123" s="24" t="s">
        <v>11</v>
      </c>
      <c r="C123" s="39" t="s">
        <v>416</v>
      </c>
      <c r="D123" s="104" t="s">
        <v>417</v>
      </c>
      <c r="E123" s="19" t="s">
        <v>414</v>
      </c>
      <c r="F123" s="19" t="s">
        <v>201</v>
      </c>
      <c r="G123" s="20">
        <v>188595</v>
      </c>
      <c r="H123" s="20">
        <v>168638</v>
      </c>
      <c r="I123" s="21">
        <v>30695</v>
      </c>
      <c r="J123" s="21">
        <v>29511</v>
      </c>
      <c r="K123" s="21">
        <v>28272</v>
      </c>
      <c r="L123" s="21">
        <v>27030</v>
      </c>
      <c r="M123" s="21">
        <v>25799</v>
      </c>
      <c r="N123" s="21">
        <v>24544</v>
      </c>
      <c r="O123" s="22">
        <v>23303</v>
      </c>
      <c r="P123" s="21">
        <v>23160</v>
      </c>
      <c r="Q123" s="29">
        <f t="shared" si="2"/>
        <v>212314</v>
      </c>
      <c r="R123" s="13"/>
      <c r="S123" s="13"/>
      <c r="T123" s="13"/>
      <c r="U123" s="13"/>
      <c r="V123" s="13"/>
      <c r="W123" s="13"/>
      <c r="X123" s="13"/>
      <c r="Y123" s="13"/>
    </row>
    <row r="124" spans="1:38" s="10" customFormat="1" ht="51" x14ac:dyDescent="0.2">
      <c r="A124" s="1">
        <v>117</v>
      </c>
      <c r="B124" s="17" t="s">
        <v>11</v>
      </c>
      <c r="C124" s="39" t="s">
        <v>418</v>
      </c>
      <c r="D124" s="96" t="s">
        <v>419</v>
      </c>
      <c r="E124" s="19" t="s">
        <v>414</v>
      </c>
      <c r="F124" s="19" t="s">
        <v>420</v>
      </c>
      <c r="G124" s="20">
        <v>75785</v>
      </c>
      <c r="H124" s="27">
        <v>72293</v>
      </c>
      <c r="I124" s="28">
        <v>16635</v>
      </c>
      <c r="J124" s="28">
        <v>15962</v>
      </c>
      <c r="K124" s="28">
        <v>15235</v>
      </c>
      <c r="L124" s="28">
        <v>14505</v>
      </c>
      <c r="M124" s="28">
        <v>13778</v>
      </c>
      <c r="N124" s="28">
        <v>9554</v>
      </c>
      <c r="O124" s="91">
        <v>0</v>
      </c>
      <c r="P124" s="28">
        <v>0</v>
      </c>
      <c r="Q124" s="29">
        <f t="shared" si="2"/>
        <v>85669</v>
      </c>
      <c r="R124" s="13"/>
      <c r="S124" s="13"/>
      <c r="T124" s="13"/>
      <c r="U124" s="13"/>
      <c r="V124" s="13"/>
      <c r="W124" s="13"/>
      <c r="X124" s="13"/>
      <c r="Y124" s="13"/>
    </row>
    <row r="125" spans="1:38" s="10" customFormat="1" ht="51" x14ac:dyDescent="0.2">
      <c r="A125" s="1">
        <v>118</v>
      </c>
      <c r="B125" s="17" t="s">
        <v>11</v>
      </c>
      <c r="C125" s="39" t="s">
        <v>421</v>
      </c>
      <c r="D125" s="96" t="s">
        <v>422</v>
      </c>
      <c r="E125" s="19" t="s">
        <v>423</v>
      </c>
      <c r="F125" s="19" t="s">
        <v>424</v>
      </c>
      <c r="G125" s="20">
        <v>1862367</v>
      </c>
      <c r="H125" s="20">
        <v>1307910</v>
      </c>
      <c r="I125" s="21">
        <v>178250</v>
      </c>
      <c r="J125" s="21">
        <v>174273</v>
      </c>
      <c r="K125" s="21">
        <v>169996</v>
      </c>
      <c r="L125" s="21">
        <v>165718</v>
      </c>
      <c r="M125" s="21">
        <v>161441</v>
      </c>
      <c r="N125" s="22">
        <v>157164</v>
      </c>
      <c r="O125" s="21">
        <v>152887</v>
      </c>
      <c r="P125" s="21">
        <v>1526005</v>
      </c>
      <c r="Q125" s="23">
        <f t="shared" si="2"/>
        <v>2685734</v>
      </c>
      <c r="R125" s="13"/>
      <c r="S125" s="13"/>
      <c r="T125" s="13"/>
      <c r="U125" s="13"/>
      <c r="V125" s="13"/>
      <c r="W125" s="13"/>
      <c r="X125" s="13"/>
      <c r="Y125" s="13"/>
    </row>
    <row r="126" spans="1:38" s="10" customFormat="1" ht="38.25" x14ac:dyDescent="0.2">
      <c r="A126" s="1">
        <v>119</v>
      </c>
      <c r="B126" s="34" t="s">
        <v>11</v>
      </c>
      <c r="C126" s="44" t="s">
        <v>425</v>
      </c>
      <c r="D126" s="104" t="s">
        <v>426</v>
      </c>
      <c r="E126" s="26" t="s">
        <v>427</v>
      </c>
      <c r="F126" s="26" t="s">
        <v>220</v>
      </c>
      <c r="G126" s="27">
        <v>868652</v>
      </c>
      <c r="H126" s="27">
        <v>831711</v>
      </c>
      <c r="I126" s="28">
        <v>83305</v>
      </c>
      <c r="J126" s="28">
        <v>81423</v>
      </c>
      <c r="K126" s="28">
        <v>79416</v>
      </c>
      <c r="L126" s="28">
        <v>77409</v>
      </c>
      <c r="M126" s="28">
        <v>75402</v>
      </c>
      <c r="N126" s="28">
        <v>73395</v>
      </c>
      <c r="O126" s="91">
        <v>71389</v>
      </c>
      <c r="P126" s="28">
        <v>723117</v>
      </c>
      <c r="Q126" s="29">
        <f t="shared" si="2"/>
        <v>1264856</v>
      </c>
      <c r="R126" s="13"/>
      <c r="S126" s="13"/>
      <c r="T126" s="13"/>
      <c r="U126" s="13"/>
      <c r="V126" s="13"/>
      <c r="W126" s="13"/>
      <c r="X126" s="13"/>
      <c r="Y126" s="13"/>
    </row>
    <row r="127" spans="1:38" s="10" customFormat="1" ht="38.25" x14ac:dyDescent="0.2">
      <c r="A127" s="90">
        <v>120</v>
      </c>
      <c r="B127" s="17" t="s">
        <v>11</v>
      </c>
      <c r="C127" s="39" t="s">
        <v>428</v>
      </c>
      <c r="D127" s="96" t="s">
        <v>429</v>
      </c>
      <c r="E127" s="19" t="s">
        <v>430</v>
      </c>
      <c r="F127" s="19" t="s">
        <v>44</v>
      </c>
      <c r="G127" s="20">
        <v>817850</v>
      </c>
      <c r="H127" s="20">
        <v>817850</v>
      </c>
      <c r="I127" s="21">
        <v>119834</v>
      </c>
      <c r="J127" s="21">
        <v>116748</v>
      </c>
      <c r="K127" s="21">
        <v>113082</v>
      </c>
      <c r="L127" s="21">
        <v>109405</v>
      </c>
      <c r="M127" s="21">
        <v>105777</v>
      </c>
      <c r="N127" s="22">
        <v>102047</v>
      </c>
      <c r="O127" s="22">
        <v>98373</v>
      </c>
      <c r="P127" s="21">
        <v>229992</v>
      </c>
      <c r="Q127" s="23">
        <f t="shared" si="2"/>
        <v>995258</v>
      </c>
      <c r="R127" s="13"/>
      <c r="S127" s="13"/>
      <c r="T127" s="13"/>
      <c r="U127" s="13"/>
      <c r="V127" s="13"/>
      <c r="W127" s="13"/>
      <c r="X127" s="13"/>
      <c r="Y127" s="13"/>
    </row>
    <row r="128" spans="1:38" s="10" customFormat="1" ht="76.5" x14ac:dyDescent="0.2">
      <c r="A128" s="1">
        <v>121</v>
      </c>
      <c r="B128" s="17" t="s">
        <v>11</v>
      </c>
      <c r="C128" s="39" t="s">
        <v>431</v>
      </c>
      <c r="D128" s="96" t="s">
        <v>432</v>
      </c>
      <c r="E128" s="19" t="s">
        <v>433</v>
      </c>
      <c r="F128" s="19" t="s">
        <v>434</v>
      </c>
      <c r="G128" s="20">
        <v>420661</v>
      </c>
      <c r="H128" s="20">
        <v>329850</v>
      </c>
      <c r="I128" s="21">
        <v>47224</v>
      </c>
      <c r="J128" s="21">
        <v>46031</v>
      </c>
      <c r="K128" s="21">
        <v>44758</v>
      </c>
      <c r="L128" s="21">
        <v>43486</v>
      </c>
      <c r="M128" s="21">
        <v>42213</v>
      </c>
      <c r="N128" s="22">
        <v>40941</v>
      </c>
      <c r="O128" s="22">
        <v>39668</v>
      </c>
      <c r="P128" s="21">
        <v>257019</v>
      </c>
      <c r="Q128" s="23">
        <f t="shared" si="2"/>
        <v>561340</v>
      </c>
      <c r="R128" s="13"/>
      <c r="S128" s="13"/>
      <c r="T128" s="13"/>
      <c r="U128" s="13"/>
      <c r="V128" s="13"/>
      <c r="W128" s="13"/>
      <c r="X128" s="13"/>
      <c r="Y128" s="13"/>
    </row>
    <row r="129" spans="1:38" s="10" customFormat="1" ht="38.25" x14ac:dyDescent="0.2">
      <c r="A129" s="1">
        <v>122</v>
      </c>
      <c r="B129" s="17" t="s">
        <v>11</v>
      </c>
      <c r="C129" s="39" t="s">
        <v>435</v>
      </c>
      <c r="D129" s="96" t="s">
        <v>436</v>
      </c>
      <c r="E129" s="19" t="s">
        <v>433</v>
      </c>
      <c r="F129" s="19" t="s">
        <v>434</v>
      </c>
      <c r="G129" s="20">
        <v>425101</v>
      </c>
      <c r="H129" s="20">
        <v>424514</v>
      </c>
      <c r="I129" s="21">
        <v>47724</v>
      </c>
      <c r="J129" s="21">
        <v>46518</v>
      </c>
      <c r="K129" s="21">
        <v>45232</v>
      </c>
      <c r="L129" s="21">
        <v>43946</v>
      </c>
      <c r="M129" s="21">
        <v>42660</v>
      </c>
      <c r="N129" s="22">
        <v>41374</v>
      </c>
      <c r="O129" s="22">
        <v>40088</v>
      </c>
      <c r="P129" s="21">
        <v>259713</v>
      </c>
      <c r="Q129" s="23">
        <f t="shared" si="2"/>
        <v>567255</v>
      </c>
      <c r="R129" s="13"/>
      <c r="S129" s="13"/>
      <c r="T129" s="13"/>
      <c r="U129" s="13"/>
      <c r="V129" s="13"/>
      <c r="W129" s="13"/>
      <c r="X129" s="13"/>
      <c r="Y129" s="13"/>
    </row>
    <row r="130" spans="1:38" s="10" customFormat="1" ht="51" x14ac:dyDescent="0.2">
      <c r="A130" s="1">
        <v>123</v>
      </c>
      <c r="B130" s="17" t="s">
        <v>11</v>
      </c>
      <c r="C130" s="106" t="s">
        <v>421</v>
      </c>
      <c r="D130" s="96" t="s">
        <v>437</v>
      </c>
      <c r="E130" s="107" t="s">
        <v>438</v>
      </c>
      <c r="F130" s="19" t="s">
        <v>439</v>
      </c>
      <c r="G130" s="20">
        <v>60653</v>
      </c>
      <c r="H130" s="20">
        <v>60653</v>
      </c>
      <c r="I130" s="21">
        <v>6219</v>
      </c>
      <c r="J130" s="21">
        <v>6059</v>
      </c>
      <c r="K130" s="21">
        <v>5899</v>
      </c>
      <c r="L130" s="21">
        <v>5738</v>
      </c>
      <c r="M130" s="21">
        <v>5584</v>
      </c>
      <c r="N130" s="21">
        <v>5416</v>
      </c>
      <c r="O130" s="22">
        <v>5255</v>
      </c>
      <c r="P130" s="21">
        <v>52915</v>
      </c>
      <c r="Q130" s="23">
        <f t="shared" si="2"/>
        <v>93085</v>
      </c>
      <c r="R130" s="13"/>
      <c r="S130" s="13"/>
      <c r="T130" s="13"/>
      <c r="U130" s="13"/>
      <c r="V130" s="13"/>
      <c r="W130" s="13"/>
      <c r="X130" s="13"/>
      <c r="Y130" s="13"/>
    </row>
    <row r="131" spans="1:38" s="10" customFormat="1" ht="25.5" x14ac:dyDescent="0.2">
      <c r="A131" s="90">
        <v>124</v>
      </c>
      <c r="B131" s="17" t="s">
        <v>11</v>
      </c>
      <c r="C131" s="39" t="s">
        <v>440</v>
      </c>
      <c r="D131" s="96" t="s">
        <v>515</v>
      </c>
      <c r="E131" s="107" t="s">
        <v>441</v>
      </c>
      <c r="F131" s="19" t="s">
        <v>35</v>
      </c>
      <c r="G131" s="20">
        <v>92004</v>
      </c>
      <c r="H131" s="20">
        <v>84497</v>
      </c>
      <c r="I131" s="21">
        <v>13194</v>
      </c>
      <c r="J131" s="21">
        <v>12826</v>
      </c>
      <c r="K131" s="21">
        <v>12433</v>
      </c>
      <c r="L131" s="21">
        <v>12040</v>
      </c>
      <c r="M131" s="21">
        <v>11647</v>
      </c>
      <c r="N131" s="22">
        <v>11255</v>
      </c>
      <c r="O131" s="22">
        <v>10862</v>
      </c>
      <c r="P131" s="21">
        <v>27834</v>
      </c>
      <c r="Q131" s="23">
        <f t="shared" si="2"/>
        <v>112091</v>
      </c>
      <c r="R131" s="13"/>
      <c r="S131" s="13"/>
      <c r="T131" s="13"/>
      <c r="U131" s="13"/>
      <c r="V131" s="13"/>
      <c r="W131" s="13"/>
      <c r="X131" s="13"/>
      <c r="Y131" s="13"/>
    </row>
    <row r="132" spans="1:38" s="10" customFormat="1" ht="51" x14ac:dyDescent="0.2">
      <c r="A132" s="1">
        <v>125</v>
      </c>
      <c r="B132" s="17" t="s">
        <v>11</v>
      </c>
      <c r="C132" s="39" t="s">
        <v>442</v>
      </c>
      <c r="D132" s="96" t="s">
        <v>443</v>
      </c>
      <c r="E132" s="19" t="s">
        <v>444</v>
      </c>
      <c r="F132" s="19" t="s">
        <v>445</v>
      </c>
      <c r="G132" s="20">
        <v>239876</v>
      </c>
      <c r="H132" s="20">
        <v>23988</v>
      </c>
      <c r="I132" s="21">
        <v>5740</v>
      </c>
      <c r="J132" s="21">
        <v>27743</v>
      </c>
      <c r="K132" s="21">
        <v>27031</v>
      </c>
      <c r="L132" s="21">
        <v>26272</v>
      </c>
      <c r="M132" s="21">
        <v>25513</v>
      </c>
      <c r="N132" s="22">
        <v>24753</v>
      </c>
      <c r="O132" s="22">
        <v>23994</v>
      </c>
      <c r="P132" s="21">
        <v>160229</v>
      </c>
      <c r="Q132" s="23">
        <f t="shared" si="2"/>
        <v>321275</v>
      </c>
      <c r="R132" s="13"/>
      <c r="S132" s="13"/>
      <c r="T132" s="13"/>
      <c r="U132" s="13"/>
      <c r="V132" s="13"/>
      <c r="W132" s="13"/>
      <c r="X132" s="13"/>
      <c r="Y132" s="13"/>
    </row>
    <row r="133" spans="1:38" s="10" customFormat="1" ht="51" x14ac:dyDescent="0.2">
      <c r="A133" s="1">
        <v>126</v>
      </c>
      <c r="B133" s="17" t="s">
        <v>11</v>
      </c>
      <c r="C133" s="39" t="s">
        <v>446</v>
      </c>
      <c r="D133" s="96" t="s">
        <v>447</v>
      </c>
      <c r="E133" s="19" t="s">
        <v>444</v>
      </c>
      <c r="F133" s="19" t="s">
        <v>445</v>
      </c>
      <c r="G133" s="20">
        <v>472143</v>
      </c>
      <c r="H133" s="20">
        <v>47122</v>
      </c>
      <c r="I133" s="21">
        <v>11297</v>
      </c>
      <c r="J133" s="21">
        <v>54603</v>
      </c>
      <c r="K133" s="21">
        <v>53202</v>
      </c>
      <c r="L133" s="21">
        <v>51708</v>
      </c>
      <c r="M133" s="21">
        <v>50214</v>
      </c>
      <c r="N133" s="22">
        <v>48720</v>
      </c>
      <c r="O133" s="22">
        <v>47226</v>
      </c>
      <c r="P133" s="21">
        <v>315398</v>
      </c>
      <c r="Q133" s="23">
        <f t="shared" si="2"/>
        <v>632368</v>
      </c>
      <c r="R133" s="13"/>
      <c r="S133" s="13"/>
      <c r="T133" s="13"/>
      <c r="U133" s="13"/>
      <c r="V133" s="13"/>
      <c r="W133" s="13"/>
      <c r="X133" s="13"/>
      <c r="Y133" s="13"/>
    </row>
    <row r="134" spans="1:38" s="10" customFormat="1" ht="38.25" x14ac:dyDescent="0.2">
      <c r="A134" s="1">
        <v>127</v>
      </c>
      <c r="B134" s="17" t="s">
        <v>11</v>
      </c>
      <c r="C134" s="39" t="s">
        <v>448</v>
      </c>
      <c r="D134" s="96" t="s">
        <v>449</v>
      </c>
      <c r="E134" s="19" t="s">
        <v>444</v>
      </c>
      <c r="F134" s="19" t="s">
        <v>445</v>
      </c>
      <c r="G134" s="20">
        <v>382014</v>
      </c>
      <c r="H134" s="20">
        <v>199185</v>
      </c>
      <c r="I134" s="21">
        <v>42310</v>
      </c>
      <c r="J134" s="21">
        <v>41254</v>
      </c>
      <c r="K134" s="21">
        <v>40127</v>
      </c>
      <c r="L134" s="21">
        <v>39000</v>
      </c>
      <c r="M134" s="21">
        <v>37873</v>
      </c>
      <c r="N134" s="22">
        <v>36746</v>
      </c>
      <c r="O134" s="22">
        <v>35619</v>
      </c>
      <c r="P134" s="21">
        <v>237898</v>
      </c>
      <c r="Q134" s="23">
        <f t="shared" si="2"/>
        <v>510827</v>
      </c>
      <c r="R134" s="13"/>
      <c r="S134" s="13"/>
      <c r="T134" s="13"/>
      <c r="U134" s="13"/>
      <c r="V134" s="13"/>
      <c r="W134" s="13"/>
      <c r="X134" s="13"/>
      <c r="Y134" s="13"/>
    </row>
    <row r="135" spans="1:38" s="88" customFormat="1" ht="63.75" x14ac:dyDescent="0.2">
      <c r="A135" s="1">
        <v>128</v>
      </c>
      <c r="B135" s="17" t="s">
        <v>11</v>
      </c>
      <c r="C135" s="108" t="s">
        <v>450</v>
      </c>
      <c r="D135" s="96" t="s">
        <v>451</v>
      </c>
      <c r="E135" s="19" t="s">
        <v>452</v>
      </c>
      <c r="F135" s="109" t="s">
        <v>453</v>
      </c>
      <c r="G135" s="110">
        <v>324703</v>
      </c>
      <c r="H135" s="111">
        <v>324703</v>
      </c>
      <c r="I135" s="112">
        <v>26826</v>
      </c>
      <c r="J135" s="110">
        <v>26322</v>
      </c>
      <c r="K135" s="110">
        <v>25783</v>
      </c>
      <c r="L135" s="110">
        <v>25245</v>
      </c>
      <c r="M135" s="110">
        <v>24707</v>
      </c>
      <c r="N135" s="110">
        <v>24168</v>
      </c>
      <c r="O135" s="110">
        <v>23630</v>
      </c>
      <c r="P135" s="110">
        <v>392156</v>
      </c>
      <c r="Q135" s="110">
        <f>SUM(I135:P135)</f>
        <v>568837</v>
      </c>
      <c r="R135" s="89"/>
      <c r="S135" s="89"/>
      <c r="T135" s="89"/>
      <c r="U135" s="89"/>
      <c r="V135" s="89"/>
      <c r="W135" s="89"/>
      <c r="X135" s="89"/>
      <c r="Y135" s="89"/>
    </row>
    <row r="136" spans="1:38" s="10" customFormat="1" ht="25.5" x14ac:dyDescent="0.2">
      <c r="A136" s="90">
        <v>129</v>
      </c>
      <c r="B136" s="17" t="s">
        <v>11</v>
      </c>
      <c r="C136" s="39" t="s">
        <v>454</v>
      </c>
      <c r="D136" s="96" t="s">
        <v>455</v>
      </c>
      <c r="E136" s="19" t="s">
        <v>452</v>
      </c>
      <c r="F136" s="19" t="s">
        <v>267</v>
      </c>
      <c r="G136" s="20">
        <v>94525</v>
      </c>
      <c r="H136" s="20">
        <v>94525</v>
      </c>
      <c r="I136" s="113">
        <v>17790</v>
      </c>
      <c r="J136" s="114">
        <v>17319</v>
      </c>
      <c r="K136" s="114">
        <v>16727</v>
      </c>
      <c r="L136" s="114">
        <v>16134</v>
      </c>
      <c r="M136" s="114">
        <v>15545</v>
      </c>
      <c r="N136" s="114">
        <v>14948</v>
      </c>
      <c r="O136" s="115">
        <v>10852</v>
      </c>
      <c r="P136" s="114">
        <v>0</v>
      </c>
      <c r="Q136" s="110">
        <f>SUM(I136:P136)</f>
        <v>109315</v>
      </c>
      <c r="R136" s="13"/>
      <c r="S136" s="13"/>
      <c r="T136" s="13"/>
      <c r="U136" s="13"/>
      <c r="V136" s="13"/>
      <c r="W136" s="13"/>
      <c r="X136" s="13"/>
      <c r="Y136" s="13"/>
    </row>
    <row r="137" spans="1:38" s="3" customFormat="1" ht="12.75" x14ac:dyDescent="0.2">
      <c r="A137" s="92"/>
      <c r="B137" s="45" t="s">
        <v>456</v>
      </c>
      <c r="C137" s="46"/>
      <c r="D137" s="116"/>
      <c r="E137" s="92" t="s">
        <v>457</v>
      </c>
      <c r="F137" s="92"/>
      <c r="G137" s="47">
        <f t="shared" ref="G137:Q137" si="3">SUM(G8:G136)</f>
        <v>83728886</v>
      </c>
      <c r="H137" s="47">
        <f t="shared" si="3"/>
        <v>52851116</v>
      </c>
      <c r="I137" s="47">
        <f t="shared" si="3"/>
        <v>6810405</v>
      </c>
      <c r="J137" s="47">
        <f t="shared" si="3"/>
        <v>6504490</v>
      </c>
      <c r="K137" s="47">
        <f t="shared" si="3"/>
        <v>6216345</v>
      </c>
      <c r="L137" s="47">
        <f t="shared" si="3"/>
        <v>5851358</v>
      </c>
      <c r="M137" s="47">
        <f t="shared" si="3"/>
        <v>5430536</v>
      </c>
      <c r="N137" s="47">
        <f t="shared" si="3"/>
        <v>4926164</v>
      </c>
      <c r="O137" s="47">
        <f t="shared" si="3"/>
        <v>4690837</v>
      </c>
      <c r="P137" s="47">
        <f t="shared" si="3"/>
        <v>43860383</v>
      </c>
      <c r="Q137" s="47">
        <f t="shared" si="3"/>
        <v>84290518</v>
      </c>
      <c r="R137" s="47">
        <f t="shared" ref="R137:AL137" si="4">SUM(R8:R129)</f>
        <v>0</v>
      </c>
      <c r="S137" s="47">
        <f t="shared" si="4"/>
        <v>0</v>
      </c>
      <c r="T137" s="47">
        <f t="shared" si="4"/>
        <v>0</v>
      </c>
      <c r="U137" s="47">
        <f t="shared" si="4"/>
        <v>0</v>
      </c>
      <c r="V137" s="47">
        <f t="shared" si="4"/>
        <v>0</v>
      </c>
      <c r="W137" s="47">
        <f t="shared" si="4"/>
        <v>0</v>
      </c>
      <c r="X137" s="47">
        <f t="shared" si="4"/>
        <v>0</v>
      </c>
      <c r="Y137" s="47">
        <f t="shared" si="4"/>
        <v>0</v>
      </c>
      <c r="Z137" s="47">
        <f t="shared" si="4"/>
        <v>0</v>
      </c>
      <c r="AA137" s="47">
        <f t="shared" si="4"/>
        <v>0</v>
      </c>
      <c r="AB137" s="47">
        <f t="shared" si="4"/>
        <v>0</v>
      </c>
      <c r="AC137" s="47">
        <f t="shared" si="4"/>
        <v>0</v>
      </c>
      <c r="AD137" s="47">
        <f t="shared" si="4"/>
        <v>0</v>
      </c>
      <c r="AE137" s="47">
        <f t="shared" si="4"/>
        <v>0</v>
      </c>
      <c r="AF137" s="47">
        <f t="shared" si="4"/>
        <v>0</v>
      </c>
      <c r="AG137" s="47">
        <f t="shared" si="4"/>
        <v>0</v>
      </c>
      <c r="AH137" s="47">
        <f t="shared" si="4"/>
        <v>0</v>
      </c>
      <c r="AI137" s="47">
        <f t="shared" si="4"/>
        <v>0</v>
      </c>
      <c r="AJ137" s="47">
        <f t="shared" si="4"/>
        <v>0</v>
      </c>
      <c r="AK137" s="47">
        <f t="shared" si="4"/>
        <v>0</v>
      </c>
      <c r="AL137" s="47">
        <f t="shared" si="4"/>
        <v>0</v>
      </c>
    </row>
    <row r="138" spans="1:38" s="52" customFormat="1" ht="12.75" x14ac:dyDescent="0.2">
      <c r="A138" s="86"/>
      <c r="B138" s="117"/>
      <c r="C138" s="117"/>
      <c r="D138" s="117"/>
      <c r="E138" s="86"/>
      <c r="F138" s="86"/>
      <c r="G138" s="48"/>
      <c r="H138" s="48"/>
      <c r="I138" s="50"/>
      <c r="J138" s="49"/>
      <c r="K138" s="49"/>
      <c r="L138" s="49"/>
      <c r="M138" s="49"/>
      <c r="N138" s="49"/>
      <c r="O138" s="49"/>
      <c r="P138" s="49"/>
      <c r="Q138" s="51"/>
      <c r="V138" s="53"/>
      <c r="Y138" s="53"/>
    </row>
    <row r="139" spans="1:38" s="52" customFormat="1" ht="15" x14ac:dyDescent="0.2">
      <c r="A139" s="54"/>
      <c r="B139" s="149" t="s">
        <v>458</v>
      </c>
      <c r="C139" s="149"/>
      <c r="D139" s="55"/>
      <c r="E139" s="56"/>
      <c r="F139" s="56"/>
      <c r="G139" s="57"/>
      <c r="H139" s="57"/>
      <c r="I139" s="50"/>
      <c r="J139" s="50"/>
      <c r="K139" s="50"/>
      <c r="L139" s="50"/>
      <c r="M139" s="50"/>
      <c r="N139" s="50"/>
      <c r="O139" s="50"/>
      <c r="P139" s="50"/>
      <c r="Q139" s="50"/>
      <c r="V139" s="53"/>
      <c r="Y139" s="53"/>
    </row>
    <row r="140" spans="1:38" s="52" customFormat="1" ht="37.5" customHeight="1" x14ac:dyDescent="0.25">
      <c r="A140" s="85" t="s">
        <v>459</v>
      </c>
      <c r="B140" s="85" t="s">
        <v>11</v>
      </c>
      <c r="C140" s="2" t="s">
        <v>460</v>
      </c>
      <c r="D140" s="85" t="s">
        <v>461</v>
      </c>
      <c r="E140" s="85" t="s">
        <v>462</v>
      </c>
      <c r="F140" s="85" t="s">
        <v>463</v>
      </c>
      <c r="G140" s="14">
        <v>1665239.53</v>
      </c>
      <c r="H140" s="14">
        <v>915840</v>
      </c>
      <c r="I140" s="58">
        <v>120714</v>
      </c>
      <c r="J140" s="58">
        <v>117729</v>
      </c>
      <c r="K140" s="58">
        <v>114235</v>
      </c>
      <c r="L140" s="58">
        <v>110731</v>
      </c>
      <c r="M140" s="58">
        <v>107288</v>
      </c>
      <c r="N140" s="58">
        <v>106556</v>
      </c>
      <c r="O140" s="58">
        <v>100219</v>
      </c>
      <c r="P140" s="58">
        <v>365868</v>
      </c>
      <c r="Q140" s="16">
        <f t="shared" ref="Q140:Q147" si="5">SUM(I140:P140)</f>
        <v>1143340</v>
      </c>
      <c r="V140" s="53"/>
      <c r="Y140" s="53"/>
    </row>
    <row r="141" spans="1:38" s="52" customFormat="1" ht="25.5" x14ac:dyDescent="0.25">
      <c r="A141" s="85" t="s">
        <v>464</v>
      </c>
      <c r="B141" s="85" t="s">
        <v>11</v>
      </c>
      <c r="C141" s="2" t="s">
        <v>465</v>
      </c>
      <c r="D141" s="85" t="s">
        <v>466</v>
      </c>
      <c r="E141" s="85" t="s">
        <v>462</v>
      </c>
      <c r="F141" s="85" t="s">
        <v>467</v>
      </c>
      <c r="G141" s="14">
        <v>135399.06</v>
      </c>
      <c r="H141" s="14">
        <v>61366</v>
      </c>
      <c r="I141" s="58">
        <v>9721</v>
      </c>
      <c r="J141" s="58">
        <v>9452</v>
      </c>
      <c r="K141" s="58">
        <v>9149</v>
      </c>
      <c r="L141" s="58">
        <v>8845</v>
      </c>
      <c r="M141" s="58">
        <v>8544</v>
      </c>
      <c r="N141" s="58">
        <v>8237</v>
      </c>
      <c r="O141" s="58">
        <v>7933</v>
      </c>
      <c r="P141" s="58">
        <v>11313</v>
      </c>
      <c r="Q141" s="16">
        <f t="shared" si="5"/>
        <v>73194</v>
      </c>
      <c r="V141" s="53"/>
      <c r="Y141" s="53"/>
    </row>
    <row r="142" spans="1:38" s="52" customFormat="1" ht="25.5" x14ac:dyDescent="0.25">
      <c r="A142" s="85" t="s">
        <v>468</v>
      </c>
      <c r="B142" s="85" t="s">
        <v>11</v>
      </c>
      <c r="C142" s="2" t="s">
        <v>469</v>
      </c>
      <c r="D142" s="85" t="s">
        <v>470</v>
      </c>
      <c r="E142" s="85" t="s">
        <v>462</v>
      </c>
      <c r="F142" s="85" t="s">
        <v>467</v>
      </c>
      <c r="G142" s="14">
        <v>197450</v>
      </c>
      <c r="H142" s="14">
        <v>89446</v>
      </c>
      <c r="I142" s="58">
        <v>14178</v>
      </c>
      <c r="J142" s="58">
        <v>13785</v>
      </c>
      <c r="K142" s="58">
        <v>13343</v>
      </c>
      <c r="L142" s="58">
        <v>12900</v>
      </c>
      <c r="M142" s="58">
        <v>12461</v>
      </c>
      <c r="N142" s="58">
        <v>12012</v>
      </c>
      <c r="O142" s="58">
        <v>11570</v>
      </c>
      <c r="P142" s="58">
        <v>16451</v>
      </c>
      <c r="Q142" s="16">
        <f t="shared" si="5"/>
        <v>106700</v>
      </c>
      <c r="V142" s="53"/>
      <c r="Y142" s="53"/>
    </row>
    <row r="143" spans="1:38" s="52" customFormat="1" ht="38.25" x14ac:dyDescent="0.25">
      <c r="A143" s="85" t="s">
        <v>471</v>
      </c>
      <c r="B143" s="85" t="s">
        <v>11</v>
      </c>
      <c r="C143" s="2" t="s">
        <v>472</v>
      </c>
      <c r="D143" s="85" t="s">
        <v>473</v>
      </c>
      <c r="E143" s="85" t="s">
        <v>474</v>
      </c>
      <c r="F143" s="85" t="s">
        <v>141</v>
      </c>
      <c r="G143" s="14">
        <v>383989</v>
      </c>
      <c r="H143" s="14">
        <v>189530</v>
      </c>
      <c r="I143" s="58">
        <v>28433</v>
      </c>
      <c r="J143" s="58">
        <v>28004</v>
      </c>
      <c r="K143" s="58">
        <v>27121</v>
      </c>
      <c r="L143" s="58">
        <v>26235</v>
      </c>
      <c r="M143" s="58">
        <v>25359</v>
      </c>
      <c r="N143" s="58">
        <v>24461</v>
      </c>
      <c r="O143" s="58">
        <v>23576</v>
      </c>
      <c r="P143" s="58">
        <v>44551</v>
      </c>
      <c r="Q143" s="16">
        <f t="shared" si="5"/>
        <v>227740</v>
      </c>
      <c r="V143" s="53"/>
      <c r="Y143" s="53"/>
    </row>
    <row r="144" spans="1:38" s="52" customFormat="1" ht="51" x14ac:dyDescent="0.2">
      <c r="A144" s="85" t="s">
        <v>475</v>
      </c>
      <c r="B144" s="96" t="s">
        <v>11</v>
      </c>
      <c r="C144" s="118" t="s">
        <v>476</v>
      </c>
      <c r="D144" s="119" t="s">
        <v>477</v>
      </c>
      <c r="E144" s="120" t="s">
        <v>478</v>
      </c>
      <c r="F144" s="121" t="s">
        <v>479</v>
      </c>
      <c r="G144" s="20">
        <v>401250</v>
      </c>
      <c r="H144" s="20">
        <v>109347</v>
      </c>
      <c r="I144" s="20">
        <v>14917</v>
      </c>
      <c r="J144" s="20">
        <v>14747</v>
      </c>
      <c r="K144" s="20">
        <v>14300</v>
      </c>
      <c r="L144" s="20">
        <v>13851</v>
      </c>
      <c r="M144" s="20">
        <v>13409</v>
      </c>
      <c r="N144" s="20">
        <v>12953</v>
      </c>
      <c r="O144" s="81">
        <v>12504</v>
      </c>
      <c r="P144" s="81">
        <v>37552</v>
      </c>
      <c r="Q144" s="23">
        <f t="shared" si="5"/>
        <v>134233</v>
      </c>
      <c r="V144" s="53"/>
      <c r="Y144" s="53"/>
    </row>
    <row r="145" spans="1:25" s="52" customFormat="1" ht="51" x14ac:dyDescent="0.2">
      <c r="A145" s="85" t="s">
        <v>480</v>
      </c>
      <c r="B145" s="96" t="s">
        <v>11</v>
      </c>
      <c r="C145" s="118" t="s">
        <v>481</v>
      </c>
      <c r="D145" s="119" t="s">
        <v>482</v>
      </c>
      <c r="E145" s="120" t="s">
        <v>478</v>
      </c>
      <c r="F145" s="121" t="s">
        <v>483</v>
      </c>
      <c r="G145" s="20">
        <v>112407</v>
      </c>
      <c r="H145" s="20">
        <v>15480</v>
      </c>
      <c r="I145" s="20">
        <v>2149</v>
      </c>
      <c r="J145" s="20">
        <v>2124</v>
      </c>
      <c r="K145" s="20">
        <v>2059</v>
      </c>
      <c r="L145" s="20">
        <v>1994</v>
      </c>
      <c r="M145" s="20">
        <v>1929</v>
      </c>
      <c r="N145" s="20">
        <v>1863</v>
      </c>
      <c r="O145" s="81">
        <v>1798</v>
      </c>
      <c r="P145" s="81">
        <v>5008</v>
      </c>
      <c r="Q145" s="23">
        <f t="shared" si="5"/>
        <v>18924</v>
      </c>
      <c r="V145" s="53"/>
      <c r="Y145" s="53"/>
    </row>
    <row r="146" spans="1:25" s="52" customFormat="1" ht="38.25" x14ac:dyDescent="0.25">
      <c r="A146" s="85" t="s">
        <v>484</v>
      </c>
      <c r="B146" s="85" t="s">
        <v>11</v>
      </c>
      <c r="C146" s="2" t="s">
        <v>485</v>
      </c>
      <c r="D146" s="119" t="s">
        <v>486</v>
      </c>
      <c r="E146" s="85" t="s">
        <v>487</v>
      </c>
      <c r="F146" s="85" t="s">
        <v>488</v>
      </c>
      <c r="G146" s="14">
        <v>2594247</v>
      </c>
      <c r="H146" s="14">
        <v>550908</v>
      </c>
      <c r="I146" s="58">
        <v>83176</v>
      </c>
      <c r="J146" s="58">
        <v>81418</v>
      </c>
      <c r="K146" s="58">
        <v>78833</v>
      </c>
      <c r="L146" s="58">
        <v>76258</v>
      </c>
      <c r="M146" s="58">
        <v>73712</v>
      </c>
      <c r="N146" s="58">
        <v>71103</v>
      </c>
      <c r="O146" s="58">
        <v>68529</v>
      </c>
      <c r="P146" s="58">
        <v>129498</v>
      </c>
      <c r="Q146" s="23">
        <f t="shared" si="5"/>
        <v>662527</v>
      </c>
      <c r="V146" s="53"/>
      <c r="Y146" s="53"/>
    </row>
    <row r="147" spans="1:25" s="52" customFormat="1" ht="38.25" x14ac:dyDescent="0.25">
      <c r="A147" s="85" t="s">
        <v>489</v>
      </c>
      <c r="B147" s="122" t="s">
        <v>11</v>
      </c>
      <c r="C147" s="123" t="s">
        <v>490</v>
      </c>
      <c r="D147" s="119" t="s">
        <v>491</v>
      </c>
      <c r="E147" s="122" t="s">
        <v>492</v>
      </c>
      <c r="F147" s="122" t="s">
        <v>493</v>
      </c>
      <c r="G147" s="60">
        <v>1468540</v>
      </c>
      <c r="H147" s="60">
        <v>1267371</v>
      </c>
      <c r="I147" s="61">
        <v>130542</v>
      </c>
      <c r="J147" s="61">
        <v>128513</v>
      </c>
      <c r="K147" s="61">
        <v>125228</v>
      </c>
      <c r="L147" s="61">
        <v>121933</v>
      </c>
      <c r="M147" s="61">
        <v>118738</v>
      </c>
      <c r="N147" s="61">
        <v>114227</v>
      </c>
      <c r="O147" s="61">
        <v>111008</v>
      </c>
      <c r="P147" s="61">
        <v>832291</v>
      </c>
      <c r="Q147" s="62">
        <f t="shared" si="5"/>
        <v>1682480</v>
      </c>
      <c r="V147" s="53"/>
      <c r="Y147" s="53"/>
    </row>
    <row r="148" spans="1:25" s="52" customFormat="1" ht="51" x14ac:dyDescent="0.25">
      <c r="A148" s="85" t="s">
        <v>494</v>
      </c>
      <c r="B148" s="85" t="s">
        <v>11</v>
      </c>
      <c r="C148" s="2" t="s">
        <v>496</v>
      </c>
      <c r="D148" s="119" t="s">
        <v>497</v>
      </c>
      <c r="E148" s="85" t="s">
        <v>498</v>
      </c>
      <c r="F148" s="85" t="s">
        <v>336</v>
      </c>
      <c r="G148" s="14">
        <v>1093100</v>
      </c>
      <c r="H148" s="14">
        <v>973837</v>
      </c>
      <c r="I148" s="59">
        <v>110896</v>
      </c>
      <c r="J148" s="59">
        <v>108550</v>
      </c>
      <c r="K148" s="59">
        <v>105297</v>
      </c>
      <c r="L148" s="59">
        <v>101973</v>
      </c>
      <c r="M148" s="59">
        <v>98907</v>
      </c>
      <c r="N148" s="59">
        <v>95538</v>
      </c>
      <c r="O148" s="59">
        <v>92289</v>
      </c>
      <c r="P148" s="59">
        <v>749207</v>
      </c>
      <c r="Q148" s="16">
        <f>SUM(I148:P148)</f>
        <v>1462657</v>
      </c>
      <c r="V148" s="53"/>
      <c r="Y148" s="53"/>
    </row>
    <row r="149" spans="1:25" s="52" customFormat="1" ht="38.25" x14ac:dyDescent="0.25">
      <c r="A149" s="85" t="s">
        <v>495</v>
      </c>
      <c r="B149" s="85" t="s">
        <v>11</v>
      </c>
      <c r="C149" s="2" t="s">
        <v>500</v>
      </c>
      <c r="D149" s="119" t="s">
        <v>501</v>
      </c>
      <c r="E149" s="85" t="s">
        <v>498</v>
      </c>
      <c r="F149" s="85" t="s">
        <v>336</v>
      </c>
      <c r="G149" s="14">
        <v>340358</v>
      </c>
      <c r="H149" s="14">
        <v>303227</v>
      </c>
      <c r="I149" s="59">
        <v>34527</v>
      </c>
      <c r="J149" s="59">
        <v>33798</v>
      </c>
      <c r="K149" s="59">
        <v>32785</v>
      </c>
      <c r="L149" s="59">
        <v>31772</v>
      </c>
      <c r="M149" s="59">
        <v>30795</v>
      </c>
      <c r="N149" s="59">
        <v>29746</v>
      </c>
      <c r="O149" s="59">
        <v>28735</v>
      </c>
      <c r="P149" s="59">
        <v>231806</v>
      </c>
      <c r="Q149" s="16">
        <f>SUM(I149:P149)</f>
        <v>453964</v>
      </c>
      <c r="V149" s="53"/>
      <c r="Y149" s="53"/>
    </row>
    <row r="150" spans="1:25" s="52" customFormat="1" ht="51" x14ac:dyDescent="0.25">
      <c r="A150" s="85" t="s">
        <v>499</v>
      </c>
      <c r="B150" s="122" t="s">
        <v>11</v>
      </c>
      <c r="C150" s="123" t="s">
        <v>503</v>
      </c>
      <c r="D150" s="124" t="s">
        <v>504</v>
      </c>
      <c r="E150" s="122" t="s">
        <v>505</v>
      </c>
      <c r="F150" s="122" t="s">
        <v>104</v>
      </c>
      <c r="G150" s="60">
        <v>158392</v>
      </c>
      <c r="H150" s="60">
        <v>141504</v>
      </c>
      <c r="I150" s="61">
        <v>15468</v>
      </c>
      <c r="J150" s="61">
        <v>15050</v>
      </c>
      <c r="K150" s="61">
        <v>14619</v>
      </c>
      <c r="L150" s="61">
        <v>14196</v>
      </c>
      <c r="M150" s="61">
        <v>13814</v>
      </c>
      <c r="N150" s="61">
        <v>13349</v>
      </c>
      <c r="O150" s="61">
        <v>12927</v>
      </c>
      <c r="P150" s="61">
        <v>103896</v>
      </c>
      <c r="Q150" s="62">
        <f>SUM(I150:P150)</f>
        <v>203319</v>
      </c>
      <c r="V150" s="53"/>
      <c r="Y150" s="53"/>
    </row>
    <row r="151" spans="1:25" s="52" customFormat="1" ht="25.5" x14ac:dyDescent="0.25">
      <c r="A151" s="85" t="s">
        <v>502</v>
      </c>
      <c r="B151" s="122" t="s">
        <v>11</v>
      </c>
      <c r="C151" s="95" t="s">
        <v>506</v>
      </c>
      <c r="D151" s="125" t="s">
        <v>507</v>
      </c>
      <c r="E151" s="96" t="s">
        <v>508</v>
      </c>
      <c r="F151" s="96" t="s">
        <v>509</v>
      </c>
      <c r="G151" s="82">
        <v>214000</v>
      </c>
      <c r="H151" s="82">
        <v>46892</v>
      </c>
      <c r="I151" s="81">
        <v>48019</v>
      </c>
      <c r="J151" s="81">
        <v>9</v>
      </c>
      <c r="K151" s="81">
        <v>0</v>
      </c>
      <c r="L151" s="81">
        <v>0</v>
      </c>
      <c r="M151" s="81">
        <v>0</v>
      </c>
      <c r="N151" s="81">
        <v>0</v>
      </c>
      <c r="O151" s="81">
        <v>0</v>
      </c>
      <c r="P151" s="81">
        <v>0</v>
      </c>
      <c r="Q151" s="62">
        <f>SUM(I151:P151)</f>
        <v>48028</v>
      </c>
      <c r="V151" s="53"/>
      <c r="Y151" s="53"/>
    </row>
    <row r="152" spans="1:25" s="3" customFormat="1" ht="12.75" x14ac:dyDescent="0.2">
      <c r="A152" s="96"/>
      <c r="B152" s="63" t="s">
        <v>456</v>
      </c>
      <c r="C152" s="96" t="s">
        <v>457</v>
      </c>
      <c r="D152" s="96"/>
      <c r="E152" s="96" t="s">
        <v>457</v>
      </c>
      <c r="F152" s="96"/>
      <c r="G152" s="64">
        <f t="shared" ref="G152:Q152" si="6">SUM(G140:G151)</f>
        <v>8764371.5899999999</v>
      </c>
      <c r="H152" s="64">
        <f t="shared" si="6"/>
        <v>4664748</v>
      </c>
      <c r="I152" s="65">
        <f t="shared" si="6"/>
        <v>612740</v>
      </c>
      <c r="J152" s="65">
        <f t="shared" si="6"/>
        <v>553179</v>
      </c>
      <c r="K152" s="65">
        <f t="shared" si="6"/>
        <v>536969</v>
      </c>
      <c r="L152" s="65">
        <f t="shared" si="6"/>
        <v>520688</v>
      </c>
      <c r="M152" s="65">
        <f t="shared" si="6"/>
        <v>504956</v>
      </c>
      <c r="N152" s="65">
        <f t="shared" si="6"/>
        <v>490045</v>
      </c>
      <c r="O152" s="65">
        <f t="shared" si="6"/>
        <v>471088</v>
      </c>
      <c r="P152" s="65">
        <f t="shared" si="6"/>
        <v>2527441</v>
      </c>
      <c r="Q152" s="65">
        <f t="shared" si="6"/>
        <v>6217106</v>
      </c>
      <c r="V152" s="4"/>
      <c r="Y152" s="4"/>
    </row>
    <row r="153" spans="1:25" s="3" customFormat="1" ht="12.75" x14ac:dyDescent="0.2">
      <c r="A153" s="86"/>
      <c r="B153" s="117"/>
      <c r="C153" s="117"/>
      <c r="D153" s="117"/>
      <c r="E153" s="86"/>
      <c r="F153" s="86"/>
      <c r="G153" s="48"/>
      <c r="H153" s="48"/>
      <c r="I153" s="49"/>
      <c r="J153" s="49"/>
      <c r="K153" s="49"/>
      <c r="L153" s="49"/>
      <c r="M153" s="49"/>
      <c r="N153" s="49"/>
      <c r="O153" s="49"/>
      <c r="P153" s="49"/>
      <c r="Q153" s="66"/>
      <c r="V153" s="4"/>
      <c r="Y153" s="4"/>
    </row>
    <row r="154" spans="1:25" s="3" customFormat="1" ht="39.6" hidden="1" x14ac:dyDescent="0.2">
      <c r="A154" s="86"/>
      <c r="B154" s="67" t="s">
        <v>510</v>
      </c>
      <c r="C154" s="85" t="s">
        <v>457</v>
      </c>
      <c r="D154" s="85"/>
      <c r="E154" s="85" t="s">
        <v>457</v>
      </c>
      <c r="F154" s="85"/>
      <c r="G154" s="14"/>
      <c r="H154" s="14"/>
      <c r="I154" s="68">
        <v>0</v>
      </c>
      <c r="J154" s="68">
        <v>0</v>
      </c>
      <c r="K154" s="68">
        <v>0</v>
      </c>
      <c r="L154" s="68">
        <v>0</v>
      </c>
      <c r="M154" s="68">
        <v>0</v>
      </c>
      <c r="N154" s="68">
        <v>0</v>
      </c>
      <c r="O154" s="68">
        <v>0</v>
      </c>
      <c r="P154" s="68">
        <v>0</v>
      </c>
      <c r="Q154" s="69">
        <v>0</v>
      </c>
      <c r="V154" s="4"/>
      <c r="Y154" s="4"/>
    </row>
    <row r="155" spans="1:25" s="3" customFormat="1" ht="12.75" x14ac:dyDescent="0.2">
      <c r="A155" s="86"/>
      <c r="B155" s="70"/>
      <c r="C155" s="70"/>
      <c r="D155" s="70"/>
      <c r="E155" s="56"/>
      <c r="F155" s="56"/>
      <c r="G155" s="57"/>
      <c r="H155" s="57"/>
      <c r="I155" s="49"/>
      <c r="J155" s="49"/>
      <c r="K155" s="49"/>
      <c r="L155" s="49"/>
      <c r="M155" s="49"/>
      <c r="N155" s="49"/>
      <c r="O155" s="49"/>
      <c r="P155" s="49"/>
      <c r="Q155" s="71"/>
      <c r="V155" s="4"/>
      <c r="Y155" s="4"/>
    </row>
    <row r="156" spans="1:25" s="3" customFormat="1" ht="25.5" x14ac:dyDescent="0.2">
      <c r="A156" s="86"/>
      <c r="B156" s="67" t="s">
        <v>511</v>
      </c>
      <c r="C156" s="126"/>
      <c r="D156" s="126"/>
      <c r="E156" s="127"/>
      <c r="F156" s="127"/>
      <c r="G156" s="72">
        <f t="shared" ref="G156:Q156" si="7">G137+G152</f>
        <v>92493257.590000004</v>
      </c>
      <c r="H156" s="72">
        <f t="shared" si="7"/>
        <v>57515864</v>
      </c>
      <c r="I156" s="73">
        <f t="shared" si="7"/>
        <v>7423145</v>
      </c>
      <c r="J156" s="73">
        <f t="shared" si="7"/>
        <v>7057669</v>
      </c>
      <c r="K156" s="73">
        <f t="shared" si="7"/>
        <v>6753314</v>
      </c>
      <c r="L156" s="73">
        <f t="shared" si="7"/>
        <v>6372046</v>
      </c>
      <c r="M156" s="73">
        <f t="shared" si="7"/>
        <v>5935492</v>
      </c>
      <c r="N156" s="73">
        <f t="shared" si="7"/>
        <v>5416209</v>
      </c>
      <c r="O156" s="73">
        <f t="shared" si="7"/>
        <v>5161925</v>
      </c>
      <c r="P156" s="73">
        <f t="shared" si="7"/>
        <v>46387824</v>
      </c>
      <c r="Q156" s="73">
        <f t="shared" si="7"/>
        <v>90507624</v>
      </c>
      <c r="V156" s="4"/>
      <c r="Y156" s="4"/>
    </row>
    <row r="157" spans="1:25" s="3" customFormat="1" ht="12.75" x14ac:dyDescent="0.2">
      <c r="A157" s="86"/>
      <c r="B157" s="70"/>
      <c r="C157" s="70"/>
      <c r="D157" s="70"/>
      <c r="E157" s="70"/>
      <c r="F157" s="70"/>
      <c r="G157" s="57"/>
      <c r="H157" s="57"/>
      <c r="I157" s="49"/>
      <c r="J157" s="49"/>
      <c r="K157" s="49"/>
      <c r="L157" s="49"/>
      <c r="M157" s="49"/>
      <c r="N157" s="49"/>
      <c r="O157" s="49"/>
      <c r="P157" s="49"/>
      <c r="Q157" s="74"/>
      <c r="V157" s="4"/>
      <c r="Y157" s="4"/>
    </row>
    <row r="158" spans="1:25" s="3" customFormat="1" ht="18.75" customHeight="1" x14ac:dyDescent="0.2">
      <c r="A158" s="86"/>
      <c r="B158" s="137" t="s">
        <v>512</v>
      </c>
      <c r="C158" s="137"/>
      <c r="D158" s="137"/>
      <c r="E158" s="137"/>
      <c r="F158" s="2"/>
      <c r="G158" s="14" t="s">
        <v>457</v>
      </c>
      <c r="H158" s="14" t="s">
        <v>457</v>
      </c>
      <c r="I158" s="75">
        <f>ROUND(I156/$Q$160*100,1)</f>
        <v>14.9</v>
      </c>
      <c r="J158" s="75">
        <f t="shared" ref="J158:O158" si="8">ROUND(J156/$Q$160*100,1)</f>
        <v>14.2</v>
      </c>
      <c r="K158" s="75">
        <f t="shared" si="8"/>
        <v>13.6</v>
      </c>
      <c r="L158" s="75">
        <f t="shared" si="8"/>
        <v>12.8</v>
      </c>
      <c r="M158" s="75">
        <f t="shared" si="8"/>
        <v>11.9</v>
      </c>
      <c r="N158" s="75">
        <f t="shared" si="8"/>
        <v>10.9</v>
      </c>
      <c r="O158" s="75">
        <f t="shared" si="8"/>
        <v>10.4</v>
      </c>
      <c r="P158" s="76" t="s">
        <v>457</v>
      </c>
      <c r="Q158" s="76" t="s">
        <v>457</v>
      </c>
      <c r="V158" s="4"/>
      <c r="Y158" s="4"/>
    </row>
    <row r="159" spans="1:25" s="3" customFormat="1" ht="12.75" x14ac:dyDescent="0.2">
      <c r="A159" s="117"/>
      <c r="B159" s="128"/>
      <c r="C159" s="77"/>
      <c r="D159" s="77"/>
      <c r="E159" s="77"/>
      <c r="F159" s="77"/>
      <c r="G159" s="78"/>
      <c r="H159" s="78"/>
      <c r="I159" s="79"/>
      <c r="J159" s="79"/>
      <c r="K159" s="79"/>
      <c r="L159" s="79"/>
      <c r="M159" s="79"/>
      <c r="N159" s="79"/>
      <c r="O159" s="79"/>
      <c r="P159" s="79"/>
      <c r="Q159" s="129"/>
      <c r="V159" s="4"/>
      <c r="Y159" s="4"/>
    </row>
    <row r="160" spans="1:25" s="3" customFormat="1" ht="51.6" customHeight="1" x14ac:dyDescent="0.2">
      <c r="A160" s="117"/>
      <c r="B160" s="138" t="s">
        <v>513</v>
      </c>
      <c r="C160" s="138"/>
      <c r="D160" s="138"/>
      <c r="E160" s="138"/>
      <c r="F160" s="130"/>
      <c r="G160" s="131"/>
      <c r="H160" s="136"/>
      <c r="I160" s="132"/>
      <c r="J160" s="132"/>
      <c r="K160" s="132"/>
      <c r="L160" s="132"/>
      <c r="M160" s="132"/>
      <c r="N160" s="132"/>
      <c r="O160" s="132"/>
      <c r="P160" s="133"/>
      <c r="Q160" s="134">
        <f>65741012-15724034-403079+77116</f>
        <v>49691015</v>
      </c>
      <c r="V160" s="4"/>
      <c r="Y160" s="4"/>
    </row>
    <row r="161" spans="2:25" s="3" customFormat="1" ht="409.5" customHeight="1" x14ac:dyDescent="0.25">
      <c r="B161" s="4"/>
      <c r="C161" s="4"/>
      <c r="D161" s="4"/>
      <c r="E161" s="4"/>
      <c r="F161" s="4"/>
      <c r="G161" s="5"/>
      <c r="H161" s="5"/>
      <c r="I161" s="135"/>
      <c r="J161" s="83"/>
      <c r="K161" s="83"/>
      <c r="L161" s="83"/>
      <c r="M161" s="83"/>
      <c r="N161" s="83"/>
      <c r="O161" s="83"/>
      <c r="P161" s="83"/>
      <c r="Q161" s="84"/>
      <c r="V161" s="4"/>
      <c r="Y161" s="4"/>
    </row>
  </sheetData>
  <sheetProtection selectLockedCells="1" selectUnlockedCells="1"/>
  <mergeCells count="16">
    <mergeCell ref="B158:E158"/>
    <mergeCell ref="B160:E160"/>
    <mergeCell ref="O1:Q1"/>
    <mergeCell ref="O2:Q2"/>
    <mergeCell ref="A3:Q3"/>
    <mergeCell ref="A5:A6"/>
    <mergeCell ref="B5:B6"/>
    <mergeCell ref="C5:C6"/>
    <mergeCell ref="D5:D6"/>
    <mergeCell ref="E5:E6"/>
    <mergeCell ref="F5:F6"/>
    <mergeCell ref="G5:G6"/>
    <mergeCell ref="H5:H6"/>
    <mergeCell ref="I5:Q5"/>
    <mergeCell ref="B7:C7"/>
    <mergeCell ref="B139:C139"/>
  </mergeCells>
  <conditionalFormatting sqref="E1:E10 E13:E17 E21 E32:E36 E40:E50 E59:E64 E79:E80 E87:E90 E100:E101 E109:E111 E122:E125 E137:E139 E146:E147 E150:E1048576">
    <cfRule type="containsText" dxfId="6" priority="9" operator="containsText" text=".05.">
      <formula>NOT(ISERROR(SEARCH(".05.",E1)))</formula>
    </cfRule>
  </conditionalFormatting>
  <conditionalFormatting sqref="E1:E10 E21:E25 E32:E37 E40:E50 E87:E90 E100:E102 E109:E113 E122:E126 E137:E139 E146:E147 E150:E160 D161:E1048576 D58:D82 D109:D160">
    <cfRule type="containsText" dxfId="5" priority="7" operator="containsText" text=".06.">
      <formula>NOT(ISERROR(SEARCH(".06.",D1)))</formula>
    </cfRule>
  </conditionalFormatting>
  <conditionalFormatting sqref="E1:E11 E13:E17 E21:E27 E32:E37 E40:E55 E59:E73 E79:E82 E87:E91 E100:E105 E109:E113 E122:E127 E137:E139 E146:E1048576">
    <cfRule type="containsText" dxfId="4" priority="5" operator="containsText" text=".07.">
      <formula>NOT(ISERROR(SEARCH(".07.",E1)))</formula>
    </cfRule>
    <cfRule type="containsText" dxfId="3" priority="6" operator="containsText" text="&quot;*.07.*&quot;">
      <formula>NOT(ISERROR(SEARCH("""*.07.*""",E1)))</formula>
    </cfRule>
  </conditionalFormatting>
  <conditionalFormatting sqref="E1:E11 E13:E17 E21:E28 E32:E37 E40:E55 E59:E75 E79:E82 E87:E92 E100:E105 E109:E115 E122:E129 E137:E139 E146:E1048576">
    <cfRule type="containsText" dxfId="2" priority="4" operator="containsText" text=".08.">
      <formula>NOT(ISERROR(SEARCH(".08.",E1)))</formula>
    </cfRule>
  </conditionalFormatting>
  <conditionalFormatting sqref="E1:E11 E13:E19 E21:E28 E32:E37 E40:E55 E58:E75 E79:E82 E87:E92 E94 E100:E105 E109:E116 E118 E122:E131 E137:E139 E146:E1048576">
    <cfRule type="containsText" dxfId="1" priority="3" operator="containsText" text=".09.">
      <formula>NOT(ISERROR(SEARCH(".09.",E1)))</formula>
    </cfRule>
  </conditionalFormatting>
  <conditionalFormatting sqref="E13:E17 E59:E72 E79:E81 D1:D11 D13:D37 D40:D55 D84:D105">
    <cfRule type="containsText" dxfId="0" priority="8" operator="containsText" text=".06.">
      <formula>NOT(ISERROR(SEARCH(".06.",D1)))</formula>
    </cfRule>
  </conditionalFormatting>
  <pageMargins left="0" right="0" top="0" bottom="0" header="0" footer="0"/>
  <pageSetup paperSize="8" scale="89" fitToHeight="0" orientation="landscape" useFirstPageNumber="1" r:id="rId1"/>
  <headerFooter alignWithMargins="0">
    <oddFooter>&amp;L&amp;"Times New Roman,Regular"Bauskas novada administrācija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6_pielikums</vt:lpstr>
      <vt:lpstr>'6_pielikums'!Excel_BuiltIn_Print_Titles_1</vt:lpstr>
      <vt:lpstr>'6_pielikums'!Print_Area</vt:lpstr>
      <vt:lpstr>'6_pielikums'!Print_Titles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Ilona Spurķe</dc:creator>
  <cp:keywords/>
  <dc:description/>
  <cp:lastModifiedBy>Uldis Ervalds</cp:lastModifiedBy>
  <dcterms:created xsi:type="dcterms:W3CDTF">2023-10-19T13:01:43Z</dcterms:created>
  <dcterms:modified xsi:type="dcterms:W3CDTF">2024-01-02T11:55:03Z</dcterms:modified>
  <cp:category/>
</cp:coreProperties>
</file>