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firstSheet="1" activeTab="1"/>
  </bookViews>
  <sheets>
    <sheet name="09_2023" sheetId="1" state="hidden" r:id="rId1"/>
    <sheet name="12_10" sheetId="2" r:id="rId2"/>
  </sheets>
  <definedNames>
    <definedName name="_xlnm._FilterDatabase" localSheetId="0" hidden="1">'09_2023'!$A$5:$N$156</definedName>
    <definedName name="_xlnm._FilterDatabase" localSheetId="1" hidden="1">'12_10'!$A$2:$N$153</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6" i="2" l="1"/>
  <c r="G164" i="2"/>
  <c r="H164" i="2"/>
  <c r="I164" i="2"/>
  <c r="J164" i="2"/>
  <c r="K164" i="2"/>
  <c r="L164" i="2"/>
  <c r="M164" i="2"/>
  <c r="F164" i="2"/>
  <c r="N161" i="2"/>
  <c r="N162" i="2"/>
  <c r="N154" i="2" l="1"/>
  <c r="N155" i="2"/>
  <c r="N156" i="2"/>
  <c r="N157" i="2"/>
  <c r="N158" i="2"/>
  <c r="N159" i="2"/>
  <c r="N160" i="2"/>
  <c r="N145" i="2"/>
  <c r="N148" i="2" l="1"/>
  <c r="N149" i="2"/>
  <c r="N150" i="2"/>
  <c r="N151" i="2"/>
  <c r="N152" i="2"/>
  <c r="N153" i="2"/>
  <c r="G168" i="2"/>
  <c r="F168" i="2"/>
  <c r="F174" i="2" s="1"/>
  <c r="M173" i="2"/>
  <c r="L173" i="2"/>
  <c r="N172" i="2"/>
  <c r="F173" i="2"/>
  <c r="I168" i="2"/>
  <c r="N7" i="2"/>
  <c r="N8" i="2"/>
  <c r="N9" i="2"/>
  <c r="N10" i="2"/>
  <c r="N11" i="2"/>
  <c r="N12" i="2"/>
  <c r="N13" i="2"/>
  <c r="N14" i="2"/>
  <c r="N15" i="2"/>
  <c r="N16" i="2"/>
  <c r="N17" i="2"/>
  <c r="N18" i="2"/>
  <c r="N19" i="2"/>
  <c r="N20" i="2"/>
  <c r="N21" i="2"/>
  <c r="N22"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N102" i="2"/>
  <c r="N103" i="2"/>
  <c r="N104" i="2"/>
  <c r="N105" i="2"/>
  <c r="N106" i="2"/>
  <c r="N107" i="2"/>
  <c r="N108" i="2"/>
  <c r="N109" i="2"/>
  <c r="N110" i="2"/>
  <c r="N111" i="2"/>
  <c r="N112" i="2"/>
  <c r="N113" i="2"/>
  <c r="N114" i="2"/>
  <c r="N115" i="2"/>
  <c r="N116" i="2"/>
  <c r="N117" i="2"/>
  <c r="N118" i="2"/>
  <c r="N119" i="2"/>
  <c r="N120" i="2"/>
  <c r="N121" i="2"/>
  <c r="N122" i="2"/>
  <c r="N123" i="2"/>
  <c r="N124" i="2"/>
  <c r="N125" i="2"/>
  <c r="N126" i="2"/>
  <c r="N127" i="2"/>
  <c r="N128" i="2"/>
  <c r="N129" i="2"/>
  <c r="N130" i="2"/>
  <c r="N131" i="2"/>
  <c r="N132" i="2"/>
  <c r="N133" i="2"/>
  <c r="N134" i="2"/>
  <c r="N135" i="2"/>
  <c r="N136" i="2"/>
  <c r="N137" i="2"/>
  <c r="N138" i="2"/>
  <c r="N139" i="2"/>
  <c r="N140" i="2"/>
  <c r="N141" i="2"/>
  <c r="N142" i="2"/>
  <c r="N143" i="2"/>
  <c r="N144" i="2"/>
  <c r="N146" i="2"/>
  <c r="N147" i="2"/>
  <c r="N6" i="2"/>
  <c r="BT9" i="1"/>
  <c r="BT10" i="1"/>
  <c r="BT11" i="1"/>
  <c r="BT12" i="1"/>
  <c r="BT13" i="1"/>
  <c r="BT14" i="1"/>
  <c r="BT15" i="1"/>
  <c r="BT16" i="1"/>
  <c r="BT17" i="1"/>
  <c r="BT18" i="1"/>
  <c r="BT19" i="1"/>
  <c r="BT20" i="1"/>
  <c r="BT21" i="1"/>
  <c r="BT22" i="1"/>
  <c r="BT23" i="1"/>
  <c r="BT24" i="1"/>
  <c r="BT25" i="1"/>
  <c r="BT26" i="1"/>
  <c r="BT27" i="1"/>
  <c r="BT28" i="1"/>
  <c r="BT29" i="1"/>
  <c r="BT30" i="1"/>
  <c r="BT31" i="1"/>
  <c r="BT32" i="1"/>
  <c r="BT33" i="1"/>
  <c r="BT34" i="1"/>
  <c r="BT35" i="1"/>
  <c r="BT36" i="1"/>
  <c r="BT37" i="1"/>
  <c r="BT38" i="1"/>
  <c r="BT39" i="1"/>
  <c r="BT40" i="1"/>
  <c r="BT41" i="1"/>
  <c r="BT42" i="1"/>
  <c r="BT43" i="1"/>
  <c r="BT44" i="1"/>
  <c r="BT45" i="1"/>
  <c r="BT46" i="1"/>
  <c r="BT47" i="1"/>
  <c r="BT48" i="1"/>
  <c r="BT49" i="1"/>
  <c r="BT50" i="1"/>
  <c r="BT51" i="1"/>
  <c r="BT52" i="1"/>
  <c r="BT53" i="1"/>
  <c r="BT54" i="1"/>
  <c r="BT55" i="1"/>
  <c r="BT56" i="1"/>
  <c r="BT57" i="1"/>
  <c r="BT58" i="1"/>
  <c r="BT59" i="1"/>
  <c r="BT60" i="1"/>
  <c r="BT61" i="1"/>
  <c r="BT62" i="1"/>
  <c r="BT63" i="1"/>
  <c r="BT64" i="1"/>
  <c r="BT65" i="1"/>
  <c r="BT66" i="1"/>
  <c r="BT67" i="1"/>
  <c r="BT68" i="1"/>
  <c r="BT69" i="1"/>
  <c r="BT70" i="1"/>
  <c r="BT71" i="1"/>
  <c r="BT72" i="1"/>
  <c r="BT73" i="1"/>
  <c r="BT74" i="1"/>
  <c r="BT75" i="1"/>
  <c r="BT76" i="1"/>
  <c r="BT77" i="1"/>
  <c r="BT78" i="1"/>
  <c r="BT79" i="1"/>
  <c r="BT80" i="1"/>
  <c r="BT81" i="1"/>
  <c r="BT82" i="1"/>
  <c r="BT83" i="1"/>
  <c r="BT84" i="1"/>
  <c r="BT85" i="1"/>
  <c r="BT86" i="1"/>
  <c r="BT87" i="1"/>
  <c r="BT88" i="1"/>
  <c r="BT89" i="1"/>
  <c r="BT90" i="1"/>
  <c r="BT91" i="1"/>
  <c r="BT92" i="1"/>
  <c r="BT93" i="1"/>
  <c r="BT94" i="1"/>
  <c r="BT95" i="1"/>
  <c r="BT96" i="1"/>
  <c r="BT97" i="1"/>
  <c r="BT98" i="1"/>
  <c r="BT99" i="1"/>
  <c r="BT100" i="1"/>
  <c r="BT101" i="1"/>
  <c r="BT102" i="1"/>
  <c r="BT103" i="1"/>
  <c r="BT104" i="1"/>
  <c r="BT105" i="1"/>
  <c r="BT106" i="1"/>
  <c r="BT107" i="1"/>
  <c r="BT108" i="1"/>
  <c r="BT109" i="1"/>
  <c r="BT110" i="1"/>
  <c r="BT111" i="1"/>
  <c r="BT112" i="1"/>
  <c r="BT113" i="1"/>
  <c r="BT114" i="1"/>
  <c r="BT115" i="1"/>
  <c r="BT116" i="1"/>
  <c r="BT117" i="1"/>
  <c r="BT118" i="1"/>
  <c r="BT119" i="1"/>
  <c r="BT120" i="1"/>
  <c r="BT121" i="1"/>
  <c r="BT122" i="1"/>
  <c r="BT123" i="1"/>
  <c r="BT124" i="1"/>
  <c r="BT125" i="1"/>
  <c r="BT126" i="1"/>
  <c r="BT127" i="1"/>
  <c r="BT128" i="1"/>
  <c r="BT129" i="1"/>
  <c r="BT130" i="1"/>
  <c r="BT131" i="1"/>
  <c r="BT132" i="1"/>
  <c r="BT133" i="1"/>
  <c r="BT134" i="1"/>
  <c r="BT135" i="1"/>
  <c r="BT136" i="1"/>
  <c r="BT137" i="1"/>
  <c r="BT138" i="1"/>
  <c r="BT139" i="1"/>
  <c r="BT140" i="1"/>
  <c r="BT141" i="1"/>
  <c r="BT142" i="1"/>
  <c r="BT143" i="1"/>
  <c r="BT144" i="1"/>
  <c r="BT145" i="1"/>
  <c r="BT146" i="1"/>
  <c r="BT8" i="1"/>
  <c r="BR9" i="1"/>
  <c r="BR10" i="1"/>
  <c r="BR11" i="1"/>
  <c r="BR12" i="1"/>
  <c r="BR13" i="1"/>
  <c r="BR14" i="1"/>
  <c r="BR15" i="1"/>
  <c r="BR16" i="1"/>
  <c r="BR17" i="1"/>
  <c r="BR18" i="1"/>
  <c r="BR19" i="1"/>
  <c r="BR20" i="1"/>
  <c r="BR21" i="1"/>
  <c r="BR22" i="1"/>
  <c r="BR23" i="1"/>
  <c r="BR24" i="1"/>
  <c r="BR25" i="1"/>
  <c r="BR26" i="1"/>
  <c r="BR27" i="1"/>
  <c r="BR28" i="1"/>
  <c r="BR29" i="1"/>
  <c r="BR30" i="1"/>
  <c r="BR31" i="1"/>
  <c r="BR32" i="1"/>
  <c r="BR33" i="1"/>
  <c r="BR34" i="1"/>
  <c r="BR35" i="1"/>
  <c r="BR36" i="1"/>
  <c r="BR37" i="1"/>
  <c r="BR38" i="1"/>
  <c r="BR39" i="1"/>
  <c r="BR40" i="1"/>
  <c r="BR41" i="1"/>
  <c r="BR42" i="1"/>
  <c r="BR43" i="1"/>
  <c r="BR44" i="1"/>
  <c r="BR45" i="1"/>
  <c r="BR46" i="1"/>
  <c r="BR47" i="1"/>
  <c r="BR48" i="1"/>
  <c r="BR49" i="1"/>
  <c r="BR50" i="1"/>
  <c r="BR51" i="1"/>
  <c r="BR52" i="1"/>
  <c r="BR53" i="1"/>
  <c r="BR54" i="1"/>
  <c r="BR55" i="1"/>
  <c r="BR56" i="1"/>
  <c r="BR57" i="1"/>
  <c r="BR58" i="1"/>
  <c r="BR59" i="1"/>
  <c r="BR60" i="1"/>
  <c r="BR61" i="1"/>
  <c r="BR62" i="1"/>
  <c r="BR63" i="1"/>
  <c r="BR64" i="1"/>
  <c r="BR65" i="1"/>
  <c r="BR66" i="1"/>
  <c r="BR67" i="1"/>
  <c r="BR68" i="1"/>
  <c r="BR69" i="1"/>
  <c r="BR70" i="1"/>
  <c r="BR71" i="1"/>
  <c r="BR72" i="1"/>
  <c r="BR73" i="1"/>
  <c r="BR74" i="1"/>
  <c r="BR75" i="1"/>
  <c r="BR76" i="1"/>
  <c r="BR77" i="1"/>
  <c r="BR78" i="1"/>
  <c r="BR79" i="1"/>
  <c r="BR80" i="1"/>
  <c r="BR81" i="1"/>
  <c r="BR82" i="1"/>
  <c r="BR83" i="1"/>
  <c r="BR84" i="1"/>
  <c r="BR85" i="1"/>
  <c r="BR86" i="1"/>
  <c r="BR87" i="1"/>
  <c r="BR88" i="1"/>
  <c r="BR89" i="1"/>
  <c r="BR90" i="1"/>
  <c r="BR91" i="1"/>
  <c r="BR92" i="1"/>
  <c r="BR93" i="1"/>
  <c r="BR94" i="1"/>
  <c r="BR95" i="1"/>
  <c r="BR96" i="1"/>
  <c r="BR97" i="1"/>
  <c r="BR98" i="1"/>
  <c r="BR99" i="1"/>
  <c r="BR100" i="1"/>
  <c r="BR101" i="1"/>
  <c r="BR102" i="1"/>
  <c r="BR103" i="1"/>
  <c r="BR104" i="1"/>
  <c r="BR105" i="1"/>
  <c r="BR106" i="1"/>
  <c r="BR107" i="1"/>
  <c r="BR108" i="1"/>
  <c r="BR109" i="1"/>
  <c r="BR110" i="1"/>
  <c r="BR111" i="1"/>
  <c r="BR112" i="1"/>
  <c r="BR113" i="1"/>
  <c r="BR114" i="1"/>
  <c r="BR115" i="1"/>
  <c r="BR116" i="1"/>
  <c r="BR117" i="1"/>
  <c r="BR118" i="1"/>
  <c r="BR119" i="1"/>
  <c r="BR120" i="1"/>
  <c r="BR121" i="1"/>
  <c r="BR122" i="1"/>
  <c r="BR123" i="1"/>
  <c r="BR124" i="1"/>
  <c r="BR125" i="1"/>
  <c r="BR126" i="1"/>
  <c r="BR127" i="1"/>
  <c r="BR128" i="1"/>
  <c r="BR129" i="1"/>
  <c r="BR130" i="1"/>
  <c r="BR131" i="1"/>
  <c r="BR132" i="1"/>
  <c r="BR133" i="1"/>
  <c r="BR134" i="1"/>
  <c r="BR135" i="1"/>
  <c r="BR136" i="1"/>
  <c r="BR137" i="1"/>
  <c r="BR138" i="1"/>
  <c r="BR139" i="1"/>
  <c r="BR140" i="1"/>
  <c r="BR141" i="1"/>
  <c r="BR142" i="1"/>
  <c r="BR143" i="1"/>
  <c r="BR144" i="1"/>
  <c r="BR145" i="1"/>
  <c r="BR146" i="1"/>
  <c r="BR8" i="1"/>
  <c r="BP9" i="1"/>
  <c r="BP10" i="1"/>
  <c r="BP11" i="1"/>
  <c r="BP12" i="1"/>
  <c r="BP13" i="1"/>
  <c r="BP14" i="1"/>
  <c r="BP15" i="1"/>
  <c r="BP16" i="1"/>
  <c r="BP17" i="1"/>
  <c r="BP18" i="1"/>
  <c r="BP19" i="1"/>
  <c r="BP20" i="1"/>
  <c r="BP21" i="1"/>
  <c r="BP22" i="1"/>
  <c r="BP23" i="1"/>
  <c r="BP24" i="1"/>
  <c r="BP25" i="1"/>
  <c r="BP26" i="1"/>
  <c r="BP27" i="1"/>
  <c r="BP28" i="1"/>
  <c r="BP29" i="1"/>
  <c r="BP30" i="1"/>
  <c r="BP31" i="1"/>
  <c r="BP32" i="1"/>
  <c r="BP33" i="1"/>
  <c r="BP34" i="1"/>
  <c r="BP35" i="1"/>
  <c r="BP36" i="1"/>
  <c r="BP37" i="1"/>
  <c r="BP38" i="1"/>
  <c r="BP39" i="1"/>
  <c r="BP40" i="1"/>
  <c r="BP41" i="1"/>
  <c r="BP42" i="1"/>
  <c r="BP43" i="1"/>
  <c r="BP44" i="1"/>
  <c r="BP45" i="1"/>
  <c r="BP46" i="1"/>
  <c r="BP47" i="1"/>
  <c r="BP48" i="1"/>
  <c r="BP49" i="1"/>
  <c r="BP50" i="1"/>
  <c r="BP51" i="1"/>
  <c r="BP52" i="1"/>
  <c r="BP53" i="1"/>
  <c r="BP54" i="1"/>
  <c r="BP55" i="1"/>
  <c r="BP56" i="1"/>
  <c r="BP57" i="1"/>
  <c r="BP58" i="1"/>
  <c r="BP59" i="1"/>
  <c r="BP60" i="1"/>
  <c r="BP61" i="1"/>
  <c r="BP62" i="1"/>
  <c r="BP63" i="1"/>
  <c r="BP64" i="1"/>
  <c r="BP65" i="1"/>
  <c r="BP66" i="1"/>
  <c r="BP67" i="1"/>
  <c r="BP68" i="1"/>
  <c r="BP69" i="1"/>
  <c r="BP70" i="1"/>
  <c r="BP71" i="1"/>
  <c r="BP72" i="1"/>
  <c r="BP73" i="1"/>
  <c r="BP74" i="1"/>
  <c r="BP75" i="1"/>
  <c r="BP76" i="1"/>
  <c r="BP77" i="1"/>
  <c r="BP78" i="1"/>
  <c r="BP79" i="1"/>
  <c r="BP80" i="1"/>
  <c r="BP81" i="1"/>
  <c r="BP82" i="1"/>
  <c r="BP83" i="1"/>
  <c r="BP84" i="1"/>
  <c r="BP85" i="1"/>
  <c r="BP86" i="1"/>
  <c r="BP87" i="1"/>
  <c r="BP88" i="1"/>
  <c r="BP89" i="1"/>
  <c r="BP90" i="1"/>
  <c r="BP91" i="1"/>
  <c r="BP92" i="1"/>
  <c r="BP93" i="1"/>
  <c r="BP94" i="1"/>
  <c r="BP95" i="1"/>
  <c r="BP96" i="1"/>
  <c r="BP97" i="1"/>
  <c r="BP98" i="1"/>
  <c r="BP99" i="1"/>
  <c r="BP100" i="1"/>
  <c r="BP101" i="1"/>
  <c r="BP102" i="1"/>
  <c r="BP103" i="1"/>
  <c r="BP104" i="1"/>
  <c r="BP105" i="1"/>
  <c r="BP106" i="1"/>
  <c r="BP107" i="1"/>
  <c r="BP108" i="1"/>
  <c r="BP109" i="1"/>
  <c r="BP110" i="1"/>
  <c r="BP111" i="1"/>
  <c r="BP112" i="1"/>
  <c r="BP113" i="1"/>
  <c r="BP114" i="1"/>
  <c r="BP115" i="1"/>
  <c r="BP116" i="1"/>
  <c r="BP117" i="1"/>
  <c r="BP118" i="1"/>
  <c r="BP119" i="1"/>
  <c r="BP120" i="1"/>
  <c r="BP121" i="1"/>
  <c r="BP122" i="1"/>
  <c r="BP123" i="1"/>
  <c r="BP124" i="1"/>
  <c r="BP125" i="1"/>
  <c r="BP126" i="1"/>
  <c r="BP127" i="1"/>
  <c r="BP128" i="1"/>
  <c r="BP129" i="1"/>
  <c r="BP130" i="1"/>
  <c r="BP131" i="1"/>
  <c r="BP132" i="1"/>
  <c r="BP133" i="1"/>
  <c r="BP134" i="1"/>
  <c r="BP135" i="1"/>
  <c r="BP136" i="1"/>
  <c r="BP137" i="1"/>
  <c r="BP138" i="1"/>
  <c r="BP139" i="1"/>
  <c r="BP140" i="1"/>
  <c r="BP141" i="1"/>
  <c r="BP142" i="1"/>
  <c r="BP143" i="1"/>
  <c r="BP144" i="1"/>
  <c r="BP145" i="1"/>
  <c r="BP146" i="1"/>
  <c r="BP8" i="1"/>
  <c r="BI150" i="1"/>
  <c r="BJ150" i="1" s="1"/>
  <c r="BI149" i="1"/>
  <c r="BJ149" i="1" s="1"/>
  <c r="BI148" i="1"/>
  <c r="BJ148" i="1" s="1"/>
  <c r="BI147" i="1"/>
  <c r="BJ147" i="1" s="1"/>
  <c r="AX9" i="1"/>
  <c r="AX10" i="1"/>
  <c r="AX11" i="1"/>
  <c r="AX12" i="1"/>
  <c r="AX13" i="1"/>
  <c r="AX14" i="1"/>
  <c r="AX15" i="1"/>
  <c r="AX16" i="1"/>
  <c r="AX17" i="1"/>
  <c r="AX18" i="1"/>
  <c r="AX19" i="1"/>
  <c r="AX20" i="1"/>
  <c r="AX21" i="1"/>
  <c r="AX22" i="1"/>
  <c r="AX23" i="1"/>
  <c r="AX24" i="1"/>
  <c r="AX25" i="1"/>
  <c r="AX26" i="1"/>
  <c r="AX27" i="1"/>
  <c r="AX28" i="1"/>
  <c r="AX29" i="1"/>
  <c r="AX30" i="1"/>
  <c r="AX31" i="1"/>
  <c r="AX32" i="1"/>
  <c r="AX33" i="1"/>
  <c r="AX34" i="1"/>
  <c r="AX35" i="1"/>
  <c r="AX36" i="1"/>
  <c r="AX37" i="1"/>
  <c r="AX38" i="1"/>
  <c r="AX39" i="1"/>
  <c r="AX40" i="1"/>
  <c r="AX41" i="1"/>
  <c r="AX42" i="1"/>
  <c r="AX43" i="1"/>
  <c r="AX44" i="1"/>
  <c r="AX45" i="1"/>
  <c r="AX46" i="1"/>
  <c r="AX47" i="1"/>
  <c r="AX48" i="1"/>
  <c r="AX49" i="1"/>
  <c r="AX50" i="1"/>
  <c r="AX51" i="1"/>
  <c r="AX52" i="1"/>
  <c r="AX53" i="1"/>
  <c r="AX54" i="1"/>
  <c r="AX55" i="1"/>
  <c r="AX56" i="1"/>
  <c r="AX57" i="1"/>
  <c r="AX58" i="1"/>
  <c r="AX59" i="1"/>
  <c r="AX60" i="1"/>
  <c r="AX61" i="1"/>
  <c r="AX62" i="1"/>
  <c r="AX63" i="1"/>
  <c r="AX64" i="1"/>
  <c r="AX65" i="1"/>
  <c r="AX66" i="1"/>
  <c r="AX67" i="1"/>
  <c r="AX68" i="1"/>
  <c r="AX69" i="1"/>
  <c r="AX70" i="1"/>
  <c r="AX71" i="1"/>
  <c r="AX72" i="1"/>
  <c r="AX73" i="1"/>
  <c r="AX74" i="1"/>
  <c r="AX75" i="1"/>
  <c r="AX76" i="1"/>
  <c r="AX77" i="1"/>
  <c r="AX78" i="1"/>
  <c r="AX79" i="1"/>
  <c r="AX80" i="1"/>
  <c r="AX81" i="1"/>
  <c r="AX82" i="1"/>
  <c r="AX83" i="1"/>
  <c r="AX84" i="1"/>
  <c r="AX85" i="1"/>
  <c r="AX86" i="1"/>
  <c r="AX87" i="1"/>
  <c r="AX88" i="1"/>
  <c r="AX89" i="1"/>
  <c r="AX90" i="1"/>
  <c r="AX91" i="1"/>
  <c r="AX92" i="1"/>
  <c r="AX93" i="1"/>
  <c r="AX94" i="1"/>
  <c r="AX95" i="1"/>
  <c r="AX96" i="1"/>
  <c r="AX97" i="1"/>
  <c r="AX98" i="1"/>
  <c r="AX99" i="1"/>
  <c r="AX100" i="1"/>
  <c r="AX101" i="1"/>
  <c r="AX102" i="1"/>
  <c r="AX103" i="1"/>
  <c r="AX104" i="1"/>
  <c r="AX105" i="1"/>
  <c r="AX106" i="1"/>
  <c r="AX107" i="1"/>
  <c r="AX108" i="1"/>
  <c r="AX109" i="1"/>
  <c r="AX110" i="1"/>
  <c r="AX111" i="1"/>
  <c r="AX112" i="1"/>
  <c r="AX113" i="1"/>
  <c r="AX114" i="1"/>
  <c r="AX115" i="1"/>
  <c r="AX116" i="1"/>
  <c r="AX117" i="1"/>
  <c r="AX118" i="1"/>
  <c r="AX119" i="1"/>
  <c r="AX120" i="1"/>
  <c r="AX121" i="1"/>
  <c r="AX122" i="1"/>
  <c r="AX123" i="1"/>
  <c r="AX124" i="1"/>
  <c r="AX125" i="1"/>
  <c r="AX126" i="1"/>
  <c r="AX127" i="1"/>
  <c r="AX128" i="1"/>
  <c r="AX129" i="1"/>
  <c r="AX130" i="1"/>
  <c r="AX131" i="1"/>
  <c r="AX132" i="1"/>
  <c r="AX133" i="1"/>
  <c r="AX134" i="1"/>
  <c r="AX135" i="1"/>
  <c r="AX136" i="1"/>
  <c r="AX137" i="1"/>
  <c r="AX138" i="1"/>
  <c r="AX139" i="1"/>
  <c r="AX140" i="1"/>
  <c r="AX141" i="1"/>
  <c r="AX142" i="1"/>
  <c r="AX143" i="1"/>
  <c r="AX144" i="1"/>
  <c r="AX145" i="1"/>
  <c r="AX146" i="1"/>
  <c r="AX147" i="1"/>
  <c r="AX148" i="1"/>
  <c r="AX149" i="1"/>
  <c r="AX150" i="1"/>
  <c r="AX8" i="1"/>
  <c r="BE9" i="1"/>
  <c r="BE10" i="1"/>
  <c r="BE11" i="1"/>
  <c r="BE12" i="1"/>
  <c r="BE13" i="1"/>
  <c r="BE14" i="1"/>
  <c r="BE15" i="1"/>
  <c r="BE16" i="1"/>
  <c r="BE17" i="1"/>
  <c r="BE18" i="1"/>
  <c r="BF18" i="1" s="1"/>
  <c r="BE19" i="1"/>
  <c r="BF19" i="1" s="1"/>
  <c r="BE20" i="1"/>
  <c r="BE21" i="1"/>
  <c r="BE22" i="1"/>
  <c r="BE23" i="1"/>
  <c r="BE24" i="1"/>
  <c r="BE25" i="1"/>
  <c r="BE26" i="1"/>
  <c r="BF26" i="1" s="1"/>
  <c r="BE27" i="1"/>
  <c r="BF27" i="1" s="1"/>
  <c r="BE28" i="1"/>
  <c r="BE29" i="1"/>
  <c r="BE30" i="1"/>
  <c r="BE31" i="1"/>
  <c r="BF31" i="1" s="1"/>
  <c r="BE32" i="1"/>
  <c r="BF32" i="1" s="1"/>
  <c r="BE33" i="1"/>
  <c r="BE34" i="1"/>
  <c r="BE35" i="1"/>
  <c r="BE36" i="1"/>
  <c r="BE37" i="1"/>
  <c r="BE38" i="1"/>
  <c r="BE39" i="1"/>
  <c r="BE40" i="1"/>
  <c r="BE41" i="1"/>
  <c r="BE42" i="1"/>
  <c r="BE43" i="1"/>
  <c r="BF43" i="1" s="1"/>
  <c r="BE44" i="1"/>
  <c r="BF44" i="1" s="1"/>
  <c r="BE45" i="1"/>
  <c r="BF45" i="1" s="1"/>
  <c r="BE46" i="1"/>
  <c r="BE47" i="1"/>
  <c r="BE48" i="1"/>
  <c r="BF48" i="1" s="1"/>
  <c r="BE49" i="1"/>
  <c r="BE50" i="1"/>
  <c r="BE51" i="1"/>
  <c r="BE52" i="1"/>
  <c r="BE53" i="1"/>
  <c r="BE54" i="1"/>
  <c r="BF54" i="1" s="1"/>
  <c r="BE55" i="1"/>
  <c r="BF55" i="1" s="1"/>
  <c r="BE56" i="1"/>
  <c r="BE57" i="1"/>
  <c r="BE58" i="1"/>
  <c r="BE59" i="1"/>
  <c r="BE60" i="1"/>
  <c r="BE61" i="1"/>
  <c r="BE62" i="1"/>
  <c r="BE63" i="1"/>
  <c r="BE64" i="1"/>
  <c r="BE65" i="1"/>
  <c r="BE66" i="1"/>
  <c r="BE67" i="1"/>
  <c r="BE68" i="1"/>
  <c r="BE69" i="1"/>
  <c r="BE70" i="1"/>
  <c r="BE71" i="1"/>
  <c r="BE72" i="1"/>
  <c r="BE73" i="1"/>
  <c r="BE74" i="1"/>
  <c r="BE75" i="1"/>
  <c r="BE76" i="1"/>
  <c r="BE77" i="1"/>
  <c r="BE78" i="1"/>
  <c r="BE79" i="1"/>
  <c r="BE80" i="1"/>
  <c r="BF80" i="1" s="1"/>
  <c r="BE81" i="1"/>
  <c r="BF81" i="1" s="1"/>
  <c r="BE82" i="1"/>
  <c r="BE83" i="1"/>
  <c r="BE84" i="1"/>
  <c r="BE85" i="1"/>
  <c r="BE86" i="1"/>
  <c r="BE87" i="1"/>
  <c r="BE88" i="1"/>
  <c r="BE89" i="1"/>
  <c r="BF89" i="1" s="1"/>
  <c r="BE90" i="1"/>
  <c r="BE91" i="1"/>
  <c r="BE92" i="1"/>
  <c r="BE93" i="1"/>
  <c r="BE94" i="1"/>
  <c r="BE95" i="1"/>
  <c r="BE96" i="1"/>
  <c r="BE97" i="1"/>
  <c r="BE98" i="1"/>
  <c r="BE99" i="1"/>
  <c r="BE100" i="1"/>
  <c r="BE101" i="1"/>
  <c r="BE102" i="1"/>
  <c r="BF102" i="1" s="1"/>
  <c r="BE103" i="1"/>
  <c r="BE104" i="1"/>
  <c r="BE105" i="1"/>
  <c r="BE106" i="1"/>
  <c r="BE107" i="1"/>
  <c r="BE108" i="1"/>
  <c r="BE109" i="1"/>
  <c r="BE110" i="1"/>
  <c r="BE111" i="1"/>
  <c r="BE112" i="1"/>
  <c r="BE113" i="1"/>
  <c r="BE114" i="1"/>
  <c r="BE115" i="1"/>
  <c r="BE116" i="1"/>
  <c r="BE117" i="1"/>
  <c r="BF117" i="1" s="1"/>
  <c r="BE118" i="1"/>
  <c r="BE119" i="1"/>
  <c r="BE120" i="1"/>
  <c r="BE121" i="1"/>
  <c r="BE122" i="1"/>
  <c r="BE123" i="1"/>
  <c r="BE124" i="1"/>
  <c r="BE125" i="1"/>
  <c r="BE126" i="1"/>
  <c r="BE127" i="1"/>
  <c r="BE128" i="1"/>
  <c r="BE129" i="1"/>
  <c r="BE130" i="1"/>
  <c r="BE131" i="1"/>
  <c r="BE132" i="1"/>
  <c r="BE133" i="1"/>
  <c r="BE134" i="1"/>
  <c r="BF134" i="1" s="1"/>
  <c r="BE135" i="1"/>
  <c r="BF135" i="1" s="1"/>
  <c r="BE136" i="1"/>
  <c r="BF136" i="1" s="1"/>
  <c r="BE137" i="1"/>
  <c r="BE138" i="1"/>
  <c r="BE139" i="1"/>
  <c r="BE140" i="1"/>
  <c r="BF140" i="1" s="1"/>
  <c r="BE141" i="1"/>
  <c r="BF141" i="1" s="1"/>
  <c r="BE142" i="1"/>
  <c r="BF142" i="1" s="1"/>
  <c r="BE143" i="1"/>
  <c r="BF143" i="1" s="1"/>
  <c r="BE144" i="1"/>
  <c r="BF144" i="1" s="1"/>
  <c r="BG144" i="1" s="1"/>
  <c r="BH144" i="1" s="1"/>
  <c r="BE145" i="1"/>
  <c r="BF145" i="1" s="1"/>
  <c r="BE146" i="1"/>
  <c r="BF146" i="1" s="1"/>
  <c r="BE8" i="1"/>
  <c r="AY9" i="1"/>
  <c r="AY10" i="1"/>
  <c r="AY11" i="1"/>
  <c r="AY12" i="1"/>
  <c r="AY13" i="1"/>
  <c r="AY14" i="1"/>
  <c r="AY15" i="1"/>
  <c r="AY16" i="1"/>
  <c r="AY17" i="1"/>
  <c r="AY18" i="1"/>
  <c r="AY19" i="1"/>
  <c r="AY20" i="1"/>
  <c r="AY21" i="1"/>
  <c r="AY22" i="1"/>
  <c r="AY23" i="1"/>
  <c r="AY24" i="1"/>
  <c r="AY25" i="1"/>
  <c r="AY26" i="1"/>
  <c r="AY27" i="1"/>
  <c r="AY28" i="1"/>
  <c r="AY29" i="1"/>
  <c r="AY30" i="1"/>
  <c r="AY31" i="1"/>
  <c r="AY32" i="1"/>
  <c r="AY33" i="1"/>
  <c r="AY34" i="1"/>
  <c r="AY35" i="1"/>
  <c r="AY36" i="1"/>
  <c r="AY37" i="1"/>
  <c r="AY38" i="1"/>
  <c r="AY39" i="1"/>
  <c r="AY40" i="1"/>
  <c r="AY41" i="1"/>
  <c r="AY42" i="1"/>
  <c r="AY43" i="1"/>
  <c r="AY44" i="1"/>
  <c r="AY45" i="1"/>
  <c r="AY46" i="1"/>
  <c r="AY47" i="1"/>
  <c r="AY48" i="1"/>
  <c r="AY49" i="1"/>
  <c r="AY50" i="1"/>
  <c r="AY51" i="1"/>
  <c r="AY52" i="1"/>
  <c r="AY53" i="1"/>
  <c r="AY54" i="1"/>
  <c r="AY55" i="1"/>
  <c r="AY56" i="1"/>
  <c r="AY57" i="1"/>
  <c r="AY58" i="1"/>
  <c r="AY59" i="1"/>
  <c r="AY60" i="1"/>
  <c r="AY61" i="1"/>
  <c r="AY62" i="1"/>
  <c r="AY63" i="1"/>
  <c r="AY64" i="1"/>
  <c r="AY65" i="1"/>
  <c r="AY66" i="1"/>
  <c r="AY67" i="1"/>
  <c r="AY68" i="1"/>
  <c r="AY69" i="1"/>
  <c r="AY70" i="1"/>
  <c r="AY71" i="1"/>
  <c r="AY72" i="1"/>
  <c r="AY73" i="1"/>
  <c r="AY74" i="1"/>
  <c r="AY75" i="1"/>
  <c r="AY76" i="1"/>
  <c r="AY77" i="1"/>
  <c r="AY78" i="1"/>
  <c r="AY79" i="1"/>
  <c r="AY80" i="1"/>
  <c r="AY81" i="1"/>
  <c r="AY82" i="1"/>
  <c r="AY83" i="1"/>
  <c r="AY84" i="1"/>
  <c r="AY85" i="1"/>
  <c r="AY86" i="1"/>
  <c r="AY87" i="1"/>
  <c r="AY88" i="1"/>
  <c r="AY89" i="1"/>
  <c r="AY90" i="1"/>
  <c r="AY91" i="1"/>
  <c r="AY92" i="1"/>
  <c r="AY93" i="1"/>
  <c r="AY94" i="1"/>
  <c r="AY95" i="1"/>
  <c r="AY96" i="1"/>
  <c r="AY97" i="1"/>
  <c r="AY98" i="1"/>
  <c r="AY99" i="1"/>
  <c r="AY100" i="1"/>
  <c r="AY101" i="1"/>
  <c r="AY102" i="1"/>
  <c r="AY103" i="1"/>
  <c r="AY104" i="1"/>
  <c r="AY105" i="1"/>
  <c r="AY106" i="1"/>
  <c r="AY107" i="1"/>
  <c r="AY108" i="1"/>
  <c r="AY109" i="1"/>
  <c r="AY110" i="1"/>
  <c r="AY111" i="1"/>
  <c r="AY112" i="1"/>
  <c r="AY113" i="1"/>
  <c r="AY114" i="1"/>
  <c r="AY115" i="1"/>
  <c r="AY116" i="1"/>
  <c r="AY117" i="1"/>
  <c r="AY118" i="1"/>
  <c r="AY119" i="1"/>
  <c r="AY120" i="1"/>
  <c r="AY121" i="1"/>
  <c r="AY122" i="1"/>
  <c r="AY123" i="1"/>
  <c r="AY124" i="1"/>
  <c r="AY125" i="1"/>
  <c r="AY126" i="1"/>
  <c r="AY127" i="1"/>
  <c r="AY128" i="1"/>
  <c r="AY129" i="1"/>
  <c r="AY130" i="1"/>
  <c r="AY131" i="1"/>
  <c r="AY132" i="1"/>
  <c r="AY133" i="1"/>
  <c r="AY134" i="1"/>
  <c r="AY135" i="1"/>
  <c r="AY136" i="1"/>
  <c r="AY137" i="1"/>
  <c r="AY138" i="1"/>
  <c r="AY139" i="1"/>
  <c r="AY140" i="1"/>
  <c r="AY141" i="1"/>
  <c r="AY142" i="1"/>
  <c r="AY143" i="1"/>
  <c r="AY144" i="1"/>
  <c r="AY145" i="1"/>
  <c r="AY146" i="1"/>
  <c r="AY8" i="1"/>
  <c r="F154" i="1"/>
  <c r="M150" i="1"/>
  <c r="M149" i="1"/>
  <c r="N149" i="1" s="1"/>
  <c r="M148" i="1"/>
  <c r="M147" i="1"/>
  <c r="N147" i="1" s="1"/>
  <c r="M146" i="1"/>
  <c r="N146" i="1" s="1"/>
  <c r="M145" i="1"/>
  <c r="N148" i="1"/>
  <c r="N150" i="1"/>
  <c r="N164" i="2" l="1"/>
  <c r="K173" i="2"/>
  <c r="J168" i="2"/>
  <c r="M168" i="2"/>
  <c r="M174" i="2" s="1"/>
  <c r="L168" i="2"/>
  <c r="L174" i="2" s="1"/>
  <c r="L176" i="2" s="1"/>
  <c r="H168" i="2"/>
  <c r="K168" i="2"/>
  <c r="H173" i="2"/>
  <c r="J173" i="2"/>
  <c r="N166" i="2"/>
  <c r="G173" i="2"/>
  <c r="G174" i="2" s="1"/>
  <c r="G176" i="2" s="1"/>
  <c r="I173" i="2"/>
  <c r="I174" i="2" s="1"/>
  <c r="I176" i="2" s="1"/>
  <c r="N171" i="2"/>
  <c r="BI144" i="1"/>
  <c r="BJ144" i="1" s="1"/>
  <c r="M144" i="1"/>
  <c r="N144" i="1" s="1"/>
  <c r="M143" i="1"/>
  <c r="N143" i="1" s="1"/>
  <c r="M133" i="1"/>
  <c r="G133" i="1"/>
  <c r="N142" i="1"/>
  <c r="N141" i="1"/>
  <c r="N168" i="1"/>
  <c r="O168" i="1"/>
  <c r="M163" i="1"/>
  <c r="L162" i="1"/>
  <c r="L163" i="1" s="1"/>
  <c r="K162" i="1"/>
  <c r="J162" i="1"/>
  <c r="I162" i="1"/>
  <c r="H162" i="1"/>
  <c r="G162" i="1"/>
  <c r="K161" i="1"/>
  <c r="J161" i="1"/>
  <c r="I161" i="1"/>
  <c r="H161" i="1"/>
  <c r="G161" i="1"/>
  <c r="F161" i="1"/>
  <c r="F163" i="1" s="1"/>
  <c r="M156" i="1"/>
  <c r="L156" i="1"/>
  <c r="K156" i="1"/>
  <c r="J156" i="1"/>
  <c r="I156" i="1"/>
  <c r="G156" i="1"/>
  <c r="H156" i="1"/>
  <c r="F156" i="1"/>
  <c r="F158" i="1" s="1"/>
  <c r="F164" i="1" s="1"/>
  <c r="K174" i="2" l="1"/>
  <c r="K176" i="2" s="1"/>
  <c r="H174" i="2"/>
  <c r="H176" i="2" s="1"/>
  <c r="J174" i="2"/>
  <c r="J176" i="2" s="1"/>
  <c r="N168" i="2"/>
  <c r="N173" i="2"/>
  <c r="G163" i="1"/>
  <c r="H163" i="1"/>
  <c r="I163" i="1"/>
  <c r="J163" i="1"/>
  <c r="K163" i="1"/>
  <c r="N161" i="1"/>
  <c r="N162" i="1"/>
  <c r="N156" i="1"/>
  <c r="N174" i="2" l="1"/>
  <c r="N163" i="1"/>
  <c r="F166" i="1" l="1"/>
  <c r="M140" i="1"/>
  <c r="M139" i="1"/>
  <c r="M138" i="1"/>
  <c r="M137" i="1"/>
  <c r="M136" i="1"/>
  <c r="M135" i="1"/>
  <c r="M134" i="1"/>
  <c r="M132" i="1"/>
  <c r="M131" i="1"/>
  <c r="M130" i="1"/>
  <c r="M129" i="1"/>
  <c r="M128" i="1"/>
  <c r="M127" i="1"/>
  <c r="M126" i="1"/>
  <c r="M125" i="1"/>
  <c r="M123" i="1"/>
  <c r="M122" i="1"/>
  <c r="M121" i="1"/>
  <c r="M120" i="1"/>
  <c r="M118" i="1"/>
  <c r="M117" i="1"/>
  <c r="M116" i="1"/>
  <c r="M115" i="1"/>
  <c r="M114" i="1"/>
  <c r="M113" i="1"/>
  <c r="M112" i="1"/>
  <c r="M111" i="1"/>
  <c r="M108" i="1"/>
  <c r="M107" i="1"/>
  <c r="M104" i="1"/>
  <c r="M103" i="1"/>
  <c r="M102" i="1"/>
  <c r="M101" i="1"/>
  <c r="M100" i="1"/>
  <c r="M98" i="1"/>
  <c r="M97" i="1"/>
  <c r="M96" i="1"/>
  <c r="M95" i="1"/>
  <c r="M94" i="1"/>
  <c r="M92" i="1"/>
  <c r="M91" i="1"/>
  <c r="M90" i="1"/>
  <c r="M89" i="1"/>
  <c r="M87" i="1"/>
  <c r="M81" i="1"/>
  <c r="M80" i="1"/>
  <c r="M79" i="1"/>
  <c r="M78" i="1"/>
  <c r="M77" i="1"/>
  <c r="M76" i="1"/>
  <c r="M75" i="1"/>
  <c r="M74" i="1"/>
  <c r="M73" i="1"/>
  <c r="M72" i="1"/>
  <c r="M71" i="1"/>
  <c r="M70" i="1"/>
  <c r="M69" i="1"/>
  <c r="M66" i="1"/>
  <c r="M65" i="1"/>
  <c r="M63" i="1"/>
  <c r="M62" i="1"/>
  <c r="M61" i="1"/>
  <c r="M60" i="1"/>
  <c r="M59" i="1"/>
  <c r="M58" i="1"/>
  <c r="M57" i="1"/>
  <c r="M55" i="1"/>
  <c r="M54" i="1"/>
  <c r="M52" i="1"/>
  <c r="M51" i="1"/>
  <c r="M50" i="1"/>
  <c r="M49" i="1"/>
  <c r="M48" i="1"/>
  <c r="M47" i="1"/>
  <c r="M46" i="1"/>
  <c r="M43" i="1"/>
  <c r="M39" i="1"/>
  <c r="M38" i="1"/>
  <c r="M37" i="1"/>
  <c r="M36" i="1"/>
  <c r="M32" i="1" l="1"/>
  <c r="M30" i="1"/>
  <c r="M29" i="1"/>
  <c r="M27" i="1" l="1"/>
  <c r="M24" i="1"/>
  <c r="M17" i="1"/>
  <c r="M18" i="1"/>
  <c r="M22" i="1"/>
  <c r="L26" i="1"/>
  <c r="L31" i="1"/>
  <c r="L33" i="1"/>
  <c r="L34" i="1"/>
  <c r="L35" i="1"/>
  <c r="L40" i="1"/>
  <c r="L44" i="1"/>
  <c r="L45" i="1"/>
  <c r="L56" i="1"/>
  <c r="N56" i="1" s="1"/>
  <c r="L67" i="1"/>
  <c r="N67" i="1" s="1"/>
  <c r="L93" i="1"/>
  <c r="L99" i="1"/>
  <c r="N99" i="1" s="1"/>
  <c r="L105" i="1"/>
  <c r="L106" i="1"/>
  <c r="L109" i="1"/>
  <c r="L119" i="1"/>
  <c r="L124" i="1"/>
  <c r="N7" i="1"/>
  <c r="N6" i="1"/>
  <c r="E131" i="1"/>
  <c r="E130" i="1"/>
  <c r="E127" i="1"/>
  <c r="E123" i="1"/>
  <c r="E122" i="1"/>
  <c r="E121" i="1"/>
  <c r="E117" i="1"/>
  <c r="E116" i="1"/>
  <c r="E115" i="1"/>
  <c r="E113" i="1"/>
  <c r="E110" i="1"/>
  <c r="E108" i="1"/>
  <c r="E107" i="1"/>
  <c r="E106" i="1"/>
  <c r="E104" i="1"/>
  <c r="E102" i="1"/>
  <c r="E101" i="1"/>
  <c r="E100" i="1"/>
  <c r="E95" i="1"/>
  <c r="E93" i="1"/>
  <c r="E92" i="1"/>
  <c r="E91" i="1"/>
  <c r="E88" i="1"/>
  <c r="E87" i="1"/>
  <c r="E80" i="1"/>
  <c r="E79" i="1"/>
  <c r="E78" i="1"/>
  <c r="E77" i="1"/>
  <c r="E76" i="1"/>
  <c r="E72" i="1"/>
  <c r="E71" i="1"/>
  <c r="E69" i="1"/>
  <c r="E68" i="1"/>
  <c r="E67" i="1"/>
  <c r="E66" i="1"/>
  <c r="E65" i="1"/>
  <c r="E64" i="1"/>
  <c r="E63" i="1"/>
  <c r="E60" i="1"/>
  <c r="E59" i="1"/>
  <c r="E57" i="1"/>
  <c r="E53" i="1"/>
  <c r="E51" i="1"/>
  <c r="E47" i="1"/>
  <c r="E46" i="1"/>
  <c r="E40" i="1"/>
  <c r="E39" i="1"/>
  <c r="E38" i="1"/>
  <c r="E37" i="1"/>
  <c r="E36" i="1"/>
  <c r="E34" i="1"/>
  <c r="E33" i="1"/>
  <c r="E30" i="1"/>
  <c r="E29" i="1"/>
  <c r="E28" i="1"/>
  <c r="E25" i="1"/>
  <c r="E24" i="1"/>
  <c r="E22" i="1"/>
  <c r="E17" i="1"/>
  <c r="E14" i="1"/>
  <c r="E13" i="1"/>
  <c r="E12" i="1"/>
  <c r="E11" i="1"/>
  <c r="E10" i="1"/>
  <c r="E9" i="1"/>
  <c r="E8" i="1"/>
  <c r="E7" i="1"/>
  <c r="E6" i="1"/>
  <c r="D131" i="1"/>
  <c r="BF130" i="1" s="1"/>
  <c r="D130" i="1"/>
  <c r="BF129" i="1" s="1"/>
  <c r="D127" i="1"/>
  <c r="BF126" i="1" s="1"/>
  <c r="D123" i="1"/>
  <c r="BF122" i="1" s="1"/>
  <c r="D122" i="1"/>
  <c r="BF121" i="1" s="1"/>
  <c r="D121" i="1"/>
  <c r="BF120" i="1" s="1"/>
  <c r="D117" i="1"/>
  <c r="BF116" i="1" s="1"/>
  <c r="D116" i="1"/>
  <c r="BF115" i="1" s="1"/>
  <c r="D115" i="1"/>
  <c r="BF114" i="1" s="1"/>
  <c r="D113" i="1"/>
  <c r="BF112" i="1" s="1"/>
  <c r="D110" i="1"/>
  <c r="BF109" i="1" s="1"/>
  <c r="D108" i="1"/>
  <c r="BF107" i="1" s="1"/>
  <c r="D107" i="1"/>
  <c r="BF106" i="1" s="1"/>
  <c r="D106" i="1"/>
  <c r="BF105" i="1" s="1"/>
  <c r="D104" i="1"/>
  <c r="BF103" i="1" s="1"/>
  <c r="D102" i="1"/>
  <c r="BF100" i="1" s="1"/>
  <c r="D101" i="1"/>
  <c r="BF98" i="1" s="1"/>
  <c r="D100" i="1"/>
  <c r="BF97" i="1" s="1"/>
  <c r="D95" i="1"/>
  <c r="BF92" i="1" s="1"/>
  <c r="D93" i="1"/>
  <c r="BF101" i="1" s="1"/>
  <c r="D92" i="1"/>
  <c r="BF99" i="1" s="1"/>
  <c r="D91" i="1"/>
  <c r="BF90" i="1" s="1"/>
  <c r="D88" i="1"/>
  <c r="BF86" i="1" s="1"/>
  <c r="D87" i="1"/>
  <c r="BF87" i="1" s="1"/>
  <c r="D80" i="1"/>
  <c r="BF78" i="1" s="1"/>
  <c r="D79" i="1"/>
  <c r="BF77" i="1" s="1"/>
  <c r="D78" i="1"/>
  <c r="BF75" i="1" s="1"/>
  <c r="D77" i="1"/>
  <c r="BF76" i="1" s="1"/>
  <c r="D76" i="1"/>
  <c r="BF74" i="1" s="1"/>
  <c r="D72" i="1"/>
  <c r="BF70" i="1" s="1"/>
  <c r="D71" i="1"/>
  <c r="BF69" i="1" s="1"/>
  <c r="D69" i="1"/>
  <c r="BF79" i="1" s="1"/>
  <c r="D68" i="1"/>
  <c r="BF68" i="1" s="1"/>
  <c r="D67" i="1"/>
  <c r="D66" i="1"/>
  <c r="BF66" i="1" s="1"/>
  <c r="D65" i="1"/>
  <c r="BF64" i="1" s="1"/>
  <c r="D64" i="1"/>
  <c r="BF65" i="1" s="1"/>
  <c r="D63" i="1"/>
  <c r="BF62" i="1" s="1"/>
  <c r="D60" i="1"/>
  <c r="BF59" i="1" s="1"/>
  <c r="D59" i="1"/>
  <c r="BF58" i="1" s="1"/>
  <c r="D57" i="1"/>
  <c r="BF63" i="1" s="1"/>
  <c r="D53" i="1"/>
  <c r="BF53" i="1" s="1"/>
  <c r="D51" i="1"/>
  <c r="BF52" i="1" s="1"/>
  <c r="D47" i="1"/>
  <c r="BF47" i="1" s="1"/>
  <c r="D46" i="1"/>
  <c r="BF46" i="1" s="1"/>
  <c r="D40" i="1"/>
  <c r="BF42" i="1" s="1"/>
  <c r="D39" i="1"/>
  <c r="BF37" i="1" s="1"/>
  <c r="D38" i="1"/>
  <c r="BF39" i="1" s="1"/>
  <c r="D37" i="1"/>
  <c r="BF38" i="1" s="1"/>
  <c r="D36" i="1"/>
  <c r="BF36" i="1" s="1"/>
  <c r="D34" i="1"/>
  <c r="BF34" i="1" s="1"/>
  <c r="D33" i="1"/>
  <c r="BF33" i="1" s="1"/>
  <c r="D30" i="1"/>
  <c r="BF30" i="1" s="1"/>
  <c r="D29" i="1"/>
  <c r="BF29" i="1" s="1"/>
  <c r="D28" i="1"/>
  <c r="BF28" i="1" s="1"/>
  <c r="D25" i="1"/>
  <c r="BF25" i="1" s="1"/>
  <c r="D24" i="1"/>
  <c r="BF24" i="1" s="1"/>
  <c r="D22" i="1"/>
  <c r="BF22" i="1" s="1"/>
  <c r="D17" i="1"/>
  <c r="BF17" i="1" s="1"/>
  <c r="D14" i="1"/>
  <c r="BF16" i="1" s="1"/>
  <c r="D13" i="1"/>
  <c r="BF13" i="1" s="1"/>
  <c r="D12" i="1"/>
  <c r="BF12" i="1" s="1"/>
  <c r="D11" i="1"/>
  <c r="BF11" i="1" s="1"/>
  <c r="BG11" i="1" s="1"/>
  <c r="D10" i="1"/>
  <c r="BF10" i="1" s="1"/>
  <c r="D9" i="1"/>
  <c r="BF9" i="1" s="1"/>
  <c r="D8" i="1"/>
  <c r="D7" i="1"/>
  <c r="D6" i="1"/>
  <c r="R7" i="1"/>
  <c r="R8" i="1"/>
  <c r="R9" i="1"/>
  <c r="R10" i="1"/>
  <c r="R11" i="1"/>
  <c r="R12" i="1"/>
  <c r="R13" i="1"/>
  <c r="R14" i="1"/>
  <c r="R17" i="1"/>
  <c r="R22" i="1"/>
  <c r="R24" i="1"/>
  <c r="R25" i="1"/>
  <c r="R28" i="1"/>
  <c r="R29" i="1"/>
  <c r="R30" i="1"/>
  <c r="R33" i="1"/>
  <c r="R34" i="1"/>
  <c r="R36" i="1"/>
  <c r="R37" i="1"/>
  <c r="R38" i="1"/>
  <c r="R39" i="1"/>
  <c r="R40" i="1"/>
  <c r="R46" i="1"/>
  <c r="R47" i="1"/>
  <c r="R51" i="1"/>
  <c r="R53" i="1"/>
  <c r="R57" i="1"/>
  <c r="R59" i="1"/>
  <c r="R60" i="1"/>
  <c r="R63" i="1"/>
  <c r="R64" i="1"/>
  <c r="R65" i="1"/>
  <c r="R66" i="1"/>
  <c r="R67" i="1"/>
  <c r="R68" i="1"/>
  <c r="R69" i="1"/>
  <c r="R71" i="1"/>
  <c r="R72" i="1"/>
  <c r="R76" i="1"/>
  <c r="R77" i="1"/>
  <c r="R78" i="1"/>
  <c r="R79" i="1"/>
  <c r="R80" i="1"/>
  <c r="R87" i="1"/>
  <c r="R88" i="1"/>
  <c r="R91" i="1"/>
  <c r="R92" i="1"/>
  <c r="R93" i="1"/>
  <c r="R95" i="1"/>
  <c r="R100" i="1"/>
  <c r="R101" i="1"/>
  <c r="R102" i="1"/>
  <c r="R104" i="1"/>
  <c r="R106" i="1"/>
  <c r="R107" i="1"/>
  <c r="R108" i="1"/>
  <c r="R110" i="1"/>
  <c r="R113" i="1"/>
  <c r="R115" i="1"/>
  <c r="R116" i="1"/>
  <c r="R117" i="1"/>
  <c r="R121" i="1"/>
  <c r="R122" i="1"/>
  <c r="R123" i="1"/>
  <c r="R127" i="1"/>
  <c r="R130" i="1"/>
  <c r="R131" i="1"/>
  <c r="R6" i="1"/>
  <c r="W99" i="1"/>
  <c r="W98" i="1"/>
  <c r="W97" i="1"/>
  <c r="W96" i="1"/>
  <c r="W95" i="1"/>
  <c r="W94" i="1"/>
  <c r="W93" i="1"/>
  <c r="W92" i="1"/>
  <c r="W91" i="1"/>
  <c r="W90" i="1"/>
  <c r="W89" i="1"/>
  <c r="W88" i="1"/>
  <c r="W87" i="1"/>
  <c r="W86" i="1"/>
  <c r="W85" i="1"/>
  <c r="W84" i="1"/>
  <c r="W83" i="1"/>
  <c r="Q7" i="1"/>
  <c r="Q8" i="1"/>
  <c r="Q9" i="1"/>
  <c r="Q10" i="1"/>
  <c r="Q11" i="1"/>
  <c r="Q12" i="1"/>
  <c r="Q13" i="1"/>
  <c r="Q14" i="1"/>
  <c r="Q17" i="1"/>
  <c r="Q22" i="1"/>
  <c r="Q24" i="1"/>
  <c r="Q25" i="1"/>
  <c r="Q28" i="1"/>
  <c r="Q29" i="1"/>
  <c r="Q30" i="1"/>
  <c r="Q33" i="1"/>
  <c r="Q34" i="1"/>
  <c r="Q36" i="1"/>
  <c r="Q37" i="1"/>
  <c r="Q38" i="1"/>
  <c r="Q39" i="1"/>
  <c r="Q40" i="1"/>
  <c r="Q46" i="1"/>
  <c r="Q47" i="1"/>
  <c r="Q51" i="1"/>
  <c r="Q53" i="1"/>
  <c r="Q57" i="1"/>
  <c r="Q59" i="1"/>
  <c r="Q60" i="1"/>
  <c r="Q63" i="1"/>
  <c r="Q64" i="1"/>
  <c r="Q65" i="1"/>
  <c r="Q66" i="1"/>
  <c r="Q67" i="1"/>
  <c r="Q68" i="1"/>
  <c r="Q69" i="1"/>
  <c r="Q71" i="1"/>
  <c r="Q72" i="1"/>
  <c r="Q76" i="1"/>
  <c r="Q77" i="1"/>
  <c r="Q78" i="1"/>
  <c r="Q79" i="1"/>
  <c r="Q80" i="1"/>
  <c r="Q87" i="1"/>
  <c r="Q88" i="1"/>
  <c r="Q91" i="1"/>
  <c r="Q92" i="1"/>
  <c r="Q93" i="1"/>
  <c r="Q95" i="1"/>
  <c r="Q100" i="1"/>
  <c r="Q101" i="1"/>
  <c r="Q102" i="1"/>
  <c r="Q104" i="1"/>
  <c r="Q106" i="1"/>
  <c r="Q107" i="1"/>
  <c r="Q108" i="1"/>
  <c r="Q110" i="1"/>
  <c r="Q113" i="1"/>
  <c r="Q115" i="1"/>
  <c r="Q116" i="1"/>
  <c r="Q117" i="1"/>
  <c r="Q121" i="1"/>
  <c r="Q122" i="1"/>
  <c r="Q123" i="1"/>
  <c r="Q127" i="1"/>
  <c r="Q130" i="1"/>
  <c r="Q131" i="1"/>
  <c r="Q6" i="1"/>
  <c r="U99" i="1"/>
  <c r="U98" i="1"/>
  <c r="U97" i="1"/>
  <c r="U96" i="1"/>
  <c r="U95" i="1"/>
  <c r="U94" i="1"/>
  <c r="U93" i="1"/>
  <c r="U92" i="1"/>
  <c r="U91" i="1"/>
  <c r="U90" i="1"/>
  <c r="U89" i="1"/>
  <c r="U88" i="1"/>
  <c r="U87" i="1"/>
  <c r="U86" i="1"/>
  <c r="U85" i="1"/>
  <c r="U84" i="1"/>
  <c r="U83" i="1"/>
  <c r="M15" i="1"/>
  <c r="M16" i="1"/>
  <c r="M53" i="1"/>
  <c r="M68" i="1"/>
  <c r="K15" i="1"/>
  <c r="K16" i="1"/>
  <c r="K17" i="1"/>
  <c r="K18" i="1"/>
  <c r="K19" i="1"/>
  <c r="K20" i="1"/>
  <c r="K21" i="1"/>
  <c r="K22" i="1"/>
  <c r="L22" i="1" s="1"/>
  <c r="K23" i="1"/>
  <c r="K24" i="1"/>
  <c r="L24" i="1" s="1"/>
  <c r="K25" i="1"/>
  <c r="K27" i="1"/>
  <c r="L27" i="1" s="1"/>
  <c r="K28" i="1"/>
  <c r="K29" i="1"/>
  <c r="L29" i="1" s="1"/>
  <c r="K30" i="1"/>
  <c r="L30" i="1" s="1"/>
  <c r="K32" i="1"/>
  <c r="L32" i="1" s="1"/>
  <c r="K36" i="1"/>
  <c r="L36" i="1" s="1"/>
  <c r="K37" i="1"/>
  <c r="L37" i="1" s="1"/>
  <c r="K38" i="1"/>
  <c r="L38" i="1" s="1"/>
  <c r="K39" i="1"/>
  <c r="L39" i="1" s="1"/>
  <c r="K41" i="1"/>
  <c r="K42" i="1"/>
  <c r="K43" i="1"/>
  <c r="L43" i="1" s="1"/>
  <c r="K46" i="1"/>
  <c r="L46" i="1" s="1"/>
  <c r="K47" i="1"/>
  <c r="L47" i="1" s="1"/>
  <c r="K48" i="1"/>
  <c r="L48" i="1" s="1"/>
  <c r="K49" i="1"/>
  <c r="L49" i="1" s="1"/>
  <c r="K50" i="1"/>
  <c r="L50" i="1" s="1"/>
  <c r="K51" i="1"/>
  <c r="L51" i="1" s="1"/>
  <c r="K52" i="1"/>
  <c r="L52" i="1" s="1"/>
  <c r="K53" i="1"/>
  <c r="K54" i="1"/>
  <c r="L54" i="1" s="1"/>
  <c r="K55" i="1"/>
  <c r="L55" i="1" s="1"/>
  <c r="K57" i="1"/>
  <c r="L57" i="1" s="1"/>
  <c r="K58" i="1"/>
  <c r="L58" i="1" s="1"/>
  <c r="K59" i="1"/>
  <c r="L59" i="1" s="1"/>
  <c r="K60" i="1"/>
  <c r="L60" i="1" s="1"/>
  <c r="K61" i="1"/>
  <c r="L61" i="1" s="1"/>
  <c r="K62" i="1"/>
  <c r="L62" i="1" s="1"/>
  <c r="K63" i="1"/>
  <c r="L63" i="1" s="1"/>
  <c r="K64" i="1"/>
  <c r="K65" i="1"/>
  <c r="L65" i="1" s="1"/>
  <c r="K66" i="1"/>
  <c r="L66" i="1" s="1"/>
  <c r="K68" i="1"/>
  <c r="K69" i="1"/>
  <c r="L69" i="1" s="1"/>
  <c r="K70" i="1"/>
  <c r="L70" i="1" s="1"/>
  <c r="K71" i="1"/>
  <c r="L71" i="1" s="1"/>
  <c r="K72" i="1"/>
  <c r="L72" i="1" s="1"/>
  <c r="K73" i="1"/>
  <c r="L73" i="1" s="1"/>
  <c r="K74" i="1"/>
  <c r="L74" i="1" s="1"/>
  <c r="K75" i="1"/>
  <c r="L75" i="1" s="1"/>
  <c r="K76" i="1"/>
  <c r="L76" i="1" s="1"/>
  <c r="K77" i="1"/>
  <c r="L77" i="1" s="1"/>
  <c r="K78" i="1"/>
  <c r="L78" i="1" s="1"/>
  <c r="K79" i="1"/>
  <c r="L79" i="1" s="1"/>
  <c r="K80" i="1"/>
  <c r="L80" i="1" s="1"/>
  <c r="K81" i="1"/>
  <c r="L81" i="1" s="1"/>
  <c r="K82" i="1"/>
  <c r="K83" i="1"/>
  <c r="K84" i="1"/>
  <c r="K85" i="1"/>
  <c r="K86" i="1"/>
  <c r="K87" i="1"/>
  <c r="L87" i="1" s="1"/>
  <c r="K88" i="1"/>
  <c r="K89" i="1"/>
  <c r="L89" i="1" s="1"/>
  <c r="K90" i="1"/>
  <c r="L90" i="1" s="1"/>
  <c r="K91" i="1"/>
  <c r="L91" i="1" s="1"/>
  <c r="K92" i="1"/>
  <c r="L92" i="1" s="1"/>
  <c r="K94" i="1"/>
  <c r="L94" i="1" s="1"/>
  <c r="K95" i="1"/>
  <c r="L95" i="1" s="1"/>
  <c r="K96" i="1"/>
  <c r="L96" i="1" s="1"/>
  <c r="K97" i="1"/>
  <c r="L97" i="1" s="1"/>
  <c r="K98" i="1"/>
  <c r="L98" i="1" s="1"/>
  <c r="K100" i="1"/>
  <c r="L100" i="1" s="1"/>
  <c r="K101" i="1"/>
  <c r="L101" i="1" s="1"/>
  <c r="K102" i="1"/>
  <c r="L102" i="1" s="1"/>
  <c r="K103" i="1"/>
  <c r="L103" i="1" s="1"/>
  <c r="K104" i="1"/>
  <c r="L104" i="1" s="1"/>
  <c r="K107" i="1"/>
  <c r="L107" i="1" s="1"/>
  <c r="K108" i="1"/>
  <c r="L108" i="1" s="1"/>
  <c r="K110" i="1"/>
  <c r="K111" i="1"/>
  <c r="L111" i="1" s="1"/>
  <c r="K112" i="1"/>
  <c r="L112" i="1" s="1"/>
  <c r="K113" i="1"/>
  <c r="L113" i="1" s="1"/>
  <c r="K114" i="1"/>
  <c r="L114" i="1" s="1"/>
  <c r="K115" i="1"/>
  <c r="L115" i="1" s="1"/>
  <c r="K116" i="1"/>
  <c r="L116" i="1" s="1"/>
  <c r="K117" i="1"/>
  <c r="L117" i="1" s="1"/>
  <c r="K118" i="1"/>
  <c r="L118" i="1" s="1"/>
  <c r="K120" i="1"/>
  <c r="L120" i="1" s="1"/>
  <c r="K121" i="1"/>
  <c r="L121" i="1" s="1"/>
  <c r="K122" i="1"/>
  <c r="L122" i="1" s="1"/>
  <c r="K123" i="1"/>
  <c r="L123" i="1" s="1"/>
  <c r="K125" i="1"/>
  <c r="L125" i="1" s="1"/>
  <c r="K126" i="1"/>
  <c r="L126" i="1" s="1"/>
  <c r="K127" i="1"/>
  <c r="L127" i="1" s="1"/>
  <c r="K128" i="1"/>
  <c r="L128" i="1" s="1"/>
  <c r="K129" i="1"/>
  <c r="L129" i="1" s="1"/>
  <c r="K130" i="1"/>
  <c r="L130" i="1" s="1"/>
  <c r="K131" i="1"/>
  <c r="L131" i="1" s="1"/>
  <c r="K132" i="1"/>
  <c r="L132" i="1" s="1"/>
  <c r="K133" i="1"/>
  <c r="L133" i="1" s="1"/>
  <c r="K134" i="1"/>
  <c r="L134" i="1" s="1"/>
  <c r="K135" i="1"/>
  <c r="L135" i="1" s="1"/>
  <c r="K136" i="1"/>
  <c r="L136" i="1" s="1"/>
  <c r="K137" i="1"/>
  <c r="L137" i="1" s="1"/>
  <c r="K138" i="1"/>
  <c r="L138" i="1" s="1"/>
  <c r="K139" i="1"/>
  <c r="L139" i="1" s="1"/>
  <c r="K140" i="1"/>
  <c r="L140" i="1" s="1"/>
  <c r="J10" i="1"/>
  <c r="J14" i="1"/>
  <c r="J15" i="1"/>
  <c r="J16" i="1"/>
  <c r="J17" i="1"/>
  <c r="J18" i="1"/>
  <c r="J19" i="1"/>
  <c r="J20" i="1"/>
  <c r="J21" i="1"/>
  <c r="J22" i="1"/>
  <c r="J23" i="1"/>
  <c r="J24" i="1"/>
  <c r="J25" i="1"/>
  <c r="J27" i="1"/>
  <c r="J28" i="1"/>
  <c r="J29" i="1"/>
  <c r="J30" i="1"/>
  <c r="J32" i="1"/>
  <c r="J35" i="1"/>
  <c r="J36" i="1"/>
  <c r="J37" i="1"/>
  <c r="J38" i="1"/>
  <c r="J39" i="1"/>
  <c r="J40" i="1"/>
  <c r="J41" i="1"/>
  <c r="J42" i="1"/>
  <c r="J43" i="1"/>
  <c r="J45" i="1"/>
  <c r="J46" i="1"/>
  <c r="J47" i="1"/>
  <c r="J48" i="1"/>
  <c r="J49" i="1"/>
  <c r="J50" i="1"/>
  <c r="J51" i="1"/>
  <c r="J52" i="1"/>
  <c r="J53" i="1"/>
  <c r="J54" i="1"/>
  <c r="J55" i="1"/>
  <c r="J57" i="1"/>
  <c r="J58" i="1"/>
  <c r="J59" i="1"/>
  <c r="J60" i="1"/>
  <c r="J61" i="1"/>
  <c r="J62" i="1"/>
  <c r="J63" i="1"/>
  <c r="J64" i="1"/>
  <c r="J65" i="1"/>
  <c r="J66" i="1"/>
  <c r="J68" i="1"/>
  <c r="J69" i="1"/>
  <c r="J70" i="1"/>
  <c r="J71" i="1"/>
  <c r="J72" i="1"/>
  <c r="J73" i="1"/>
  <c r="J74" i="1"/>
  <c r="J75" i="1"/>
  <c r="J76" i="1"/>
  <c r="J77" i="1"/>
  <c r="J78" i="1"/>
  <c r="J79" i="1"/>
  <c r="J80" i="1"/>
  <c r="J81" i="1"/>
  <c r="J82" i="1"/>
  <c r="J83" i="1"/>
  <c r="J84" i="1"/>
  <c r="J85" i="1"/>
  <c r="J86" i="1"/>
  <c r="J87" i="1"/>
  <c r="J88" i="1"/>
  <c r="J89" i="1"/>
  <c r="J90" i="1"/>
  <c r="J91" i="1"/>
  <c r="J92" i="1"/>
  <c r="J94" i="1"/>
  <c r="J95" i="1"/>
  <c r="J96" i="1"/>
  <c r="J97" i="1"/>
  <c r="J98" i="1"/>
  <c r="J100" i="1"/>
  <c r="J101" i="1"/>
  <c r="J102" i="1"/>
  <c r="J103" i="1"/>
  <c r="J104" i="1"/>
  <c r="J106" i="1"/>
  <c r="J107" i="1"/>
  <c r="J108" i="1"/>
  <c r="J110" i="1"/>
  <c r="J111" i="1"/>
  <c r="J112" i="1"/>
  <c r="J113" i="1"/>
  <c r="J114" i="1"/>
  <c r="J115" i="1"/>
  <c r="J116" i="1"/>
  <c r="J117" i="1"/>
  <c r="J118" i="1"/>
  <c r="J120" i="1"/>
  <c r="J121" i="1"/>
  <c r="J122" i="1"/>
  <c r="J123" i="1"/>
  <c r="J125" i="1"/>
  <c r="J126" i="1"/>
  <c r="J127" i="1"/>
  <c r="J128" i="1"/>
  <c r="J129" i="1"/>
  <c r="J130" i="1"/>
  <c r="J131" i="1"/>
  <c r="J132" i="1"/>
  <c r="J133" i="1"/>
  <c r="J134" i="1"/>
  <c r="J135" i="1"/>
  <c r="J136" i="1"/>
  <c r="J137" i="1"/>
  <c r="J138" i="1"/>
  <c r="J139" i="1"/>
  <c r="J140" i="1"/>
  <c r="I8" i="1"/>
  <c r="I9" i="1"/>
  <c r="I10" i="1"/>
  <c r="I14" i="1"/>
  <c r="I15" i="1"/>
  <c r="I16" i="1"/>
  <c r="I17" i="1"/>
  <c r="I18" i="1"/>
  <c r="I19" i="1"/>
  <c r="I20" i="1"/>
  <c r="I21" i="1"/>
  <c r="I22" i="1"/>
  <c r="I23" i="1"/>
  <c r="I24" i="1"/>
  <c r="I25" i="1"/>
  <c r="I27" i="1"/>
  <c r="I28" i="1"/>
  <c r="I29" i="1"/>
  <c r="I30" i="1"/>
  <c r="I31" i="1"/>
  <c r="I32" i="1"/>
  <c r="I33" i="1"/>
  <c r="I35" i="1"/>
  <c r="I36" i="1"/>
  <c r="I37" i="1"/>
  <c r="I38" i="1"/>
  <c r="I39" i="1"/>
  <c r="I40" i="1"/>
  <c r="I41" i="1"/>
  <c r="I42" i="1"/>
  <c r="I43" i="1"/>
  <c r="I45" i="1"/>
  <c r="I46" i="1"/>
  <c r="I47" i="1"/>
  <c r="I48" i="1"/>
  <c r="I50" i="1"/>
  <c r="I51" i="1"/>
  <c r="I52" i="1"/>
  <c r="I53" i="1"/>
  <c r="I54" i="1"/>
  <c r="I55" i="1"/>
  <c r="I57" i="1"/>
  <c r="I58" i="1"/>
  <c r="I59" i="1"/>
  <c r="I60" i="1"/>
  <c r="I61" i="1"/>
  <c r="I62" i="1"/>
  <c r="I63" i="1"/>
  <c r="I64" i="1"/>
  <c r="I65" i="1"/>
  <c r="I66" i="1"/>
  <c r="I68" i="1"/>
  <c r="I69" i="1"/>
  <c r="I70" i="1"/>
  <c r="I71" i="1"/>
  <c r="I72" i="1"/>
  <c r="I73" i="1"/>
  <c r="I74" i="1"/>
  <c r="I75" i="1"/>
  <c r="I76" i="1"/>
  <c r="I77" i="1"/>
  <c r="I78" i="1"/>
  <c r="I79" i="1"/>
  <c r="I80" i="1"/>
  <c r="I81" i="1"/>
  <c r="I82" i="1"/>
  <c r="I83" i="1"/>
  <c r="I84" i="1"/>
  <c r="I85" i="1"/>
  <c r="I86" i="1"/>
  <c r="I87" i="1"/>
  <c r="I88" i="1"/>
  <c r="I89" i="1"/>
  <c r="I90" i="1"/>
  <c r="I91" i="1"/>
  <c r="I92" i="1"/>
  <c r="I94" i="1"/>
  <c r="I95" i="1"/>
  <c r="I96" i="1"/>
  <c r="I97" i="1"/>
  <c r="I98" i="1"/>
  <c r="I100" i="1"/>
  <c r="I101" i="1"/>
  <c r="I102" i="1"/>
  <c r="I103" i="1"/>
  <c r="I104" i="1"/>
  <c r="I106" i="1"/>
  <c r="I107" i="1"/>
  <c r="I108" i="1"/>
  <c r="I110" i="1"/>
  <c r="I111" i="1"/>
  <c r="I112" i="1"/>
  <c r="I113" i="1"/>
  <c r="I114" i="1"/>
  <c r="I115" i="1"/>
  <c r="I116" i="1"/>
  <c r="I117" i="1"/>
  <c r="I118" i="1"/>
  <c r="I120" i="1"/>
  <c r="I121" i="1"/>
  <c r="I122" i="1"/>
  <c r="I123" i="1"/>
  <c r="I125" i="1"/>
  <c r="I126" i="1"/>
  <c r="I127" i="1"/>
  <c r="I128" i="1"/>
  <c r="I129" i="1"/>
  <c r="I130" i="1"/>
  <c r="I131" i="1"/>
  <c r="I132" i="1"/>
  <c r="I133" i="1"/>
  <c r="I134" i="1"/>
  <c r="I135" i="1"/>
  <c r="I136" i="1"/>
  <c r="I137" i="1"/>
  <c r="I138" i="1"/>
  <c r="I139" i="1"/>
  <c r="I140" i="1"/>
  <c r="H8" i="1"/>
  <c r="H9" i="1"/>
  <c r="H10" i="1"/>
  <c r="H13" i="1"/>
  <c r="H14" i="1"/>
  <c r="H15" i="1"/>
  <c r="H16" i="1"/>
  <c r="H17" i="1"/>
  <c r="H18" i="1"/>
  <c r="H19" i="1"/>
  <c r="H20" i="1"/>
  <c r="H21" i="1"/>
  <c r="H22" i="1"/>
  <c r="H23" i="1"/>
  <c r="H24" i="1"/>
  <c r="H25" i="1"/>
  <c r="H26" i="1"/>
  <c r="H27" i="1"/>
  <c r="H28" i="1"/>
  <c r="H29" i="1"/>
  <c r="H30" i="1"/>
  <c r="H31" i="1"/>
  <c r="H32" i="1"/>
  <c r="H33" i="1"/>
  <c r="H35" i="1"/>
  <c r="H36" i="1"/>
  <c r="H37" i="1"/>
  <c r="H38" i="1"/>
  <c r="H39" i="1"/>
  <c r="H40" i="1"/>
  <c r="H41" i="1"/>
  <c r="H42" i="1"/>
  <c r="H43" i="1"/>
  <c r="H44" i="1"/>
  <c r="H45" i="1"/>
  <c r="H46" i="1"/>
  <c r="H47" i="1"/>
  <c r="H48" i="1"/>
  <c r="H49" i="1"/>
  <c r="H50" i="1"/>
  <c r="H51" i="1"/>
  <c r="H52" i="1"/>
  <c r="H53" i="1"/>
  <c r="H54" i="1"/>
  <c r="H55" i="1"/>
  <c r="H57" i="1"/>
  <c r="H58" i="1"/>
  <c r="H59" i="1"/>
  <c r="H60" i="1"/>
  <c r="H61" i="1"/>
  <c r="H62" i="1"/>
  <c r="H63" i="1"/>
  <c r="H64" i="1"/>
  <c r="H65" i="1"/>
  <c r="H66" i="1"/>
  <c r="H68" i="1"/>
  <c r="H69" i="1"/>
  <c r="H70" i="1"/>
  <c r="H71" i="1"/>
  <c r="H72" i="1"/>
  <c r="H73" i="1"/>
  <c r="H74" i="1"/>
  <c r="H75" i="1"/>
  <c r="H76" i="1"/>
  <c r="H77" i="1"/>
  <c r="H78" i="1"/>
  <c r="H79" i="1"/>
  <c r="H80" i="1"/>
  <c r="H81" i="1"/>
  <c r="H82" i="1"/>
  <c r="H83" i="1"/>
  <c r="H84" i="1"/>
  <c r="H85" i="1"/>
  <c r="H86" i="1"/>
  <c r="H87" i="1"/>
  <c r="H88" i="1"/>
  <c r="H89" i="1"/>
  <c r="H90" i="1"/>
  <c r="H91" i="1"/>
  <c r="H92" i="1"/>
  <c r="H94" i="1"/>
  <c r="H95" i="1"/>
  <c r="H96" i="1"/>
  <c r="H97" i="1"/>
  <c r="H98" i="1"/>
  <c r="H100" i="1"/>
  <c r="H101" i="1"/>
  <c r="H102" i="1"/>
  <c r="H103" i="1"/>
  <c r="H104" i="1"/>
  <c r="H106" i="1"/>
  <c r="H107" i="1"/>
  <c r="H108" i="1"/>
  <c r="H110" i="1"/>
  <c r="H111" i="1"/>
  <c r="H112" i="1"/>
  <c r="H113" i="1"/>
  <c r="H114" i="1"/>
  <c r="H115" i="1"/>
  <c r="H116" i="1"/>
  <c r="H117" i="1"/>
  <c r="H118" i="1"/>
  <c r="H120" i="1"/>
  <c r="H121" i="1"/>
  <c r="H122" i="1"/>
  <c r="H123" i="1"/>
  <c r="H125" i="1"/>
  <c r="H126" i="1"/>
  <c r="H127" i="1"/>
  <c r="H128" i="1"/>
  <c r="H129" i="1"/>
  <c r="H130" i="1"/>
  <c r="H131" i="1"/>
  <c r="H132" i="1"/>
  <c r="H133" i="1"/>
  <c r="H134" i="1"/>
  <c r="H135" i="1"/>
  <c r="H136" i="1"/>
  <c r="H137" i="1"/>
  <c r="H138" i="1"/>
  <c r="H139" i="1"/>
  <c r="H140" i="1"/>
  <c r="G8" i="1"/>
  <c r="G9" i="1"/>
  <c r="G10" i="1"/>
  <c r="G11" i="1"/>
  <c r="N11" i="1" s="1"/>
  <c r="G12" i="1"/>
  <c r="N12" i="1" s="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7" i="1"/>
  <c r="G58" i="1"/>
  <c r="G59" i="1"/>
  <c r="G60" i="1"/>
  <c r="G61" i="1"/>
  <c r="G62" i="1"/>
  <c r="G63" i="1"/>
  <c r="G64" i="1"/>
  <c r="G65" i="1"/>
  <c r="G66"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4" i="1"/>
  <c r="G135" i="1"/>
  <c r="G136" i="1"/>
  <c r="G137" i="1"/>
  <c r="G138" i="1"/>
  <c r="G139" i="1"/>
  <c r="G140" i="1"/>
  <c r="BG9" i="1" l="1"/>
  <c r="BH9" i="1" s="1"/>
  <c r="BG10" i="1"/>
  <c r="BH10" i="1" s="1"/>
  <c r="BH11" i="1"/>
  <c r="BG16" i="1"/>
  <c r="BH16" i="1" s="1"/>
  <c r="BF8" i="1"/>
  <c r="BG8" i="1" s="1"/>
  <c r="BH8" i="1" s="1"/>
  <c r="BG12" i="1"/>
  <c r="BH12" i="1" s="1"/>
  <c r="BG13" i="1"/>
  <c r="BH13" i="1" s="1"/>
  <c r="G154" i="1"/>
  <c r="H154" i="1"/>
  <c r="H158" i="1" s="1"/>
  <c r="H164" i="1" s="1"/>
  <c r="H166" i="1" s="1"/>
  <c r="I154" i="1"/>
  <c r="I158" i="1" s="1"/>
  <c r="I164" i="1" s="1"/>
  <c r="I166" i="1" s="1"/>
  <c r="K154" i="1"/>
  <c r="K158" i="1" s="1"/>
  <c r="K164" i="1" s="1"/>
  <c r="K166" i="1" s="1"/>
  <c r="J154" i="1"/>
  <c r="J158" i="1" s="1"/>
  <c r="J164" i="1" s="1"/>
  <c r="J166" i="1" s="1"/>
  <c r="M154" i="1"/>
  <c r="M158" i="1" s="1"/>
  <c r="M164" i="1" s="1"/>
  <c r="L154" i="1"/>
  <c r="L158" i="1" s="1"/>
  <c r="L164" i="1" s="1"/>
  <c r="L166" i="1" s="1"/>
  <c r="N9" i="1"/>
  <c r="G158" i="1"/>
  <c r="G164" i="1" s="1"/>
  <c r="R141" i="1"/>
  <c r="N45" i="1"/>
  <c r="N28" i="1"/>
  <c r="Q141" i="1"/>
  <c r="N14" i="1"/>
  <c r="N13" i="1"/>
  <c r="N110" i="1"/>
  <c r="N22" i="1"/>
  <c r="N134" i="1"/>
  <c r="N93" i="1"/>
  <c r="N43" i="1"/>
  <c r="N46" i="1"/>
  <c r="N86" i="1"/>
  <c r="N44" i="1"/>
  <c r="N102" i="1"/>
  <c r="N60" i="1"/>
  <c r="N19" i="1"/>
  <c r="N117" i="1"/>
  <c r="N109" i="1"/>
  <c r="N101" i="1"/>
  <c r="N92" i="1"/>
  <c r="N84" i="1"/>
  <c r="N76" i="1"/>
  <c r="N68" i="1"/>
  <c r="N59" i="1"/>
  <c r="N50" i="1"/>
  <c r="N42" i="1"/>
  <c r="N34" i="1"/>
  <c r="N26" i="1"/>
  <c r="N18" i="1"/>
  <c r="N10" i="1"/>
  <c r="N61" i="1"/>
  <c r="N126" i="1"/>
  <c r="N85" i="1"/>
  <c r="N51" i="1"/>
  <c r="N133" i="1"/>
  <c r="N132" i="1"/>
  <c r="N124" i="1"/>
  <c r="N116" i="1"/>
  <c r="N108" i="1"/>
  <c r="N100" i="1"/>
  <c r="N91" i="1"/>
  <c r="N83" i="1"/>
  <c r="N75" i="1"/>
  <c r="N66" i="1"/>
  <c r="N58" i="1"/>
  <c r="N17" i="1"/>
  <c r="N54" i="1"/>
  <c r="N30" i="1"/>
  <c r="N62" i="1"/>
  <c r="N37" i="1"/>
  <c r="N21" i="1"/>
  <c r="N78" i="1"/>
  <c r="N52" i="1"/>
  <c r="N20" i="1"/>
  <c r="N118" i="1"/>
  <c r="N69" i="1"/>
  <c r="N140" i="1"/>
  <c r="N139" i="1"/>
  <c r="N131" i="1"/>
  <c r="N123" i="1"/>
  <c r="N115" i="1"/>
  <c r="N107" i="1"/>
  <c r="N98" i="1"/>
  <c r="N90" i="1"/>
  <c r="N82" i="1"/>
  <c r="N74" i="1"/>
  <c r="N16" i="1"/>
  <c r="N38" i="1"/>
  <c r="N53" i="1"/>
  <c r="N29" i="1"/>
  <c r="N94" i="1"/>
  <c r="N70" i="1"/>
  <c r="N36" i="1"/>
  <c r="N77" i="1"/>
  <c r="N35" i="1"/>
  <c r="N125" i="1"/>
  <c r="N138" i="1"/>
  <c r="N130" i="1"/>
  <c r="N122" i="1"/>
  <c r="N114" i="1"/>
  <c r="N106" i="1"/>
  <c r="N15" i="1"/>
  <c r="N27" i="1"/>
  <c r="N49" i="1"/>
  <c r="N25" i="1"/>
  <c r="N57" i="1"/>
  <c r="N32" i="1"/>
  <c r="N97" i="1"/>
  <c r="N89" i="1"/>
  <c r="N81" i="1"/>
  <c r="N73" i="1"/>
  <c r="N64" i="1"/>
  <c r="N55" i="1"/>
  <c r="N47" i="1"/>
  <c r="N39" i="1"/>
  <c r="N31" i="1"/>
  <c r="N23" i="1"/>
  <c r="N41" i="1"/>
  <c r="N137" i="1"/>
  <c r="N121" i="1"/>
  <c r="N113" i="1"/>
  <c r="N105" i="1"/>
  <c r="N96" i="1"/>
  <c r="N88" i="1"/>
  <c r="N80" i="1"/>
  <c r="N72" i="1"/>
  <c r="N63" i="1"/>
  <c r="N136" i="1"/>
  <c r="N128" i="1"/>
  <c r="N120" i="1"/>
  <c r="N112" i="1"/>
  <c r="N104" i="1"/>
  <c r="N95" i="1"/>
  <c r="N87" i="1"/>
  <c r="N79" i="1"/>
  <c r="N71" i="1"/>
  <c r="N33" i="1"/>
  <c r="N65" i="1"/>
  <c r="N48" i="1"/>
  <c r="N24" i="1"/>
  <c r="N129" i="1"/>
  <c r="N135" i="1"/>
  <c r="N127" i="1"/>
  <c r="N119" i="1"/>
  <c r="N111" i="1"/>
  <c r="N103" i="1"/>
  <c r="N40" i="1"/>
  <c r="N8" i="1"/>
  <c r="D138" i="1"/>
  <c r="BF137" i="1" s="1"/>
  <c r="E140" i="1"/>
  <c r="D35" i="1"/>
  <c r="BF35" i="1" s="1"/>
  <c r="BG35" i="1" s="1"/>
  <c r="BH35" i="1" s="1"/>
  <c r="D20" i="1"/>
  <c r="BF20" i="1" s="1"/>
  <c r="D52" i="1"/>
  <c r="BF51" i="1" s="1"/>
  <c r="D62" i="1"/>
  <c r="BF61" i="1" s="1"/>
  <c r="D70" i="1"/>
  <c r="BF67" i="1" s="1"/>
  <c r="D97" i="1"/>
  <c r="BF95" i="1" s="1"/>
  <c r="D114" i="1"/>
  <c r="BF113" i="1" s="1"/>
  <c r="D139" i="1"/>
  <c r="BF139" i="1" s="1"/>
  <c r="E42" i="1"/>
  <c r="E56" i="1"/>
  <c r="E99" i="1"/>
  <c r="E125" i="1"/>
  <c r="E133" i="1"/>
  <c r="D21" i="1"/>
  <c r="BF21" i="1" s="1"/>
  <c r="BG21" i="1" s="1"/>
  <c r="BH21" i="1" s="1"/>
  <c r="D41" i="1"/>
  <c r="BF40" i="1" s="1"/>
  <c r="D89" i="1"/>
  <c r="BF88" i="1" s="1"/>
  <c r="D98" i="1"/>
  <c r="BF94" i="1" s="1"/>
  <c r="D124" i="1"/>
  <c r="BF123" i="1" s="1"/>
  <c r="D132" i="1"/>
  <c r="BF131" i="1" s="1"/>
  <c r="D140" i="1"/>
  <c r="BF138" i="1" s="1"/>
  <c r="E23" i="1"/>
  <c r="E35" i="1"/>
  <c r="E73" i="1"/>
  <c r="E83" i="1"/>
  <c r="E109" i="1"/>
  <c r="E126" i="1"/>
  <c r="E134" i="1"/>
  <c r="D42" i="1"/>
  <c r="BF41" i="1" s="1"/>
  <c r="D56" i="1"/>
  <c r="BF56" i="1" s="1"/>
  <c r="D99" i="1"/>
  <c r="BF96" i="1" s="1"/>
  <c r="D125" i="1"/>
  <c r="BF124" i="1" s="1"/>
  <c r="D133" i="1"/>
  <c r="BF132" i="1" s="1"/>
  <c r="E58" i="1"/>
  <c r="E74" i="1"/>
  <c r="E84" i="1"/>
  <c r="E119" i="1"/>
  <c r="D23" i="1"/>
  <c r="BF23" i="1" s="1"/>
  <c r="D73" i="1"/>
  <c r="BF71" i="1" s="1"/>
  <c r="D83" i="1"/>
  <c r="BF82" i="1" s="1"/>
  <c r="D109" i="1"/>
  <c r="BF108" i="1" s="1"/>
  <c r="D126" i="1"/>
  <c r="BF127" i="1" s="1"/>
  <c r="D134" i="1"/>
  <c r="BF133" i="1" s="1"/>
  <c r="E15" i="1"/>
  <c r="E49" i="1"/>
  <c r="E75" i="1"/>
  <c r="E85" i="1"/>
  <c r="E94" i="1"/>
  <c r="E111" i="1"/>
  <c r="E120" i="1"/>
  <c r="E128" i="1"/>
  <c r="D58" i="1"/>
  <c r="BF57" i="1" s="1"/>
  <c r="D74" i="1"/>
  <c r="BF73" i="1" s="1"/>
  <c r="D84" i="1"/>
  <c r="BF83" i="1" s="1"/>
  <c r="D119" i="1"/>
  <c r="BF118" i="1" s="1"/>
  <c r="E16" i="1"/>
  <c r="E50" i="1"/>
  <c r="E86" i="1"/>
  <c r="E112" i="1"/>
  <c r="E129" i="1"/>
  <c r="D15" i="1"/>
  <c r="BF14" i="1" s="1"/>
  <c r="D49" i="1"/>
  <c r="BF49" i="1" s="1"/>
  <c r="D75" i="1"/>
  <c r="BF72" i="1" s="1"/>
  <c r="D85" i="1"/>
  <c r="BF84" i="1" s="1"/>
  <c r="D94" i="1"/>
  <c r="BF91" i="1" s="1"/>
  <c r="D111" i="1"/>
  <c r="BF111" i="1" s="1"/>
  <c r="D120" i="1"/>
  <c r="BF119" i="1" s="1"/>
  <c r="D128" i="1"/>
  <c r="BF125" i="1" s="1"/>
  <c r="E61" i="1"/>
  <c r="E96" i="1"/>
  <c r="E105" i="1"/>
  <c r="E138" i="1"/>
  <c r="D16" i="1"/>
  <c r="BF15" i="1" s="1"/>
  <c r="D50" i="1"/>
  <c r="BF50" i="1" s="1"/>
  <c r="BG50" i="1" s="1"/>
  <c r="BH50" i="1" s="1"/>
  <c r="D86" i="1"/>
  <c r="BF85" i="1" s="1"/>
  <c r="D112" i="1"/>
  <c r="BF110" i="1" s="1"/>
  <c r="D129" i="1"/>
  <c r="BF128" i="1" s="1"/>
  <c r="E20" i="1"/>
  <c r="E52" i="1"/>
  <c r="E62" i="1"/>
  <c r="E70" i="1"/>
  <c r="E97" i="1"/>
  <c r="E114" i="1"/>
  <c r="E139" i="1"/>
  <c r="D61" i="1"/>
  <c r="BF60" i="1" s="1"/>
  <c r="D96" i="1"/>
  <c r="BF93" i="1" s="1"/>
  <c r="D105" i="1"/>
  <c r="BF104" i="1" s="1"/>
  <c r="E21" i="1"/>
  <c r="E41" i="1"/>
  <c r="E89" i="1"/>
  <c r="E98" i="1"/>
  <c r="E124" i="1"/>
  <c r="E132" i="1"/>
  <c r="R15" i="1"/>
  <c r="R134" i="1"/>
  <c r="R126" i="1"/>
  <c r="R118" i="1"/>
  <c r="R94" i="1"/>
  <c r="R86" i="1"/>
  <c r="R70" i="1"/>
  <c r="R62" i="1"/>
  <c r="R54" i="1"/>
  <c r="R133" i="1"/>
  <c r="R125" i="1"/>
  <c r="R109" i="1"/>
  <c r="R85" i="1"/>
  <c r="R61" i="1"/>
  <c r="R45" i="1"/>
  <c r="R21" i="1"/>
  <c r="R140" i="1"/>
  <c r="R132" i="1"/>
  <c r="R124" i="1"/>
  <c r="R84" i="1"/>
  <c r="R52" i="1"/>
  <c r="R44" i="1"/>
  <c r="R20" i="1"/>
  <c r="R139" i="1"/>
  <c r="R99" i="1"/>
  <c r="R83" i="1"/>
  <c r="R75" i="1"/>
  <c r="R43" i="1"/>
  <c r="R35" i="1"/>
  <c r="R27" i="1"/>
  <c r="R19" i="1"/>
  <c r="R138" i="1"/>
  <c r="R114" i="1"/>
  <c r="R98" i="1"/>
  <c r="R90" i="1"/>
  <c r="R82" i="1"/>
  <c r="R74" i="1"/>
  <c r="R58" i="1"/>
  <c r="R50" i="1"/>
  <c r="R42" i="1"/>
  <c r="R26" i="1"/>
  <c r="R18" i="1"/>
  <c r="R137" i="1"/>
  <c r="R129" i="1"/>
  <c r="R105" i="1"/>
  <c r="R97" i="1"/>
  <c r="R89" i="1"/>
  <c r="R81" i="1"/>
  <c r="R73" i="1"/>
  <c r="R49" i="1"/>
  <c r="R41" i="1"/>
  <c r="R136" i="1"/>
  <c r="R128" i="1"/>
  <c r="R120" i="1"/>
  <c r="R112" i="1"/>
  <c r="R96" i="1"/>
  <c r="R56" i="1"/>
  <c r="R48" i="1"/>
  <c r="R32" i="1"/>
  <c r="R16" i="1"/>
  <c r="R135" i="1"/>
  <c r="R119" i="1"/>
  <c r="R111" i="1"/>
  <c r="R103" i="1"/>
  <c r="R55" i="1"/>
  <c r="R31" i="1"/>
  <c r="R23" i="1"/>
  <c r="Q15" i="1"/>
  <c r="Q129" i="1"/>
  <c r="Q134" i="1"/>
  <c r="Q126" i="1"/>
  <c r="Q118" i="1"/>
  <c r="Q94" i="1"/>
  <c r="Q86" i="1"/>
  <c r="Q70" i="1"/>
  <c r="Q62" i="1"/>
  <c r="Q54" i="1"/>
  <c r="Q133" i="1"/>
  <c r="Q125" i="1"/>
  <c r="Q109" i="1"/>
  <c r="Q85" i="1"/>
  <c r="Q61" i="1"/>
  <c r="Q45" i="1"/>
  <c r="Q21" i="1"/>
  <c r="Q140" i="1"/>
  <c r="Q132" i="1"/>
  <c r="Q124" i="1"/>
  <c r="Q84" i="1"/>
  <c r="Q52" i="1"/>
  <c r="Q44" i="1"/>
  <c r="Q20" i="1"/>
  <c r="Q139" i="1"/>
  <c r="Q99" i="1"/>
  <c r="Q83" i="1"/>
  <c r="Q75" i="1"/>
  <c r="Q43" i="1"/>
  <c r="Q35" i="1"/>
  <c r="Q27" i="1"/>
  <c r="Q19" i="1"/>
  <c r="Q138" i="1"/>
  <c r="Q114" i="1"/>
  <c r="Q98" i="1"/>
  <c r="Q90" i="1"/>
  <c r="Q82" i="1"/>
  <c r="Q74" i="1"/>
  <c r="Q58" i="1"/>
  <c r="Q50" i="1"/>
  <c r="Q42" i="1"/>
  <c r="Q26" i="1"/>
  <c r="Q18" i="1"/>
  <c r="Q137" i="1"/>
  <c r="Q105" i="1"/>
  <c r="Q97" i="1"/>
  <c r="Q89" i="1"/>
  <c r="Q81" i="1"/>
  <c r="Q73" i="1"/>
  <c r="Q49" i="1"/>
  <c r="Q41" i="1"/>
  <c r="Q136" i="1"/>
  <c r="Q128" i="1"/>
  <c r="Q120" i="1"/>
  <c r="Q112" i="1"/>
  <c r="Q96" i="1"/>
  <c r="Q56" i="1"/>
  <c r="Q48" i="1"/>
  <c r="Q32" i="1"/>
  <c r="Q16" i="1"/>
  <c r="Q135" i="1"/>
  <c r="Q119" i="1"/>
  <c r="Q111" i="1"/>
  <c r="Q103" i="1"/>
  <c r="Q55" i="1"/>
  <c r="Q31" i="1"/>
  <c r="Q23" i="1"/>
  <c r="BI21" i="1" l="1"/>
  <c r="BJ21" i="1"/>
  <c r="BG14" i="1"/>
  <c r="BH14" i="1" s="1"/>
  <c r="BJ13" i="1"/>
  <c r="BI13" i="1"/>
  <c r="BI12" i="1"/>
  <c r="BJ12" i="1"/>
  <c r="BI8" i="1"/>
  <c r="BJ8" i="1" s="1"/>
  <c r="BI50" i="1"/>
  <c r="BJ50" i="1" s="1"/>
  <c r="BI35" i="1"/>
  <c r="BJ35" i="1" s="1"/>
  <c r="BI16" i="1"/>
  <c r="BJ16" i="1" s="1"/>
  <c r="BI11" i="1"/>
  <c r="BJ11" i="1" s="1"/>
  <c r="BI10" i="1"/>
  <c r="BJ10" i="1" s="1"/>
  <c r="BJ9" i="1"/>
  <c r="BI9" i="1"/>
  <c r="BG60" i="1"/>
  <c r="BH60" i="1" s="1"/>
  <c r="BG128" i="1"/>
  <c r="BH128" i="1" s="1"/>
  <c r="BG73" i="1"/>
  <c r="BH73" i="1" s="1"/>
  <c r="BG41" i="1"/>
  <c r="BH41" i="1" s="1"/>
  <c r="BG138" i="1"/>
  <c r="BH138" i="1" s="1"/>
  <c r="BG61" i="1"/>
  <c r="BH61" i="1" s="1"/>
  <c r="BG121" i="1"/>
  <c r="BH121" i="1" s="1"/>
  <c r="BG120" i="1"/>
  <c r="BH120" i="1" s="1"/>
  <c r="BG116" i="1"/>
  <c r="BH116" i="1" s="1"/>
  <c r="BG100" i="1"/>
  <c r="BH100" i="1" s="1"/>
  <c r="BG98" i="1"/>
  <c r="BH98" i="1" s="1"/>
  <c r="BG97" i="1"/>
  <c r="BH97" i="1" s="1"/>
  <c r="BG140" i="1"/>
  <c r="BH140" i="1" s="1"/>
  <c r="BG31" i="1"/>
  <c r="BH31" i="1" s="1"/>
  <c r="BG48" i="1"/>
  <c r="BH48" i="1" s="1"/>
  <c r="BG126" i="1"/>
  <c r="BH126" i="1" s="1"/>
  <c r="BG122" i="1"/>
  <c r="BH122" i="1" s="1"/>
  <c r="BG110" i="1"/>
  <c r="BH110" i="1" s="1"/>
  <c r="BG125" i="1"/>
  <c r="BH125" i="1" s="1"/>
  <c r="BG57" i="1"/>
  <c r="BH57" i="1" s="1"/>
  <c r="BG131" i="1"/>
  <c r="BH131" i="1" s="1"/>
  <c r="BG51" i="1"/>
  <c r="BH51" i="1" s="1"/>
  <c r="BG106" i="1"/>
  <c r="BH106" i="1" s="1"/>
  <c r="BG105" i="1"/>
  <c r="BH105" i="1" s="1"/>
  <c r="BG103" i="1"/>
  <c r="BH103" i="1" s="1"/>
  <c r="BG87" i="1"/>
  <c r="BH87" i="1" s="1"/>
  <c r="BG78" i="1"/>
  <c r="BH78" i="1" s="1"/>
  <c r="BG77" i="1"/>
  <c r="BH77" i="1" s="1"/>
  <c r="BG141" i="1"/>
  <c r="BH141" i="1" s="1"/>
  <c r="BG145" i="1"/>
  <c r="BH145" i="1" s="1"/>
  <c r="BG134" i="1"/>
  <c r="BH134" i="1" s="1"/>
  <c r="BG109" i="1"/>
  <c r="BH109" i="1" s="1"/>
  <c r="BG107" i="1"/>
  <c r="BH107" i="1" s="1"/>
  <c r="BG85" i="1"/>
  <c r="BH85" i="1" s="1"/>
  <c r="BG119" i="1"/>
  <c r="BH119" i="1" s="1"/>
  <c r="BG133" i="1"/>
  <c r="BH133" i="1" s="1"/>
  <c r="BG123" i="1"/>
  <c r="BH123" i="1" s="1"/>
  <c r="BG20" i="1"/>
  <c r="BH20" i="1" s="1"/>
  <c r="BG99" i="1"/>
  <c r="BH99" i="1" s="1"/>
  <c r="BG90" i="1"/>
  <c r="BH90" i="1" s="1"/>
  <c r="BG86" i="1"/>
  <c r="BH86" i="1" s="1"/>
  <c r="BG79" i="1"/>
  <c r="BH79" i="1" s="1"/>
  <c r="BG68" i="1"/>
  <c r="BH68" i="1" s="1"/>
  <c r="BG53" i="1"/>
  <c r="BH53" i="1" s="1"/>
  <c r="BG18" i="1"/>
  <c r="BH18" i="1" s="1"/>
  <c r="BG146" i="1"/>
  <c r="BH146" i="1" s="1"/>
  <c r="BG135" i="1"/>
  <c r="BH135" i="1" s="1"/>
  <c r="BG92" i="1"/>
  <c r="BH92" i="1" s="1"/>
  <c r="BG101" i="1"/>
  <c r="BH101" i="1" s="1"/>
  <c r="BG74" i="1"/>
  <c r="BH74" i="1" s="1"/>
  <c r="BG70" i="1"/>
  <c r="BH70" i="1" s="1"/>
  <c r="BG69" i="1"/>
  <c r="BH69" i="1" s="1"/>
  <c r="BG58" i="1"/>
  <c r="BH58" i="1" s="1"/>
  <c r="BG63" i="1"/>
  <c r="BH63" i="1" s="1"/>
  <c r="BG36" i="1"/>
  <c r="BH36" i="1" s="1"/>
  <c r="BG44" i="1"/>
  <c r="BH44" i="1" s="1"/>
  <c r="BG102" i="1"/>
  <c r="BH102" i="1" s="1"/>
  <c r="BG54" i="1"/>
  <c r="BH54" i="1" s="1"/>
  <c r="BG75" i="1"/>
  <c r="BH75" i="1" s="1"/>
  <c r="BG76" i="1"/>
  <c r="BH76" i="1" s="1"/>
  <c r="BG15" i="1"/>
  <c r="BH15" i="1" s="1"/>
  <c r="BG91" i="1"/>
  <c r="BH91" i="1" s="1"/>
  <c r="BG108" i="1"/>
  <c r="BH108" i="1" s="1"/>
  <c r="BG132" i="1"/>
  <c r="BH132" i="1" s="1"/>
  <c r="BG88" i="1"/>
  <c r="BH88" i="1" s="1"/>
  <c r="BG139" i="1"/>
  <c r="BH139" i="1" s="1"/>
  <c r="BG65" i="1"/>
  <c r="BH65" i="1" s="1"/>
  <c r="BG62" i="1"/>
  <c r="BH62" i="1" s="1"/>
  <c r="BG59" i="1"/>
  <c r="BH59" i="1" s="1"/>
  <c r="BG39" i="1"/>
  <c r="BH39" i="1" s="1"/>
  <c r="BG38" i="1"/>
  <c r="BH38" i="1" s="1"/>
  <c r="BG22" i="1"/>
  <c r="BH22" i="1" s="1"/>
  <c r="BG19" i="1"/>
  <c r="BH19" i="1" s="1"/>
  <c r="BG81" i="1"/>
  <c r="BH81" i="1" s="1"/>
  <c r="BG66" i="1"/>
  <c r="BH66" i="1" s="1"/>
  <c r="BG64" i="1"/>
  <c r="BH64" i="1" s="1"/>
  <c r="BG84" i="1"/>
  <c r="BH84" i="1" s="1"/>
  <c r="BG82" i="1"/>
  <c r="BH82" i="1" s="1"/>
  <c r="BG124" i="1"/>
  <c r="BH124" i="1" s="1"/>
  <c r="BG40" i="1"/>
  <c r="BH40" i="1" s="1"/>
  <c r="BG113" i="1"/>
  <c r="BH113" i="1" s="1"/>
  <c r="BG137" i="1"/>
  <c r="BH137" i="1" s="1"/>
  <c r="BG46" i="1"/>
  <c r="BH46" i="1" s="1"/>
  <c r="BG42" i="1"/>
  <c r="BH42" i="1" s="1"/>
  <c r="BG37" i="1"/>
  <c r="BH37" i="1" s="1"/>
  <c r="BG25" i="1"/>
  <c r="BH25" i="1" s="1"/>
  <c r="BG24" i="1"/>
  <c r="BH24" i="1" s="1"/>
  <c r="BG26" i="1"/>
  <c r="BH26" i="1" s="1"/>
  <c r="BG27" i="1"/>
  <c r="BH27" i="1" s="1"/>
  <c r="BG143" i="1"/>
  <c r="BH143" i="1" s="1"/>
  <c r="BG80" i="1"/>
  <c r="BH80" i="1" s="1"/>
  <c r="BG52" i="1"/>
  <c r="BH52" i="1" s="1"/>
  <c r="BG47" i="1"/>
  <c r="BH47" i="1" s="1"/>
  <c r="BG111" i="1"/>
  <c r="BH111" i="1" s="1"/>
  <c r="BG127" i="1"/>
  <c r="BH127" i="1" s="1"/>
  <c r="BG94" i="1"/>
  <c r="BH94" i="1" s="1"/>
  <c r="BG104" i="1"/>
  <c r="BH104" i="1" s="1"/>
  <c r="BG72" i="1"/>
  <c r="BH72" i="1" s="1"/>
  <c r="BG118" i="1"/>
  <c r="BH118" i="1" s="1"/>
  <c r="BG71" i="1"/>
  <c r="BH71" i="1" s="1"/>
  <c r="BG96" i="1"/>
  <c r="BH96" i="1" s="1"/>
  <c r="BG95" i="1"/>
  <c r="BH95" i="1" s="1"/>
  <c r="BG30" i="1"/>
  <c r="BH30" i="1" s="1"/>
  <c r="BG29" i="1"/>
  <c r="BH29" i="1" s="1"/>
  <c r="BG28" i="1"/>
  <c r="BH28" i="1" s="1"/>
  <c r="BG130" i="1"/>
  <c r="BH130" i="1" s="1"/>
  <c r="BG129" i="1"/>
  <c r="BH129" i="1" s="1"/>
  <c r="BG45" i="1"/>
  <c r="BH45" i="1" s="1"/>
  <c r="BG32" i="1"/>
  <c r="BH32" i="1" s="1"/>
  <c r="BG43" i="1"/>
  <c r="BH43" i="1" s="1"/>
  <c r="BG89" i="1"/>
  <c r="BH89" i="1" s="1"/>
  <c r="BG34" i="1"/>
  <c r="BH34" i="1" s="1"/>
  <c r="BG33" i="1"/>
  <c r="BH33" i="1" s="1"/>
  <c r="BG93" i="1"/>
  <c r="BH93" i="1" s="1"/>
  <c r="BG49" i="1"/>
  <c r="BH49" i="1" s="1"/>
  <c r="BG83" i="1"/>
  <c r="BH83" i="1" s="1"/>
  <c r="BG23" i="1"/>
  <c r="BH23" i="1" s="1"/>
  <c r="BG56" i="1"/>
  <c r="BH56" i="1" s="1"/>
  <c r="BG67" i="1"/>
  <c r="BH67" i="1" s="1"/>
  <c r="BG115" i="1"/>
  <c r="BH115" i="1" s="1"/>
  <c r="BG114" i="1"/>
  <c r="BH114" i="1" s="1"/>
  <c r="BG112" i="1"/>
  <c r="BH112" i="1" s="1"/>
  <c r="BG117" i="1"/>
  <c r="BH117" i="1" s="1"/>
  <c r="BG55" i="1"/>
  <c r="BH55" i="1" s="1"/>
  <c r="BG136" i="1"/>
  <c r="BH136" i="1" s="1"/>
  <c r="BG142" i="1"/>
  <c r="BH142" i="1" s="1"/>
  <c r="BG17" i="1"/>
  <c r="BH17" i="1" s="1"/>
  <c r="G166" i="1"/>
  <c r="N164" i="1"/>
  <c r="N158" i="1"/>
  <c r="BI117" i="1" l="1"/>
  <c r="BJ117" i="1" s="1"/>
  <c r="BI80" i="1"/>
  <c r="BJ80" i="1" s="1"/>
  <c r="BI46" i="1"/>
  <c r="BJ46" i="1" s="1"/>
  <c r="BI66" i="1"/>
  <c r="BJ66" i="1" s="1"/>
  <c r="BI65" i="1"/>
  <c r="BJ65" i="1" s="1"/>
  <c r="BI75" i="1"/>
  <c r="BJ75" i="1" s="1"/>
  <c r="BI70" i="1"/>
  <c r="BJ70" i="1" s="1"/>
  <c r="BI68" i="1"/>
  <c r="BJ68" i="1" s="1"/>
  <c r="BI119" i="1"/>
  <c r="BJ119" i="1" s="1"/>
  <c r="BI78" i="1"/>
  <c r="BJ78" i="1" s="1"/>
  <c r="BI125" i="1"/>
  <c r="BJ125" i="1"/>
  <c r="BJ98" i="1"/>
  <c r="BI98" i="1"/>
  <c r="BI73" i="1"/>
  <c r="BJ73" i="1" s="1"/>
  <c r="BI129" i="1"/>
  <c r="BJ129" i="1" s="1"/>
  <c r="BI130" i="1"/>
  <c r="BJ130" i="1" s="1"/>
  <c r="BI74" i="1"/>
  <c r="BJ74" i="1" s="1"/>
  <c r="BI100" i="1"/>
  <c r="BJ100" i="1" s="1"/>
  <c r="BI28" i="1"/>
  <c r="BJ28" i="1" s="1"/>
  <c r="BI113" i="1"/>
  <c r="BJ113" i="1" s="1"/>
  <c r="BI19" i="1"/>
  <c r="BJ19" i="1"/>
  <c r="BJ88" i="1"/>
  <c r="BI88" i="1"/>
  <c r="BI102" i="1"/>
  <c r="BJ102" i="1" s="1"/>
  <c r="BI101" i="1"/>
  <c r="BJ101" i="1"/>
  <c r="BI86" i="1"/>
  <c r="BJ86" i="1" s="1"/>
  <c r="BI107" i="1"/>
  <c r="BJ107" i="1" s="1"/>
  <c r="BI103" i="1"/>
  <c r="BJ103" i="1" s="1"/>
  <c r="BI122" i="1"/>
  <c r="BJ122" i="1" s="1"/>
  <c r="BI116" i="1"/>
  <c r="BJ116" i="1"/>
  <c r="BI60" i="1"/>
  <c r="BJ60" i="1" s="1"/>
  <c r="BI49" i="1"/>
  <c r="BJ49" i="1" s="1"/>
  <c r="BI72" i="1"/>
  <c r="BJ72" i="1"/>
  <c r="BI79" i="1"/>
  <c r="BJ79" i="1"/>
  <c r="BI128" i="1"/>
  <c r="BJ128" i="1" s="1"/>
  <c r="BI33" i="1"/>
  <c r="BJ33" i="1" s="1"/>
  <c r="BI115" i="1"/>
  <c r="BJ115" i="1"/>
  <c r="BI29" i="1"/>
  <c r="BJ29" i="1" s="1"/>
  <c r="BI26" i="1"/>
  <c r="BJ26" i="1" s="1"/>
  <c r="BJ22" i="1"/>
  <c r="BI22" i="1"/>
  <c r="BI132" i="1"/>
  <c r="BJ132" i="1"/>
  <c r="BI44" i="1"/>
  <c r="BJ44" i="1"/>
  <c r="BI92" i="1"/>
  <c r="BJ92" i="1"/>
  <c r="BJ90" i="1"/>
  <c r="BI90" i="1"/>
  <c r="BI109" i="1"/>
  <c r="BJ109" i="1" s="1"/>
  <c r="BI105" i="1"/>
  <c r="BJ105" i="1" s="1"/>
  <c r="BI126" i="1"/>
  <c r="BJ126" i="1" s="1"/>
  <c r="BI120" i="1"/>
  <c r="BJ120" i="1" s="1"/>
  <c r="BI143" i="1"/>
  <c r="BJ143" i="1"/>
  <c r="BI54" i="1"/>
  <c r="BJ54" i="1" s="1"/>
  <c r="BI110" i="1"/>
  <c r="BJ110" i="1" s="1"/>
  <c r="BI114" i="1"/>
  <c r="BJ114" i="1" s="1"/>
  <c r="BI104" i="1"/>
  <c r="BJ104" i="1"/>
  <c r="BI27" i="1"/>
  <c r="BJ27" i="1" s="1"/>
  <c r="BI34" i="1"/>
  <c r="BJ34" i="1" s="1"/>
  <c r="BJ94" i="1"/>
  <c r="BI94" i="1"/>
  <c r="BI40" i="1"/>
  <c r="BJ40" i="1"/>
  <c r="BI17" i="1"/>
  <c r="BJ17" i="1" s="1"/>
  <c r="BI67" i="1"/>
  <c r="BJ67" i="1"/>
  <c r="BJ89" i="1"/>
  <c r="BI89" i="1"/>
  <c r="BI30" i="1"/>
  <c r="BJ30" i="1" s="1"/>
  <c r="BI127" i="1"/>
  <c r="BJ127" i="1" s="1"/>
  <c r="BI24" i="1"/>
  <c r="BJ24" i="1" s="1"/>
  <c r="BI124" i="1"/>
  <c r="BJ124" i="1" s="1"/>
  <c r="BI38" i="1"/>
  <c r="BJ38" i="1" s="1"/>
  <c r="BI108" i="1"/>
  <c r="BJ108" i="1"/>
  <c r="BI36" i="1"/>
  <c r="BJ36" i="1"/>
  <c r="BI135" i="1"/>
  <c r="BJ135" i="1" s="1"/>
  <c r="BI99" i="1"/>
  <c r="BJ99" i="1"/>
  <c r="BI134" i="1"/>
  <c r="BJ134" i="1" s="1"/>
  <c r="BI106" i="1"/>
  <c r="BJ106" i="1" s="1"/>
  <c r="BI48" i="1"/>
  <c r="BJ48" i="1" s="1"/>
  <c r="BI121" i="1"/>
  <c r="BJ121" i="1" s="1"/>
  <c r="BI118" i="1"/>
  <c r="BJ118" i="1" s="1"/>
  <c r="BI139" i="1"/>
  <c r="BJ139" i="1"/>
  <c r="BI87" i="1"/>
  <c r="BJ87" i="1" s="1"/>
  <c r="BI20" i="1"/>
  <c r="BJ20" i="1"/>
  <c r="BI145" i="1"/>
  <c r="BJ145" i="1" s="1"/>
  <c r="BI51" i="1"/>
  <c r="BJ51" i="1"/>
  <c r="BI31" i="1"/>
  <c r="BJ31" i="1" s="1"/>
  <c r="BI61" i="1"/>
  <c r="BJ61" i="1"/>
  <c r="BI14" i="1"/>
  <c r="BJ14" i="1" s="1"/>
  <c r="BI112" i="1"/>
  <c r="BJ112" i="1" s="1"/>
  <c r="BJ137" i="1"/>
  <c r="BI137" i="1"/>
  <c r="BI85" i="1"/>
  <c r="BJ85" i="1" s="1"/>
  <c r="BI56" i="1"/>
  <c r="BJ56" i="1"/>
  <c r="BI43" i="1"/>
  <c r="BJ43" i="1" s="1"/>
  <c r="BI111" i="1"/>
  <c r="BJ111" i="1" s="1"/>
  <c r="BI25" i="1"/>
  <c r="BJ25" i="1" s="1"/>
  <c r="BI91" i="1"/>
  <c r="BJ91" i="1"/>
  <c r="BI63" i="1"/>
  <c r="BJ63" i="1"/>
  <c r="BI136" i="1"/>
  <c r="BJ136" i="1" s="1"/>
  <c r="BI32" i="1"/>
  <c r="BJ32" i="1" s="1"/>
  <c r="BI47" i="1"/>
  <c r="BJ47" i="1"/>
  <c r="BI84" i="1"/>
  <c r="BJ84" i="1"/>
  <c r="BI15" i="1"/>
  <c r="BJ15" i="1"/>
  <c r="BI58" i="1"/>
  <c r="BJ58" i="1" s="1"/>
  <c r="BI18" i="1"/>
  <c r="BJ18" i="1" s="1"/>
  <c r="BI141" i="1"/>
  <c r="BJ141" i="1"/>
  <c r="BI131" i="1"/>
  <c r="BJ131" i="1"/>
  <c r="BI140" i="1"/>
  <c r="BJ140" i="1"/>
  <c r="BI138" i="1"/>
  <c r="BJ138" i="1" s="1"/>
  <c r="BI93" i="1"/>
  <c r="BJ93" i="1"/>
  <c r="BI81" i="1"/>
  <c r="BJ81" i="1" s="1"/>
  <c r="BI142" i="1"/>
  <c r="BJ142" i="1" s="1"/>
  <c r="BI95" i="1"/>
  <c r="BJ95" i="1"/>
  <c r="BI82" i="1"/>
  <c r="BJ82" i="1" s="1"/>
  <c r="BI39" i="1"/>
  <c r="BJ39" i="1" s="1"/>
  <c r="BI146" i="1"/>
  <c r="BJ146" i="1" s="1"/>
  <c r="BI23" i="1"/>
  <c r="BJ23" i="1" s="1"/>
  <c r="BI96" i="1"/>
  <c r="BJ96" i="1" s="1"/>
  <c r="BI37" i="1"/>
  <c r="BJ37" i="1" s="1"/>
  <c r="BI59" i="1"/>
  <c r="BJ59" i="1"/>
  <c r="BI123" i="1"/>
  <c r="BJ123" i="1"/>
  <c r="BI55" i="1"/>
  <c r="BJ55" i="1" s="1"/>
  <c r="BI83" i="1"/>
  <c r="BJ83" i="1"/>
  <c r="BI45" i="1"/>
  <c r="BJ45" i="1"/>
  <c r="BI71" i="1"/>
  <c r="BJ71" i="1"/>
  <c r="BI52" i="1"/>
  <c r="BJ52" i="1" s="1"/>
  <c r="BI42" i="1"/>
  <c r="BJ42" i="1" s="1"/>
  <c r="BI64" i="1"/>
  <c r="BJ64" i="1" s="1"/>
  <c r="BI62" i="1"/>
  <c r="BJ62" i="1" s="1"/>
  <c r="BI76" i="1"/>
  <c r="BJ76" i="1" s="1"/>
  <c r="BI69" i="1"/>
  <c r="BJ69" i="1"/>
  <c r="BI53" i="1"/>
  <c r="BJ53" i="1"/>
  <c r="BI133" i="1"/>
  <c r="BJ133" i="1" s="1"/>
  <c r="BI77" i="1"/>
  <c r="BJ77" i="1"/>
  <c r="BI57" i="1"/>
  <c r="BJ57" i="1" s="1"/>
  <c r="BI97" i="1"/>
  <c r="BJ97" i="1" s="1"/>
  <c r="BI41" i="1"/>
  <c r="BJ41" i="1" s="1"/>
  <c r="N145" i="1"/>
  <c r="N154" i="1" s="1"/>
</calcChain>
</file>

<file path=xl/sharedStrings.xml><?xml version="1.0" encoding="utf-8"?>
<sst xmlns="http://schemas.openxmlformats.org/spreadsheetml/2006/main" count="3722" uniqueCount="700">
  <si>
    <t>A2/1/06/258</t>
  </si>
  <si>
    <t>P-131/2006</t>
  </si>
  <si>
    <t>A2/1/07/255</t>
  </si>
  <si>
    <t>P-151/2007</t>
  </si>
  <si>
    <t>A2/1/07/298</t>
  </si>
  <si>
    <t>P-191/2007</t>
  </si>
  <si>
    <t>A2/1/07/497</t>
  </si>
  <si>
    <t>P-312/2007</t>
  </si>
  <si>
    <t>A2/1/07/498</t>
  </si>
  <si>
    <t>P-318/2007</t>
  </si>
  <si>
    <t>A2/1/08/438</t>
  </si>
  <si>
    <t>P-118/2008</t>
  </si>
  <si>
    <t>A2/1/08/454</t>
  </si>
  <si>
    <t>P-134/2008</t>
  </si>
  <si>
    <t>A2/1/08/448</t>
  </si>
  <si>
    <t>P-126/2008</t>
  </si>
  <si>
    <t>A2/1/08/449</t>
  </si>
  <si>
    <t>P-127/2008</t>
  </si>
  <si>
    <t>A2/1/08/587</t>
  </si>
  <si>
    <t>P-218/2008</t>
  </si>
  <si>
    <t>A2/1/08/845</t>
  </si>
  <si>
    <t>P-364/2008</t>
  </si>
  <si>
    <t>A2/1/09/185</t>
  </si>
  <si>
    <t>P-79/2009</t>
  </si>
  <si>
    <t>A2/1/09/496</t>
  </si>
  <si>
    <t>P-217/2009</t>
  </si>
  <si>
    <t>A2/1/09/512</t>
  </si>
  <si>
    <t>P-216/2009</t>
  </si>
  <si>
    <t>A2/1/09/793</t>
  </si>
  <si>
    <t>P-366/2009</t>
  </si>
  <si>
    <t>A2/1/09/887</t>
  </si>
  <si>
    <t>P-392/2009</t>
  </si>
  <si>
    <t>A2/1/10/157</t>
  </si>
  <si>
    <t>P-3/2010</t>
  </si>
  <si>
    <t>A2/1/10/237</t>
  </si>
  <si>
    <t>P-50/2010</t>
  </si>
  <si>
    <t>A2/1/10/536</t>
  </si>
  <si>
    <t>P-212/2010</t>
  </si>
  <si>
    <t>A2/1/10/686</t>
  </si>
  <si>
    <t>P-292/2010</t>
  </si>
  <si>
    <t>A2/1/10/887</t>
  </si>
  <si>
    <t>P-417/2010</t>
  </si>
  <si>
    <t>A2/1/11/131</t>
  </si>
  <si>
    <t>P-54/2011</t>
  </si>
  <si>
    <t>A2/1/11/282</t>
  </si>
  <si>
    <t>P-151/2011</t>
  </si>
  <si>
    <t>A2/1/11/450</t>
  </si>
  <si>
    <t>P-285/2011</t>
  </si>
  <si>
    <t>A2/1/11/451</t>
  </si>
  <si>
    <t>P-286/2011</t>
  </si>
  <si>
    <t>A2/1/11/524</t>
  </si>
  <si>
    <t>P-331/2011</t>
  </si>
  <si>
    <t>A2/1/12/394</t>
  </si>
  <si>
    <t>P-255/2012</t>
  </si>
  <si>
    <t>A2/1/12/451</t>
  </si>
  <si>
    <t>P-309/2012</t>
  </si>
  <si>
    <t>A2/1/13/415</t>
  </si>
  <si>
    <t>P-294/2013</t>
  </si>
  <si>
    <t>A2/1/13/417</t>
  </si>
  <si>
    <t>P-292/2013</t>
  </si>
  <si>
    <t>A2/1/13/418</t>
  </si>
  <si>
    <t>P-291/2013</t>
  </si>
  <si>
    <t>A2/1/13/416</t>
  </si>
  <si>
    <t>P-293/2013</t>
  </si>
  <si>
    <t>A2/1/14/80</t>
  </si>
  <si>
    <t>P-48/2014</t>
  </si>
  <si>
    <t>A2/1/14/230</t>
  </si>
  <si>
    <t>P-130/2014</t>
  </si>
  <si>
    <t>A2/1/14/565</t>
  </si>
  <si>
    <t>P-381/2014</t>
  </si>
  <si>
    <t>A2/1/15/143</t>
  </si>
  <si>
    <t>P-86/2015</t>
  </si>
  <si>
    <t>A2/1/15/179</t>
  </si>
  <si>
    <t>P-114/2015</t>
  </si>
  <si>
    <t>A2/1/15/249</t>
  </si>
  <si>
    <t>P-164/2015</t>
  </si>
  <si>
    <t>A2/1/15/356</t>
  </si>
  <si>
    <t>P-229/2015</t>
  </si>
  <si>
    <t>A2/1/15/385</t>
  </si>
  <si>
    <t>P-237/2015</t>
  </si>
  <si>
    <t>A2/1/15/442</t>
  </si>
  <si>
    <t>P-298/2015</t>
  </si>
  <si>
    <t>A2/1/15/503</t>
  </si>
  <si>
    <t>P-346/2015</t>
  </si>
  <si>
    <t>A2/1/15/504</t>
  </si>
  <si>
    <t>P-347/2015</t>
  </si>
  <si>
    <t>A2/1/16/16</t>
  </si>
  <si>
    <t>P-8/2016</t>
  </si>
  <si>
    <t>A2/1/16/144</t>
  </si>
  <si>
    <t>P-72/2016</t>
  </si>
  <si>
    <t>A2/1/16/288</t>
  </si>
  <si>
    <t>P-196/2016</t>
  </si>
  <si>
    <t>A2/1/16/307</t>
  </si>
  <si>
    <t>P-212/2016</t>
  </si>
  <si>
    <t>A2/1/16/355</t>
  </si>
  <si>
    <t>P-255/2016</t>
  </si>
  <si>
    <t>A2/1/17/60</t>
  </si>
  <si>
    <t>P-10/2017</t>
  </si>
  <si>
    <t>A2/1/17/196</t>
  </si>
  <si>
    <t>P-115/2017</t>
  </si>
  <si>
    <t>A2/1/17/442</t>
  </si>
  <si>
    <t>P-323/2017</t>
  </si>
  <si>
    <t>A2/1/17/444</t>
  </si>
  <si>
    <t>P-321/2017</t>
  </si>
  <si>
    <t>A2/1/17/463</t>
  </si>
  <si>
    <t>P-326/2017</t>
  </si>
  <si>
    <t>A2/1/17/464</t>
  </si>
  <si>
    <t>P-327/2017</t>
  </si>
  <si>
    <t>A2/1/17/469</t>
  </si>
  <si>
    <t>P-334/2017</t>
  </si>
  <si>
    <t>A2/1/17/612</t>
  </si>
  <si>
    <t>P-466/2017</t>
  </si>
  <si>
    <t>A2/1/17/611</t>
  </si>
  <si>
    <t>P-467/2017</t>
  </si>
  <si>
    <t>A2/1/17/868</t>
  </si>
  <si>
    <t>P-657/2017</t>
  </si>
  <si>
    <t>A2/1/18/28</t>
  </si>
  <si>
    <t>P-12/2018</t>
  </si>
  <si>
    <t>A2/1/18/80</t>
  </si>
  <si>
    <t>P-63/2018</t>
  </si>
  <si>
    <t>A2/1/18/235</t>
  </si>
  <si>
    <t>P-188/2018</t>
  </si>
  <si>
    <t>A2/1/18/291</t>
  </si>
  <si>
    <t>P-227/2018</t>
  </si>
  <si>
    <t>A2/1/18/302</t>
  </si>
  <si>
    <t>P-261/2018</t>
  </si>
  <si>
    <t>A2/1/18/348</t>
  </si>
  <si>
    <t>P-290/2018</t>
  </si>
  <si>
    <t>A2/1/18/430</t>
  </si>
  <si>
    <t>P-365/2018</t>
  </si>
  <si>
    <t>A2/1/18/429</t>
  </si>
  <si>
    <t>P-366/2018</t>
  </si>
  <si>
    <t>A2/1/18/479</t>
  </si>
  <si>
    <t>P-397/2018</t>
  </si>
  <si>
    <t>A2/1/18/671</t>
  </si>
  <si>
    <t>P-565/2018</t>
  </si>
  <si>
    <t>A2/1/18/670</t>
  </si>
  <si>
    <t>P-564/2018</t>
  </si>
  <si>
    <t>A2/1/18/673</t>
  </si>
  <si>
    <t>P-566/2018</t>
  </si>
  <si>
    <t>A2/1/18/791</t>
  </si>
  <si>
    <t>P-651/2018</t>
  </si>
  <si>
    <t>A2/1/18/830</t>
  </si>
  <si>
    <t>P-687/2018</t>
  </si>
  <si>
    <t>A2/1/18/824</t>
  </si>
  <si>
    <t>P-689/2018</t>
  </si>
  <si>
    <t>A2/1/18/842</t>
  </si>
  <si>
    <t>P-703/2018</t>
  </si>
  <si>
    <t>A2/1/18/866</t>
  </si>
  <si>
    <t>P-715/2018</t>
  </si>
  <si>
    <t>A2/1/19/157</t>
  </si>
  <si>
    <t>P-110/2019</t>
  </si>
  <si>
    <t>A2/1/19/206</t>
  </si>
  <si>
    <t>P-137/2019</t>
  </si>
  <si>
    <t>A2/1/19/208</t>
  </si>
  <si>
    <t>P-125/2019</t>
  </si>
  <si>
    <t>A2/1/19/207</t>
  </si>
  <si>
    <t>P-126/2019</t>
  </si>
  <si>
    <t>A2/1/19/219</t>
  </si>
  <si>
    <t>P-149/2019</t>
  </si>
  <si>
    <t>A2/1/19/250</t>
  </si>
  <si>
    <t>P-166/2019</t>
  </si>
  <si>
    <t>A2/1/19/305</t>
  </si>
  <si>
    <t>P-201/2019</t>
  </si>
  <si>
    <t>A2/1/20/66</t>
  </si>
  <si>
    <t>P-52/2020</t>
  </si>
  <si>
    <t>A2/1/20/67</t>
  </si>
  <si>
    <t>P-51/2020</t>
  </si>
  <si>
    <t>A2/1/20/125</t>
  </si>
  <si>
    <t>P-95/2020</t>
  </si>
  <si>
    <t>A2/1/20/154</t>
  </si>
  <si>
    <t>P-116/2020</t>
  </si>
  <si>
    <t>A2/1/20/374</t>
  </si>
  <si>
    <t>P-166/2020</t>
  </si>
  <si>
    <t>A2/1/20/486</t>
  </si>
  <si>
    <t>P-218/2020</t>
  </si>
  <si>
    <t>A2/1/20/485</t>
  </si>
  <si>
    <t>P-219/2020</t>
  </si>
  <si>
    <t>A2/1/20/607</t>
  </si>
  <si>
    <t>P-272/2020</t>
  </si>
  <si>
    <t>A2/1/20/652</t>
  </si>
  <si>
    <t>P-319/2020</t>
  </si>
  <si>
    <t>A2/1/20/665</t>
  </si>
  <si>
    <t>P-320/2020</t>
  </si>
  <si>
    <t>A2/1/20/684</t>
  </si>
  <si>
    <t>P-341/2020</t>
  </si>
  <si>
    <t>A2/1/20/760</t>
  </si>
  <si>
    <t>P-377/2020</t>
  </si>
  <si>
    <t>A2/1/20/761</t>
  </si>
  <si>
    <t>P-394/2020</t>
  </si>
  <si>
    <t>A2/1/20/778</t>
  </si>
  <si>
    <t>P-418/2020</t>
  </si>
  <si>
    <t>A2/1/20/869</t>
  </si>
  <si>
    <t>P-476/2020</t>
  </si>
  <si>
    <t>A2/1/20/880</t>
  </si>
  <si>
    <t>P-489/2020</t>
  </si>
  <si>
    <t>A2/1/20/896</t>
  </si>
  <si>
    <t>P-504/2020</t>
  </si>
  <si>
    <t>A2/1/21/102</t>
  </si>
  <si>
    <t>PP-7/2021</t>
  </si>
  <si>
    <t>A2/1/21/123</t>
  </si>
  <si>
    <t>PP-10/2021</t>
  </si>
  <si>
    <t>A2/1/21/122</t>
  </si>
  <si>
    <t>PP-12/2021</t>
  </si>
  <si>
    <t>A2/1/21/176</t>
  </si>
  <si>
    <t>P-100/2021</t>
  </si>
  <si>
    <t>A2/1/21/284</t>
  </si>
  <si>
    <t>P-193/2021</t>
  </si>
  <si>
    <t>A2/1/21/317</t>
  </si>
  <si>
    <t>P-222/2021</t>
  </si>
  <si>
    <t>A2/1/21/318</t>
  </si>
  <si>
    <t>P-221/2021</t>
  </si>
  <si>
    <t>A2/1/21/320</t>
  </si>
  <si>
    <t>P-205/2021</t>
  </si>
  <si>
    <t>A2/1/21/367</t>
  </si>
  <si>
    <t>P-260/2021</t>
  </si>
  <si>
    <t>A2/1/21/411</t>
  </si>
  <si>
    <t>P-257/2021</t>
  </si>
  <si>
    <t>A2/1/21/413</t>
  </si>
  <si>
    <t>P-291/2021</t>
  </si>
  <si>
    <t>A2/1/21/445</t>
  </si>
  <si>
    <t>P-314/2021</t>
  </si>
  <si>
    <t>A2/1/21/446</t>
  </si>
  <si>
    <t>P-312/2021</t>
  </si>
  <si>
    <t>A2/1/21/447</t>
  </si>
  <si>
    <t>P-311/2021</t>
  </si>
  <si>
    <t>A2/1/21/460</t>
  </si>
  <si>
    <t>P-313/2021</t>
  </si>
  <si>
    <t>A2/1/21/524</t>
  </si>
  <si>
    <t>P-389/2021</t>
  </si>
  <si>
    <t>A2/1/21/686</t>
  </si>
  <si>
    <t>P-511/2021</t>
  </si>
  <si>
    <t>A2/1/21/685</t>
  </si>
  <si>
    <t>P-512/2021</t>
  </si>
  <si>
    <t>A2/1/21/684</t>
  </si>
  <si>
    <t>P-513/2021</t>
  </si>
  <si>
    <t>A2/1/21/693</t>
  </si>
  <si>
    <t>P-510/2021</t>
  </si>
  <si>
    <t>A2/1/21/731</t>
  </si>
  <si>
    <t>P-562/2021</t>
  </si>
  <si>
    <t>A2/1/21/783</t>
  </si>
  <si>
    <t>P-584/2021</t>
  </si>
  <si>
    <t>A2/1/22/233</t>
  </si>
  <si>
    <t>P-158/2022</t>
  </si>
  <si>
    <t>A2/1/22/234</t>
  </si>
  <si>
    <t>P-157/2022</t>
  </si>
  <si>
    <t>A2/1/22/235</t>
  </si>
  <si>
    <t>P-156/2022</t>
  </si>
  <si>
    <t>A2/1/22/236</t>
  </si>
  <si>
    <t>P-155/2022</t>
  </si>
  <si>
    <t>A2/1/22/237</t>
  </si>
  <si>
    <t>P-154/2022</t>
  </si>
  <si>
    <t>A2/1/22/238</t>
  </si>
  <si>
    <t>P-153/2022</t>
  </si>
  <si>
    <t>A2/1/22/402</t>
  </si>
  <si>
    <t>P-277/2022</t>
  </si>
  <si>
    <t>A2/1/22/483</t>
  </si>
  <si>
    <t>P-332/2022</t>
  </si>
  <si>
    <t>A2/1/22/482</t>
  </si>
  <si>
    <t>P-333/2022</t>
  </si>
  <si>
    <t>A2/1/05/248</t>
  </si>
  <si>
    <t>P-94/2005</t>
  </si>
  <si>
    <t>A2/1/06/100</t>
  </si>
  <si>
    <t>P-57/2006</t>
  </si>
  <si>
    <t>A2/1/16/409</t>
  </si>
  <si>
    <t>P-299/2016</t>
  </si>
  <si>
    <t>A2/1/17/867</t>
  </si>
  <si>
    <t>P-658/2017</t>
  </si>
  <si>
    <t>A2/1/20/511</t>
  </si>
  <si>
    <t>P-225/2020</t>
  </si>
  <si>
    <t>2029-2048</t>
  </si>
  <si>
    <t>P-73/2020</t>
  </si>
  <si>
    <t>P-188/2010</t>
  </si>
  <si>
    <t>P-29/2007</t>
  </si>
  <si>
    <t>P-78/2007</t>
  </si>
  <si>
    <t>P-127/2014</t>
  </si>
  <si>
    <t>P-73/2015</t>
  </si>
  <si>
    <t>P-174/2005</t>
  </si>
  <si>
    <t>P--567/2021</t>
  </si>
  <si>
    <t>P-364/2019</t>
  </si>
  <si>
    <t>P-116/2020 ERAF Pakalpojumu infrastruktūras attīstība deinstitucionalizācijas plāna īstenošanai Amatas novada Spārē</t>
  </si>
  <si>
    <t>17.04.2020</t>
  </si>
  <si>
    <t>P-125/2019 ERAF Energoefektivitātes paaugstināšana ANP ēkā - Drabešu sākumskolā (Drabešu Jaunajā pamatskolā)</t>
  </si>
  <si>
    <t>05.06.2019</t>
  </si>
  <si>
    <t>P-126/2019 ERAF Kultūra, vēsture, arhitektūra Gaujas un laika lokos</t>
  </si>
  <si>
    <t>P-73/2020 ELFLA Pašvaldības grants ceļa Ķēči-Siši pārbūve</t>
  </si>
  <si>
    <t>25.03.2020</t>
  </si>
  <si>
    <t>P-221/2021 COVID VARAM Amatas novada pašvaldības autoceļu atjaunošana</t>
  </si>
  <si>
    <t>21.06.2021</t>
  </si>
  <si>
    <t>P-222/2021 PRIO Amatas novada pašvaldības Drabešu ciema grants ceļu (Drabeši - Lāčkalni, Drabeši -Vējdzirnavas) posmu pārbūve un atjaunošana</t>
  </si>
  <si>
    <t>P-418/2020 IP Satiksmes drošības uzlabošana Līvu cioemā, Drabešu pagastā, Amatas novadā</t>
  </si>
  <si>
    <t>28.10.2020</t>
  </si>
  <si>
    <t>P-63/2018 Telpu grupas vienkāršota atjaunošana Amatas novada Drabešu Jaunajā pamatskolā</t>
  </si>
  <si>
    <t>07.03.2018</t>
  </si>
  <si>
    <t>PP-7/2021 Investīciju projektu īstenošanai (saistību pārjaunojums)</t>
  </si>
  <si>
    <t>29.03.2021</t>
  </si>
  <si>
    <t>P-151/2011 ERAF pr."Cēsu pilsētas maģistrālo ielu rekonstrukcija"</t>
  </si>
  <si>
    <t>10.06.2011</t>
  </si>
  <si>
    <t>P-188/2010 ERAF pr."Cēsu pilsmuižas parka atjaun.tūrisma att."</t>
  </si>
  <si>
    <t>02.07.2010</t>
  </si>
  <si>
    <t xml:space="preserve">P-255/2012 " Cēsu pilsētas maģistrālo ielu rekostrukcija, 2.kārta" </t>
  </si>
  <si>
    <t>31.07.2012</t>
  </si>
  <si>
    <t>P-291/2013-ERAF pr."Daudzf.centra"Vidzemes mūzikas  un kult.centrs" izveide" īstenošanai</t>
  </si>
  <si>
    <t>16.08.2013</t>
  </si>
  <si>
    <t>P-29/2007 ERAF pr."Cēsu pils kompleksa revitalizācija tūrisma attīstībai" īstenošanai</t>
  </si>
  <si>
    <t>01.03.2007</t>
  </si>
  <si>
    <t>P-292/2013-ERAF pr."Daudzf.centra "Vidzemes mūzikas un kult.centrs" izveide" īstenošanai</t>
  </si>
  <si>
    <t>P-294/2013 ERAF pr."'Cēsu centrālās bibliotēkas ēkas renovāc.un pieej.nodrošin." īstenošanai</t>
  </si>
  <si>
    <t>P-318/2007 ERAF pr."Cēsu pils kompleksa revitalizācija tūrisma attīstībai"īstenošana</t>
  </si>
  <si>
    <t>01.10.2007</t>
  </si>
  <si>
    <t>P-331/2011 ERAF pr."Satiksmes drošības uzlaboj.pie 3.PII"</t>
  </si>
  <si>
    <t>08.09.2011</t>
  </si>
  <si>
    <t>P-417/2010 ERAF pr."Cēsu pilsētas tranzītielas-Pētera i.rekonstrukcija"</t>
  </si>
  <si>
    <t>22.10.2010</t>
  </si>
  <si>
    <t>P-50/2010-ERAf pr."Cēsu pils.PII renovācija"</t>
  </si>
  <si>
    <t>01.04.2010</t>
  </si>
  <si>
    <t xml:space="preserve">P-54/2011 ERAF pr."Cēsu pilsētas pirmsskolas izglītības iestāžu renovācijas 2.kārta" </t>
  </si>
  <si>
    <t>20.04.2011</t>
  </si>
  <si>
    <t>P-78/2007 ERAF pr."Cēsu izglītības iestāžu energoefektivitātes paaugstināšana"</t>
  </si>
  <si>
    <t>07.05.2007</t>
  </si>
  <si>
    <t>P-100/2021 Latvijas-Krievijas pārrobežu sadarbības programmas proj."Ilgtsp.zaļās infrastruktūras un atraktīvās atpūtas zonas attīstība dabā" investīciju daļas īstenošanai</t>
  </si>
  <si>
    <t>05.05.2021</t>
  </si>
  <si>
    <t>P-10/2017-pr."Dzīvojamās mājas atjaunošana, piemērojot dienesta viesnīcai,Saules ielā 23, Cēsīs, Cēsu novadā"</t>
  </si>
  <si>
    <t>01.02.2017</t>
  </si>
  <si>
    <t>P-12/2018-pr."Līvu sākumskolas  siltumapgādes sistēmas izbūve" īstenošanai</t>
  </si>
  <si>
    <t>31.01.2018</t>
  </si>
  <si>
    <t>P-127/2014-Prior.investīciju pr."Daudzf.centra "Vidzemes mūzikas un kult.centrs"izveide"īstenošanai"</t>
  </si>
  <si>
    <t>11.04.2014</t>
  </si>
  <si>
    <t>P-196/2016 pr.Raiņa un Piebalgas ielas krustojuma rekonstrukcija, izbūvējot rotācijas apli Cēsīs, Cēsu novadā</t>
  </si>
  <si>
    <t>26.07.2016</t>
  </si>
  <si>
    <t>P-201/2019 ERAF pr."Cēsu novada visp.izglītības iestāžu modernizācija"īstenošanai</t>
  </si>
  <si>
    <t>30.08.2019</t>
  </si>
  <si>
    <t>P-205/2021 Ieguldījumam pašvaldības SIA "Cēsu klīnika"pamatkapitālā ERAF projekta (Nr.4.2.2.0/20/I/005) "Cēsu klīnikas diagnostikas korpusa energoef.uzlabošana" īstenošanai</t>
  </si>
  <si>
    <t>22.06.2021</t>
  </si>
  <si>
    <t>P-229/2015 pr."Cēsu pils.pamatksolas-ēkas telpu vienk.atjaunošana,L.Paegles ielā 1, Cēsīs, Cēsu novadā" īstenošanai</t>
  </si>
  <si>
    <t>09.07.2015</t>
  </si>
  <si>
    <t>P-237/2015 pr."Raiņa i.posma jaunbūves,Noliktavas,Dzintara i. un Uzvaras bulv.krustojuma rekonstrukcijas ielām pieguļ.laukuma labiek.,Cēsīs, Cēsu nov." īstenošanai</t>
  </si>
  <si>
    <t>20.07.2015</t>
  </si>
  <si>
    <t>P-261/2018-ERAF pr."Degradēto teritoriju revitalizācija Cēsu novadā 3.kārta"īstenošanai</t>
  </si>
  <si>
    <t>01.06.2018</t>
  </si>
  <si>
    <t>P-272/2020 ERAF pr."Uzņēmējdarbības attīstību veicinošas vides attīst.Viestura ielā" īstenošanai</t>
  </si>
  <si>
    <t>31.08.2020</t>
  </si>
  <si>
    <t>P-293/2013-Cēsu pilsētas tranzītielas-Gaujas ielas-rekonstrukcija</t>
  </si>
  <si>
    <t>P-320/2020 projekta "Ielu seguma atjaunošana" īstenošanai</t>
  </si>
  <si>
    <t>17.09.2020</t>
  </si>
  <si>
    <t>P-321/2017-Degradēto teritoriju revitalizācija Cēsu novadā 1.kārta</t>
  </si>
  <si>
    <t>29.06.2017</t>
  </si>
  <si>
    <t>P-323/2017-Rīgas ielas posma rekontsrukc.uzņmējd.vides uzlabošanai, Cēsīs</t>
  </si>
  <si>
    <t>P-377/2020 projekta "Apvienotā gājēju un velosipēdistu ceļa jaunbūve Rīgas i.posmā no A.Kronvalda līdz Pētera ielai un Bērzaines ielas atjaunošana posmā no E.Dārziņa ielas līdz Gaujas ielai, Cēsīs, Cēsu novadā" īstenošanai</t>
  </si>
  <si>
    <t>16.10.2020</t>
  </si>
  <si>
    <t>P-397/2018-Aizs.infrastruktūras att.proj,"Daudzstāvu daudzdzīv. dzīv.ēkas-nep.jaunbūves A.Kronvalda ielā 56, Cēsīs pārbūve"īstenošanai</t>
  </si>
  <si>
    <t>25.07.2018</t>
  </si>
  <si>
    <t>P-466/2017-pr."Līvu pamatskolas centrālapkures izbūve"īstenošanai</t>
  </si>
  <si>
    <t>25.08.2017</t>
  </si>
  <si>
    <t>P-467/2017-pr."Cēsu pilsētas stadiona rekonstrukcija"īstenošanai</t>
  </si>
  <si>
    <t>P-476/2020 projekta "Vilku ielas pārbūve posmā no Vilku ielas 5 līdz Saules ielai, Cēsīs, Cēsu novadā" īstenošanai</t>
  </si>
  <si>
    <t>09.12.2020</t>
  </si>
  <si>
    <t>P-48/2014-ERAF pr."Cēsu Profesionālās vidusskolas kompleksa attīstība" īstenošanai</t>
  </si>
  <si>
    <t>28.02.2014</t>
  </si>
  <si>
    <t>P-489/2020 ERAF projekta(Nr.9.3.1.1/18/I/006)"Daudzfunkcionālais sociālo pakalpojumu centrs "Cēsis"" īstenošanai</t>
  </si>
  <si>
    <t>11.12.2020</t>
  </si>
  <si>
    <t>P-51/2020 ELFLA pr."Cēsu novada pašvaldības grants ceļa A4 Akmenskrogs-Veismaņi-Vaives pag.robeža pārbūve"īstenošanai</t>
  </si>
  <si>
    <t>11.03.2020</t>
  </si>
  <si>
    <t>P-52/2020 ERAF pr."Degradēto teritoriju revitalizācija Cēsu novadā II kārta" īstenošanai</t>
  </si>
  <si>
    <t>P-651/2018-Valsts nozīmes sporta infrastruktūras attīst.projekta "Cēsu pils.stadiona rekonstrukcija"īstenošanai</t>
  </si>
  <si>
    <t>14.11.2018</t>
  </si>
  <si>
    <t>P-657/2017-ERAF pr.Nr.5.5.1.0/17/I/004"Kultūra,vēsture,arhitektūra Gaujas un laiku lokos"'</t>
  </si>
  <si>
    <t>05.12.2017</t>
  </si>
  <si>
    <t>P-658/2017-pr."Cēsu pils.Pastariņa sākumskolas ēkas atjaunošana par zema enerģijas patēriņa  ēku,Raunas 7, Cēsīs"</t>
  </si>
  <si>
    <t>P-73/2015 ERAF pr."Cēsu profesion.vsk.kompleksa attīstība" īstenošanai</t>
  </si>
  <si>
    <t>18.03.2015</t>
  </si>
  <si>
    <t>P-118/2008 Jaunas pirmsskolas izglīt.iestādes būvniecības līdzfinansējuma nodrošināšana</t>
  </si>
  <si>
    <t>25.04.2008</t>
  </si>
  <si>
    <t>P-134/2008-Cēsu pilsētas ielu rekonstrukcijai</t>
  </si>
  <si>
    <t>07.05.2008</t>
  </si>
  <si>
    <t>P-151/2007 Sociālās daudzdzīvokļu dzīvojamās mājas būvniecības pabeigšanai</t>
  </si>
  <si>
    <t>01.06.2007</t>
  </si>
  <si>
    <t>P-174/2005 Cēsu pilsētas ielu seguma remontam</t>
  </si>
  <si>
    <t>13.10.2005</t>
  </si>
  <si>
    <t>P-218/2008 Sporta laukuma rekonstrukcijai</t>
  </si>
  <si>
    <t>19.06.2008</t>
  </si>
  <si>
    <t>P-312/2007 Cēsu pilsētas ielu rekonstrukcijai</t>
  </si>
  <si>
    <t>P-366/2009 Valsts budžeta līdzfinans.   inv.pr."Jaunas pirmsskolas izglīt.iest.būvniecība Cēsīs"</t>
  </si>
  <si>
    <t>10.12.2009</t>
  </si>
  <si>
    <t>P-57/2006 Pilsētas ielu segums, lietus ūdens kanalizācijas, apgaismojuma rekonstrukcija</t>
  </si>
  <si>
    <t>16.03.2006</t>
  </si>
  <si>
    <t>P-94/2005-Cēsu pilsētas pašvaldības iestāžu remonts</t>
  </si>
  <si>
    <t>15.06.2005</t>
  </si>
  <si>
    <t>Enerģētiski pašpietiekamas ēkas būvniecība Cēsīs, nākotnes tehnoloģiju zinātnes centra vajadzībām (Cēsis)</t>
  </si>
  <si>
    <t>30.07.2021</t>
  </si>
  <si>
    <t>Cēsu novada vispārējās izglītības iestāžu modernizācija</t>
  </si>
  <si>
    <t>30.07.2021.</t>
  </si>
  <si>
    <t>Ielu seguma atjaunošana Cēsīs</t>
  </si>
  <si>
    <t>Grants seguma ielu virsmu divkārtu apstrāde un ietvju izbūve un atjaunošana (Cēsis)</t>
  </si>
  <si>
    <t>02.11.2021.</t>
  </si>
  <si>
    <t>Cēsu pilsētas 1. pirmsskolas izglītības iestādes teritorijas labiekārtošanas darbi</t>
  </si>
  <si>
    <t>02.12.2021.</t>
  </si>
  <si>
    <t>ERAF projekta "Daudzfunkcionālais sociālo pakalpojumu centrs "Cēsis" realizācijai"</t>
  </si>
  <si>
    <t>14.12.2021</t>
  </si>
  <si>
    <t>Vidusskolas sporta zāles celtniecība</t>
  </si>
  <si>
    <t>01.06.2006</t>
  </si>
  <si>
    <t>21.06.2007</t>
  </si>
  <si>
    <t>Ūdenssaimniecības projekta 1. kārta</t>
  </si>
  <si>
    <t>20.10.2008</t>
  </si>
  <si>
    <t>Jaunpiebalgas mākslas skolas rekonstrukcija</t>
  </si>
  <si>
    <t>29.01.2016</t>
  </si>
  <si>
    <t>Gājēju ceļa pārbūve</t>
  </si>
  <si>
    <t>06.07.2017</t>
  </si>
  <si>
    <t>Infrastruktūras un komunikāciju sakārtošanai Jaunpiebalgā</t>
  </si>
  <si>
    <t>31.05.2018</t>
  </si>
  <si>
    <t>Skatu torņa būvniecība</t>
  </si>
  <si>
    <t>03.10.2018</t>
  </si>
  <si>
    <t>Siltummezglu, siltumtrases un kanalizācijas tīklu izbūve</t>
  </si>
  <si>
    <t>Sporta un atpūtas laukuma izveidošana</t>
  </si>
  <si>
    <t>04.10.2018</t>
  </si>
  <si>
    <t>Autoceļa Kalna Pentuļi-Meža Naukšēni pārbūve</t>
  </si>
  <si>
    <t>15.09.2020</t>
  </si>
  <si>
    <t>C-19 Piebalgas pamatskolas ēkas pārbūve par sociālās aprūpes centru, Jaunpiebalgas pagasts, Jaunpiebalgas novads</t>
  </si>
  <si>
    <t>23.12.2021.</t>
  </si>
  <si>
    <t>ELFLA projekta "Līgatnes pamatskolas sporta zāles celtniecība" īstenošanai P-3/2010</t>
  </si>
  <si>
    <t>12.02.2010</t>
  </si>
  <si>
    <t>ELFLA projekta "Līgatnes pamatskolas sporta zāles celtniecība" īstenošanai P-79/2009</t>
  </si>
  <si>
    <t>29.05.2009</t>
  </si>
  <si>
    <t>ERAF projekta "Līgatnes papīrfabrikas ciemata kultūrvēsturiskās tūrisma takas izveide" īstenošanai P-292/2010</t>
  </si>
  <si>
    <t>26.08.2010</t>
  </si>
  <si>
    <t>Kohēzijas fonda projekta "Ūdenssaimniecības pakalpojumu attīstība Līgatnē" īstenošanai P-212/2010</t>
  </si>
  <si>
    <t>12.07.2010</t>
  </si>
  <si>
    <t>Kohēzijas fonda projekta "Ūdenssaimniecības pakalpojumu attīstība Līgatnē" P-285-/2011</t>
  </si>
  <si>
    <t>11.08.2011</t>
  </si>
  <si>
    <t>ERAF projekta ''Uzņēmējdarbības vides sakārtošana Augšlīgatnē'' īstenošanai P-687/2018</t>
  </si>
  <si>
    <t>26.11.2018</t>
  </si>
  <si>
    <t>KPFI projekta Nr.KPFI-13.3/27 "Pašvaldības publisko teritoriju apgaismojuma infrastruktūras uzlabošana Līgatnē un Augšlīgatnē'' īstenošanai P-164/2015</t>
  </si>
  <si>
    <t>20.05.2015</t>
  </si>
  <si>
    <t>KPFI projekta (Nr.KPFI-15.4/31) "Kompleki risinājumi siltumnīcefekta gāzu emisijas samazināšanai Līgatnes pagasta kultūras namā" P-114/2015</t>
  </si>
  <si>
    <t>22.04.2015</t>
  </si>
  <si>
    <t>Projekta "Siltumtrases nomaiņa Augšlīgatnes ciemā" īstenošanai-ārkārtas situācijas novēršanai P-286/2011</t>
  </si>
  <si>
    <t>Līgatnes Mūzikas un mākalsas skolas fasādes un iekštelpu atjaunošana    P-689/2018</t>
  </si>
  <si>
    <t>23.11.2018</t>
  </si>
  <si>
    <t>Līgatnes novada vidusskolas telpu un sporta zāles remonts P-387/2017</t>
  </si>
  <si>
    <t>28.07.2017</t>
  </si>
  <si>
    <t>Prioritārā investīciju projekta "Kanalizācijas tīklu rekonstrukcija Līgatnes pilsētā" P-86/2015</t>
  </si>
  <si>
    <t>10.04.2015</t>
  </si>
  <si>
    <t>Prioritārā investīciju projekta Maģistrālā ūdensvada remontdarbiLīgatnes pilsētā īstenošanai P-255/2016</t>
  </si>
  <si>
    <t>02.09.2016</t>
  </si>
  <si>
    <t>Projekta Ielu seguma atjaunošana dažādos posmos Līgatnes novadā īstenošanai     P-212/2016</t>
  </si>
  <si>
    <t>09.08.2016</t>
  </si>
  <si>
    <t>Projekta Līgatnes novada pamatskolas un tās palīgēkas remontdarbi īstenošanai P-298/2015</t>
  </si>
  <si>
    <t>06.08.2015</t>
  </si>
  <si>
    <t>Projektam ''Ķempju ielas pārbūves 1. kārta'' P-166/2019</t>
  </si>
  <si>
    <t>04.07.2019</t>
  </si>
  <si>
    <t>Projekta Skolas ielas pārbūve īstenošanai P-341/2020</t>
  </si>
  <si>
    <t>01.10.2020</t>
  </si>
  <si>
    <t>Prioritārā investīciju projekta "Fasādes atjaunošana un energoefektivitātes paaugstināšana valsts kultūras piemineklim - PII ēkai Gaujas ielā 7, Līgatnē, Līgatnes novadā" īstenošanai P-260/2021</t>
  </si>
  <si>
    <t>06.07.2021.</t>
  </si>
  <si>
    <t>Gaujas ielas pārbūve Līgatnē, Cēsu novadā</t>
  </si>
  <si>
    <t>04.11.2021.</t>
  </si>
  <si>
    <t>Rozulas ciema ūdensaimniecības attīstībai</t>
  </si>
  <si>
    <t>23.08.2012</t>
  </si>
  <si>
    <t>Darbnīcas ēkas pārbūve par interešu centru</t>
  </si>
  <si>
    <t>27.05.2016</t>
  </si>
  <si>
    <t>Siltumtrases, katlu māja - Straupes pamatskola, rekonstrukcija</t>
  </si>
  <si>
    <t>20.08.2015</t>
  </si>
  <si>
    <t>Stalbes vidusskolas ēkas energoefektivitātes paaugstināšana</t>
  </si>
  <si>
    <t>10.04.2014</t>
  </si>
  <si>
    <t>Straupes centra publiskāsteritorijas labiekārtošana un vieglo automašīnu stāvlaukuma izbūve pie Straupes pamatskolas</t>
  </si>
  <si>
    <t>Straupes pamatskolas fasādes vienkāršota renovācija un lietus ūdeņa drenāžas izbūve</t>
  </si>
  <si>
    <t>20.08.2014</t>
  </si>
  <si>
    <t>Automašīnas iegāde</t>
  </si>
  <si>
    <t>30.09.2016</t>
  </si>
  <si>
    <t>ERAF projekta "Kultūra, vēsture, arhitektūra Gaujas un laika lokos" īstenošana</t>
  </si>
  <si>
    <t>10.06.2019</t>
  </si>
  <si>
    <t>Grants ceļa "Mazaiskrogs -Irbēni"pārbūvei</t>
  </si>
  <si>
    <t>21.06.2018</t>
  </si>
  <si>
    <t>Pārgaujas novada pašvaldības grants ceļu pārbūvei</t>
  </si>
  <si>
    <t>16.05.2018</t>
  </si>
  <si>
    <t>Raiskuma pamatskolas iekšējo inženiertīklu rekonstrukcija</t>
  </si>
  <si>
    <t>12.04.2017</t>
  </si>
  <si>
    <t>Stalbes pamatskolas sporta stadiona skrejceļa pārbūve</t>
  </si>
  <si>
    <t>08.06.2021</t>
  </si>
  <si>
    <t>Stalbes vidusskolas struktūrvienības Raiskuma pamatskolas ēkas energoefektivitātes palielināšana - ēkas fasādes un jumta atjaunošana</t>
  </si>
  <si>
    <t>05.07.2018</t>
  </si>
  <si>
    <t>Straupes ciema ūdenstorņa atjaunošana</t>
  </si>
  <si>
    <t>Straupes sporta zāles pārbūve</t>
  </si>
  <si>
    <t>03.07.2017</t>
  </si>
  <si>
    <t>Šķūņa rekonstrukcijas projekts</t>
  </si>
  <si>
    <t>Pārgaujas novada pašvaldības autoceļu atjaunošana</t>
  </si>
  <si>
    <t>08.09.2021</t>
  </si>
  <si>
    <t>Mārsnēnu pamatskolas pirmskolas grupu telpu ēkas rekonstrukcija</t>
  </si>
  <si>
    <t>Ārējo siltumtīklu, ūdens un kanalizācijas sistēmas rekonstrukcija nekustamā īpašumā "Gaismas"</t>
  </si>
  <si>
    <t>Pašvaldības transporta infrastruktūras (ielas) attīstībai</t>
  </si>
  <si>
    <t>Pāvila Rozīša ielas atjaunošana Priekuļu novada Liepas pagastā</t>
  </si>
  <si>
    <t>17.12.2020</t>
  </si>
  <si>
    <t>Informācijas un komunikācijas tehnoloģiju infrastruktūras pilnveide un e-pakalpojumu nodrošināšana (Priekuļi)</t>
  </si>
  <si>
    <t>16.07.2021.</t>
  </si>
  <si>
    <t>C-19 "Pašvaldības transporta infrastruktūras ( ielas) attīstībai (Priekuļi)</t>
  </si>
  <si>
    <t>04.08.2021.</t>
  </si>
  <si>
    <t>Alternatīvās dienas aprūpes centrs "Rudiņi" vienkāšotā rekonstrukcija</t>
  </si>
  <si>
    <t>01.10.2009</t>
  </si>
  <si>
    <t>Taurenes pagasta saieta nama vienkāšotā  rekonstrukcija</t>
  </si>
  <si>
    <t>24.09.2009</t>
  </si>
  <si>
    <t>Vecpiebalgas pagasta sporta zāles vienkāšotā rekonstrukcija</t>
  </si>
  <si>
    <t>21.12.2009</t>
  </si>
  <si>
    <t>ELFLA projekta "Pašvaldības ceļu B77 "Saulgoži-Brežģis" un B71 "Soseja-Laidzi" pārbūve īstenošanai</t>
  </si>
  <si>
    <t>27.11.2018</t>
  </si>
  <si>
    <t>ERAF projekta "Uzņēmējdarbības attīstībai nepieciešamās publiskās infrastrultūras attīstība Vecpiebalgas novada Inešu pagastā" īstenošanai</t>
  </si>
  <si>
    <t>29.11.2018</t>
  </si>
  <si>
    <t>ELFLA projekta "Pašvaldības ceļa B26 Jaunkabulēni-Celmi-Tožiņi pārbūve" īstenošanai</t>
  </si>
  <si>
    <t>17.05.2019</t>
  </si>
  <si>
    <t>ELFLA projekta "Peldvietas labiekārtošana pie Dabaru ezera" īstenošanai</t>
  </si>
  <si>
    <t>03.06.2019</t>
  </si>
  <si>
    <t>ELFLA projekta "Pašvaldības autoceļa B21 Stacija-Brodi-Kaupēni-Teikmaņi pārbūve" īstenošanai</t>
  </si>
  <si>
    <t>30.03.2020</t>
  </si>
  <si>
    <t>Bērnu rotaļu laukuma izveide Vecpiebalgā</t>
  </si>
  <si>
    <t>02.07.2020</t>
  </si>
  <si>
    <t>ELFLA projekta "Peldvietas labiekārtošana pie Kaives ezera" īstenošanai</t>
  </si>
  <si>
    <t>03.08.2020</t>
  </si>
  <si>
    <t>ELFLA projekta "Izstāžu taka Vecpiebalgas viesistabā" īstenošanai</t>
  </si>
  <si>
    <t>ELFLA projekta "Skatu platformas-ekspozīcijas izveidošana "Kalna Kaibēnos"" īstenošanai</t>
  </si>
  <si>
    <t>05.08.2020</t>
  </si>
  <si>
    <t>Saistību pārjaunojuma līgums</t>
  </si>
  <si>
    <t>08.04.2021.</t>
  </si>
  <si>
    <t xml:space="preserve">C-19 "Vecpiebalgas vidusskolas stadiona pārbūve" </t>
  </si>
  <si>
    <t>Alauksta ielas pārbūve (km0.545)"</t>
  </si>
  <si>
    <t>Vecpiebalgas vidusskolas infrastruktūras uzlabošana un materiāli tehniskās bāzes pilnveidošana"īstenošanai</t>
  </si>
  <si>
    <t>Jumpravas ielas atjaunošana Līgatnē, Cēsu novadā</t>
  </si>
  <si>
    <t>19.07.2022</t>
  </si>
  <si>
    <t>Energoefektivitātes paaugstināšana pašvaldības ēkā Rūpnīcas ielā 8, Liepā, Liepas pagastā</t>
  </si>
  <si>
    <t xml:space="preserve">Pašvaldības autoceļa Lieltītmaņi - Upesmuižnieki atjaunošana Līgatnes pagastā, Cēsu novadā </t>
  </si>
  <si>
    <t>Pašvaldības autoceļa Zaube-Jaungalžēni posma km 0,450-1,650 pārbūve, Zaubes pagasts, Cēsu novads</t>
  </si>
  <si>
    <t>Notekūdeņu attīrīšanas iekārtas (NAI) un sadzīves notekūdeņu tīklu izbūve Spārē, Amatas pagastā</t>
  </si>
  <si>
    <t>Vecpiebalgas vidusskolas pirmsskolas izglītības iestādes ēkas jumta nomaiņai</t>
  </si>
  <si>
    <t>Pašvaldības autoceļa Čaukas–Kūdums atjaunošana ar divkārtu virsmas apstrāde Raiskuma pagastā, Cēsu novadā</t>
  </si>
  <si>
    <t>27.09.2022.</t>
  </si>
  <si>
    <t>Divkārtu virsmas apstrāde Meldru, Pureņu, Viršu, Niedru, Mārtiņa, Ķiršu, Vārnu, Vālodzes, Ata Kronvalda un Kalnmuižas ielās Cēsīs</t>
  </si>
  <si>
    <t>04.11.2022.</t>
  </si>
  <si>
    <t>Siltumtīklu  izbūve no Br. Kaudzīšu ielas 3A līdz Gaujas ielai 25A un no Gaujas ielas 25A līdz Priežu ielai 8, Jaunpiebalgā, Jaunpiebalgas pagastā, Cēsu novadā</t>
  </si>
  <si>
    <t>2030-2048</t>
  </si>
  <si>
    <t>Kopā</t>
  </si>
  <si>
    <t>Nr.p.k.</t>
  </si>
  <si>
    <t>Aizņēmuma līgums</t>
  </si>
  <si>
    <t>Trančes</t>
  </si>
  <si>
    <t>Mērķis</t>
  </si>
  <si>
    <t>Līguma noslēgšanas datums</t>
  </si>
  <si>
    <t>(euro)</t>
  </si>
  <si>
    <t>x</t>
  </si>
  <si>
    <t>PLĀNOTĀS SAISTĪBAS</t>
  </si>
  <si>
    <t>Investīciju projektu realizācijai</t>
  </si>
  <si>
    <t>Galvojumi</t>
  </si>
  <si>
    <t>Valsts kase</t>
  </si>
  <si>
    <t>Projekta ''Jauna ūdensvada un kanalizācijas izbūve Augšlīgatnē, Līgatnes pagastā, Līgatnes novadā'' īstenošanai</t>
  </si>
  <si>
    <t>15.12.2017</t>
  </si>
  <si>
    <t>K-17/2021</t>
  </si>
  <si>
    <t>A1/1/21/399-V/21/1</t>
  </si>
  <si>
    <t>Inženierkomunikācijas tīklu atjaunošana Līgatnē 2021.gadā</t>
  </si>
  <si>
    <t>12.07.2021.</t>
  </si>
  <si>
    <t>PAVISAM KOPĀ:</t>
  </si>
  <si>
    <t>KOPĀ:</t>
  </si>
  <si>
    <t>KOPĀ SAISTĪBAS:</t>
  </si>
  <si>
    <t>Saistību apjoms % no plānotajiem pamatbudžeta ieņēmumiem</t>
  </si>
  <si>
    <t>Plānotie pamatbudžeta ieņēmumi bez plānotajiem transferta ieņēmumiem no valsts budžeta noteiktam mērķim (izņemot klimata pārmaiņu finanšu instrumenta finansējumu) un plānotajām iemaksām pašvaldību finanšu izlīdzināšanas fondā saimnieciskajā gadā:</t>
  </si>
  <si>
    <t xml:space="preserve">Projekta Ielu seguma atjaunošana dažādos posmos Līgatnes novadā īstenošanai   </t>
  </si>
  <si>
    <t>Prioritārā investīciju projekta Maģistrālā ūdensvada remontdarbiLīgatnes pilsētā īstenošanai</t>
  </si>
  <si>
    <t>A2/1/23/76</t>
  </si>
  <si>
    <t>P-35/2023</t>
  </si>
  <si>
    <t>ERAF projekts (Nr.4.2.2.0/21/A/007) "Drabešu Jaunās pamatskolas fasādes siltināšana, nodrošinot energoefektivitātes paaugstināšanu”</t>
  </si>
  <si>
    <t>17.04.2023.</t>
  </si>
  <si>
    <t>A2/1/23/97</t>
  </si>
  <si>
    <t>P-43/2023</t>
  </si>
  <si>
    <t>Cēsu 2.pamatskolas klimata uzlabošana un daļu telpu atjaunošana 2 kārtās” Gaujas ielā 45, Cēsīs, Cēsu novadā II kārtas būvdarbi” priorit.</t>
  </si>
  <si>
    <t>03.05.2023.</t>
  </si>
  <si>
    <t>prioritārais investīciju projekts “Stalbes pagasta siltumtīklu pārbūve Stalbē, Stalbes pagastā, Cēsu novadā”</t>
  </si>
  <si>
    <t>28.06.2023.</t>
  </si>
  <si>
    <t>A2/1/23/161</t>
  </si>
  <si>
    <t>P-108/2023</t>
  </si>
  <si>
    <t>P-109/2023</t>
  </si>
  <si>
    <t>A2/1/23/162</t>
  </si>
  <si>
    <t>ERAF projekts (Nr.4.2.2.0/21/A/059) “Energoefektivitātes paaugstināšana Jaunpiebalgas vidusskolā Priežu ielā 8, Jaunpiebalgā, Jaunpiebalgas pagastā, Cēsu novadā”</t>
  </si>
  <si>
    <t>Cēsu novada pašvaldības pārskats par uzņemto un plānoto saistību apmēru uz 01.09.2023.</t>
  </si>
  <si>
    <t>Pielikums Nr.2
Cēsu novada domes 21.10.2023..
lēmumam Nr.___(prot.Nr.___., ___.p.)
Saistošie noteikumi Nr.____</t>
  </si>
  <si>
    <t>A2/1/23/209</t>
  </si>
  <si>
    <t>P-148/2023</t>
  </si>
  <si>
    <t>Bērzaines ielas posmā no Satekles ielas līdz Emīla Dārziņa ielai pārbūve Cēsīs, Cēsu novadā</t>
  </si>
  <si>
    <t>20.07.2023.</t>
  </si>
  <si>
    <t>A2/1/23/210</t>
  </si>
  <si>
    <t>P-149/2023</t>
  </si>
  <si>
    <t>Asfaltbetona seguma atjaunošana Alejas ielā, Jāņmuižā</t>
  </si>
  <si>
    <t>A2/1/23/211</t>
  </si>
  <si>
    <t>P-150/2023</t>
  </si>
  <si>
    <t>Cēsu novada Līgatnes pagasta ceļa “Blodziņi (Vaisuļi) -Asaru ceļš</t>
  </si>
  <si>
    <t>A2/1/23/215</t>
  </si>
  <si>
    <t>P-151/2023</t>
  </si>
  <si>
    <t>Pašvaldības autoceļa “Dzintariņi - Meijermuiža”, Drabešu pagastā, Cēsu novadā pārbūve</t>
  </si>
  <si>
    <t>A2/1/23/213</t>
  </si>
  <si>
    <t>P-152/2023</t>
  </si>
  <si>
    <t>Apvienotā gājēju - velosipēdistu celiņa izbūve gar Zvārtas ielu posmā no autoceļa P14 līdz Kalna ielai, Līvi, Drabešu pagasts, Cēsu novads</t>
  </si>
  <si>
    <t>A2/1/23/214</t>
  </si>
  <si>
    <t>P-153/2023</t>
  </si>
  <si>
    <t>Asfaltbetona seguma atjaunošana Sporta ielā, Jāņmuižā</t>
  </si>
  <si>
    <t>A2/1/23/240</t>
  </si>
  <si>
    <t>2023 kopā</t>
  </si>
  <si>
    <t>Gads</t>
  </si>
  <si>
    <t>Raiņa un Piebalgas ielas krustojuma rekonstrukcija, izbūvējot rotācijas apli Cēsīs, Cēsu novadā</t>
  </si>
  <si>
    <t>Līvu sākumskolas  siltumapgādes sistēmas izbūve" īstenošanai</t>
  </si>
  <si>
    <t>Telpu grupas vienkāršota atjaunošana Amatas novada Drabešu Jaunajā pamatskolā</t>
  </si>
  <si>
    <t>ERAF Kultūra, vēsture, arhitektūra Gaujas un laika lokos</t>
  </si>
  <si>
    <t>ERAF Energoefektivitātes paaugstināšana ANP ēkā - Drabešu sākumskolā (Drabešu Jaunajā pamatskolā)</t>
  </si>
  <si>
    <t>ERAF Pakalpojumu infrastruktūras attīstība deinstitucionalizācijas plāna īstenošanai Amatas novada Spārē</t>
  </si>
  <si>
    <t>ERAF pr."Degradēto teritoriju revitalizācija Cēsu novadā II kārta" īstenošanai</t>
  </si>
  <si>
    <t xml:space="preserve"> projekta "Ielu seguma atjaunošana" īstenošanai</t>
  </si>
  <si>
    <t>projekta "Vilku ielas pārbūve posmā no Vilku ielas 5 līdz Saules ielai, Cēsīs, Cēsu novadā" īstenošanai</t>
  </si>
  <si>
    <t>Investīciju projektu īstenošanai (saistību pārjaunojums)</t>
  </si>
  <si>
    <t>COVID VARAM Amatas novada pašvaldības autoceļu atjaunošana</t>
  </si>
  <si>
    <t>P-176/2023</t>
  </si>
  <si>
    <t>A2/1/23/241</t>
  </si>
  <si>
    <t>Apvienotā gājēju-velosipēdistu ceļa izbūve gar Rīgas ielu posmā no Cēsu pilsētas robežas līdz Pētera ielai</t>
  </si>
  <si>
    <t>02.08.2023.</t>
  </si>
  <si>
    <t>A2/1/23/338</t>
  </si>
  <si>
    <t>A2/1/23/337</t>
  </si>
  <si>
    <t>A2/1/23/339</t>
  </si>
  <si>
    <t>A2/1/23/336</t>
  </si>
  <si>
    <t>A2/1/23/331</t>
  </si>
  <si>
    <t>A2/1/23/333</t>
  </si>
  <si>
    <t>A2/1/23/334</t>
  </si>
  <si>
    <t>P-233/2023</t>
  </si>
  <si>
    <t>P-238/2023</t>
  </si>
  <si>
    <t>P-236/2023</t>
  </si>
  <si>
    <t>P-237/2023</t>
  </si>
  <si>
    <t>P-232/2023</t>
  </si>
  <si>
    <t>P-234/2023</t>
  </si>
  <si>
    <t>P-235/2023</t>
  </si>
  <si>
    <t>07.09.2023</t>
  </si>
  <si>
    <t>06.09.2023</t>
  </si>
  <si>
    <t>Piebalgas pamatskolas ēkas pārbūve par sociālās aprūpes centru, Jaunpiebalgas pagasts, Cēsu novads</t>
  </si>
  <si>
    <t>Cēsu novada Liepas pamatskolas infrastruktūras uzlabošana</t>
  </si>
  <si>
    <t>Ražošanas ēkas ar pieguļošo teritoriju būvniecība nekustamā īpašuma – CSA poligons Daibe, teritorijā</t>
  </si>
  <si>
    <t>Ielu seguma pārbūve Straupē, Straupes pagastā, Cēsu novadā</t>
  </si>
  <si>
    <t>Jauno Līderu vidusskolas telpu pārbūve</t>
  </si>
  <si>
    <t>Skolēnu autobusu iegāde Cēsu novada apvienību pārvalžu un Sporta skolas vajadzībām</t>
  </si>
  <si>
    <t>Energoefektivitātes paaugstināšana Aleksandra Bieziņa Raiskuma pamatskolā Raiskumā, Raiskuma pagastā, Cēsu novadā</t>
  </si>
  <si>
    <t>Piebalgas un Bērzaines ielu, Cēsīs, Cēsu novadā segumu atjaunošana</t>
  </si>
  <si>
    <t>06.10.2023.</t>
  </si>
  <si>
    <t>A2/1/23/420</t>
  </si>
  <si>
    <t>A2/1/23/421</t>
  </si>
  <si>
    <t>P-177/2023</t>
  </si>
  <si>
    <t>Cēsu novada pašvaldības pārskats par uzņemto un plānoto saistību apmēru uz 12.10.2023.</t>
  </si>
  <si>
    <t>P-318/2007 ERAF pr. "Cēsu pils kompleksa revitalizācija tūrisma attīstībai" īstenošana</t>
  </si>
  <si>
    <t>P-50/2010-ERAf pr. "Cēsu pils. PII renovācija"</t>
  </si>
  <si>
    <t>P-151/2011 ERAF pr. "Cēsu pilsētas maģistrālo ielu rekonstrukcija"</t>
  </si>
  <si>
    <t>ERAF projekta "Uzņēmējdarbības vides sakārtošana Augšlīgatnē" īstenošanai P-687/2018</t>
  </si>
  <si>
    <t>Projektam "Ķempju ielas pārbūves 1. kārta" P-166/2019</t>
  </si>
  <si>
    <t>Projekta "Jauna ūdensvada un kanalizācijas izbūve Augšlīgatnē, Līgatnes pagastā, Līgatnes novadā" īstenošanai</t>
  </si>
  <si>
    <t>prioritārais investīciju projekts "Stalbes pagasta siltumtīklu pārbūve Stalbē, Stalbes pagastā, Cēsu novadā"</t>
  </si>
  <si>
    <t>Cēsu 2.pamatskolas klimata uzlabošana un daļu telpu atjaunošana 2 kārtās" Gaujas ielā 45, Cēsīs, Cēsu novadā II kārtas būvdarbi" priorit.</t>
  </si>
  <si>
    <t>Līvu pirmsskolas izglītības iestādes, "Līvu skola", Krīvos, Vaives pag., Cēsu novadā, ēkas energoefektivitātes paaugstināšana</t>
  </si>
  <si>
    <t>P-94/2005 - Cēsu pilsētas pašvaldības iestāžu remonts</t>
  </si>
  <si>
    <t>Projekta "Siltumtrases nomaiņa Augšlīgatnes ciemā" īstenošanai - ārkārtas situācijas novēršanai P-286/2011</t>
  </si>
  <si>
    <t>Cēsu centrālās bibliotēkas ēkas renovāc. un pieej. nodrošin." īstenošanai</t>
  </si>
  <si>
    <t>Cēsu pilsētas tranzītielas - Gaujas ielas - rekonstrukcija</t>
  </si>
  <si>
    <t>ERAF pr. "Daudzf. centra "Vidzemes mūzikas un kult. centrs" izveide" īstenošanai</t>
  </si>
  <si>
    <t>ERAF pr. "Cēsu Profesionālās vidusskolas kompleksa attīstība" īstenošanai</t>
  </si>
  <si>
    <t>Raiņa i. posma jaunbūves, Noliktavas, Dzintara i. un Uzvaras bulv. krustojuma rekonstrukcijas ielām pieguļ. laukuma labiek., Cēsīs, Cēsu nov." īstenošanai</t>
  </si>
  <si>
    <t>Rīgas ielas posma rekontsrukc. uzņmējd. vides uzlabošanai, Cēsīs</t>
  </si>
  <si>
    <t>Dzīvojamās mājas atjaunošana, piemērojot dienesta viesnīcai, Saules ielā 23, Cēsīs, Cēsu novadā"</t>
  </si>
  <si>
    <t>Cēsu pilsētas stadiona rekonstrukcija" īstenošanai</t>
  </si>
  <si>
    <t>Līvu pamatskolas centrālapkures izbūve" īstenošanai</t>
  </si>
  <si>
    <t>ERAF pr. Nr.5.5.1.0/17/I/004 "Kultūra, vēsture, arhitektūra Gaujas un laiku lokos"</t>
  </si>
  <si>
    <t>Grants ceļa "Mazaiskrogs  Irbēni" pārbūvei</t>
  </si>
  <si>
    <t>Valsts nozīmes sporta infrastruktūras attīst. projekta "Cēsu pils.stadiona rekonstrukcija" īstenošanai</t>
  </si>
  <si>
    <t>ERAF pr. "Cēsu novada visp.izglītības iestāžu modernizācija" īstenošanai</t>
  </si>
  <si>
    <t>ERAF pr. "Uzņēmējdarbības attīstību veicinošas vides attīst. Viestura ielā" īstenošanai</t>
  </si>
  <si>
    <t>Latvijas-Krievijas pārrobežu sadarbības programmas proj. "Ilgtsp.zaļās infrastruktūras un atraktīvās atpūtas zonas attīstība dabā" investīciju daļas īstenošanai</t>
  </si>
  <si>
    <t>PRIO Amatas novada pašvaldības Drabešu ciema grants ceļu (Drabeši-Lāčkalni, Drabeši-Vējdzirnavas) posmu pārbūve un atjaunošana</t>
  </si>
  <si>
    <t>C-19 "Pašvaldības transporta infrastruktūras (ielas) attīstībai (Priekuļi)</t>
  </si>
  <si>
    <t>Vecpiebalgas vidusskolas infrastruktūras uzlabošana un materiāli tehniskās bāzes pilnveidošana" īstenošanai</t>
  </si>
  <si>
    <t>Alauksta ielas pārbūve (km 0.545)"</t>
  </si>
  <si>
    <t xml:space="preserve">Pašvaldības autoceļa Lieltītmaņi-Upesmuižnieki atjaunošana Līgatnes pagastā, Cēsu novadā </t>
  </si>
  <si>
    <t>Cēsu novada Līgatnes pagasta ceļa "Blodziņi (Vaisuļi)-Asaru ceļš</t>
  </si>
  <si>
    <t>Pašvaldības autoceļa "Dzintariņi-Meijermuiža", Drabešu pagastā, Cēsu novadā pārbūve</t>
  </si>
  <si>
    <t>Pielikums Nr. 2
Cēsu novada domes 12.10.2023.
lēmumam Nr. 562 (prot. Nr. 11)
Saistošie noteikumi Nr. 22</t>
  </si>
  <si>
    <t>P-366/2009 Valsts budžeta līdzfinans. inv. pr. "Jaunas pirmsskolas izglīt. iest. būvniecība Cēsīs"</t>
  </si>
  <si>
    <t>P-417/2010 ERAF pr. "Cēsu pilsētas tranzītielas - Pētera i. rekonstrukcija"</t>
  </si>
  <si>
    <t xml:space="preserve">P-54/2011 ERAF pr. "Cēsu pilsētas pirmsskolas izglītības iestāžu renovācijas 2. kārta" </t>
  </si>
  <si>
    <t>ERAF pr. "Satiksmes drošības uzlaboj. pie 3. PII"</t>
  </si>
  <si>
    <t xml:space="preserve">Cēsu pilsētas maģistrālo ielu rekostrukcija, 2. kārta" </t>
  </si>
  <si>
    <t>ERAF pr. "Daudzf. centra "Vidzemes mūzikas  un kult. centrs" izveide" īstenošanai</t>
  </si>
  <si>
    <t>KPFI projekta (Nr. KPFI-15.4/31) "Kompleki risinājumi siltumnīcefekta gāzu emisijas samazināšanai Līgatnes pagasta kultūras namā" P-114/2015</t>
  </si>
  <si>
    <t>KPFI projekta Nr. KPFI-13.3/27 "Pašvaldības publisko teritoriju apgaismojuma infrastruktūras uzlabošana Līgatnē un Augšlīgatnē" īstenošanai P-164/2015</t>
  </si>
  <si>
    <t>Cēsu pils. Pamatksolas - ēkas telpu vienk. atjaunošana, L. Paegles ielā 1, Cēsīs, Cēsu novadā" īstenošanai</t>
  </si>
  <si>
    <t>Degradēto teritoriju revitalizācija Cēsu novadā 1. kārta</t>
  </si>
  <si>
    <t>ERAF pr. "Degradēto teritoriju revitalizācija Cēsu novadā 3. kārta" īstenošanai</t>
  </si>
  <si>
    <t>Aizs. infrastruktūras att. proj. "Daudzstāvu daudzdzīv. dzīv. Ēkas - nep. jaunbūves A. Kronvalda ielā 56, Cēsīs pārbūve" īstenošanai</t>
  </si>
  <si>
    <t>ELFLA pr. "Cēsu novada pašvaldības grants ceļa A4 Akmenskrogs-Veismaņi-Vaives pag. robeža pārbūve" īstenošanai</t>
  </si>
  <si>
    <t>projekta "Apvienotā gājēju un velosipēdistu ceļa jaunbūve Rīgas i. posmā no A. Kronvalda līdz Pētera ielai un Bērzaines ielas atjaunošana posmā no E. Dārziņa ielas līdz Gaujas ielai, Cēsīs, Cēsu novadā" īstenošanai</t>
  </si>
  <si>
    <t>IP Satiksmes drošības uzlabošana Līvu ciemā, Drabešu pagastā, Amatas novadā</t>
  </si>
  <si>
    <t>ERAF projekta (Nr. 9.3.1.1/18/I/006) "Daudzfunkcionālais sociālo pakalpojumu centrs "Cēsis"" īstenošanai</t>
  </si>
  <si>
    <t>Ieguldījumam pašvaldības SIA "Cēsu klīnika" pamatkapitālā ERAF projekta (Nr. 4.2.2.0/20/I/005) "Cēsu klīnikas diagnostikas korpusa energoef. uzlabošana" īstenošanai</t>
  </si>
  <si>
    <t>ERAF projekts (Nr. 4.2.2.0/21/A/059) "Energoefektivitātes paaugstināšana Jaunpiebalgas vidusskolā Priežu ielā 8, Jaunpiebalgā, Jaunpiebalgas pagastā, Cēsu novadā"</t>
  </si>
  <si>
    <t>Pašvaldības autoceļa Čaukas-Kūdums atjaunošana ar divkārtu virsmas apstrāde Raiskuma pagastā, Cēsu novadā</t>
  </si>
  <si>
    <t>ERAF projekts (Nr. 8.1.2.0/17/I/009) "Cēsu novada vispārējo izglītības iestāžu modernizācija"</t>
  </si>
  <si>
    <t>ERAF projekts (Nr. 4.2.2.0/21/A/007) "Drabešu Jaunās pamatskolas fasādes siltināšana, nodrošinot energoefektivitātes paaugstināšanu"</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</si>
</sst>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 _€"/>
  </numFmts>
  <fonts count="26" x14ac:knownFonts="1">
    <font>
      <sz val="11"/>
      <color theme="1"/>
      <name val="Calibri"/>
      <family val="2"/>
      <charset val="186"/>
      <scheme val="minor"/>
    </font>
    <font>
      <sz val="11"/>
      <color rgb="FFFF0000"/>
      <name val="Calibri"/>
      <family val="2"/>
      <charset val="186"/>
      <scheme val="minor"/>
    </font>
    <font>
      <b/>
      <sz val="11"/>
      <color theme="1"/>
      <name val="Calibri"/>
      <family val="2"/>
      <charset val="186"/>
      <scheme val="minor"/>
    </font>
    <font>
      <sz val="10"/>
      <color theme="1"/>
      <name val="Tahoma"/>
      <family val="2"/>
      <charset val="186"/>
    </font>
    <font>
      <b/>
      <sz val="10"/>
      <color theme="1"/>
      <name val="Tahoma"/>
      <family val="2"/>
      <charset val="186"/>
    </font>
    <font>
      <sz val="11"/>
      <color theme="8" tint="-0.249977111117893"/>
      <name val="Calibri"/>
      <family val="2"/>
      <charset val="186"/>
      <scheme val="minor"/>
    </font>
    <font>
      <sz val="10"/>
      <name val="Arial"/>
      <family val="2"/>
      <charset val="186"/>
    </font>
    <font>
      <sz val="10"/>
      <name val="Calibri"/>
      <family val="2"/>
      <charset val="186"/>
      <scheme val="minor"/>
    </font>
    <font>
      <sz val="10"/>
      <color indexed="8"/>
      <name val="Calibri"/>
      <family val="2"/>
      <charset val="186"/>
      <scheme val="minor"/>
    </font>
    <font>
      <sz val="10"/>
      <color theme="1"/>
      <name val="Calibri"/>
      <family val="2"/>
      <charset val="186"/>
      <scheme val="minor"/>
    </font>
    <font>
      <b/>
      <sz val="10"/>
      <color theme="1"/>
      <name val="Calibri"/>
      <family val="2"/>
      <charset val="186"/>
      <scheme val="minor"/>
    </font>
    <font>
      <sz val="10"/>
      <color rgb="FFFF0000"/>
      <name val="Calibri"/>
      <family val="2"/>
      <charset val="186"/>
      <scheme val="minor"/>
    </font>
    <font>
      <sz val="8"/>
      <name val="Calibri"/>
      <family val="2"/>
      <charset val="186"/>
      <scheme val="minor"/>
    </font>
    <font>
      <b/>
      <sz val="12"/>
      <name val="Calibri"/>
      <family val="2"/>
      <charset val="186"/>
      <scheme val="minor"/>
    </font>
    <font>
      <i/>
      <sz val="10"/>
      <color theme="1"/>
      <name val="Calibri"/>
      <family val="2"/>
      <charset val="186"/>
      <scheme val="minor"/>
    </font>
    <font>
      <sz val="11"/>
      <name val="Calibri"/>
      <family val="2"/>
      <charset val="186"/>
      <scheme val="minor"/>
    </font>
    <font>
      <sz val="10"/>
      <color rgb="FF0070C0"/>
      <name val="Calibri"/>
      <family val="2"/>
      <charset val="186"/>
      <scheme val="minor"/>
    </font>
    <font>
      <b/>
      <sz val="10"/>
      <name val="Calibri"/>
      <family val="2"/>
      <charset val="186"/>
      <scheme val="minor"/>
    </font>
    <font>
      <b/>
      <sz val="10"/>
      <name val="Times New Roman"/>
      <family val="1"/>
      <charset val="186"/>
    </font>
    <font>
      <i/>
      <sz val="10"/>
      <name val="Calibri"/>
      <family val="2"/>
      <charset val="186"/>
      <scheme val="minor"/>
    </font>
    <font>
      <b/>
      <sz val="10"/>
      <color rgb="FFFF0000"/>
      <name val="Calibri"/>
      <family val="2"/>
      <charset val="186"/>
      <scheme val="minor"/>
    </font>
    <font>
      <sz val="10"/>
      <color rgb="FF152935"/>
      <name val="Arial"/>
      <family val="2"/>
      <charset val="186"/>
    </font>
    <font>
      <sz val="8"/>
      <color theme="1"/>
      <name val="Calibri"/>
      <family val="2"/>
      <charset val="186"/>
      <scheme val="minor"/>
    </font>
    <font>
      <sz val="9"/>
      <name val="Calibri"/>
      <family val="2"/>
      <charset val="186"/>
      <scheme val="minor"/>
    </font>
    <font>
      <sz val="8"/>
      <name val="Calibri"/>
      <family val="2"/>
      <charset val="186"/>
    </font>
    <font>
      <b/>
      <sz val="8"/>
      <name val="Calibri"/>
      <family val="2"/>
      <charset val="186"/>
      <scheme val="minor"/>
    </font>
  </fonts>
  <fills count="9">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rgb="FFFFFF00"/>
        <bgColor indexed="64"/>
      </patternFill>
    </fill>
    <fill>
      <patternFill patternType="solid">
        <fgColor rgb="FFFFFFFF"/>
      </patternFill>
    </fill>
    <fill>
      <patternFill patternType="solid">
        <fgColor theme="9" tint="0.79998168889431442"/>
        <bgColor indexed="64"/>
      </patternFill>
    </fill>
    <fill>
      <patternFill patternType="solid">
        <fgColor theme="7" tint="0.79998168889431442"/>
        <bgColor indexed="64"/>
      </patternFill>
    </fill>
    <fill>
      <patternFill patternType="solid">
        <fgColor theme="7" tint="0.79998168889431442"/>
        <bgColor indexed="26"/>
      </patternFill>
    </fill>
  </fills>
  <borders count="27">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theme="4" tint="0.39997558519241921"/>
      </bottom>
      <diagonal/>
    </border>
    <border>
      <left style="hair">
        <color indexed="8"/>
      </left>
      <right style="hair">
        <color indexed="8"/>
      </right>
      <top style="hair">
        <color indexed="8"/>
      </top>
      <bottom style="hair">
        <color indexed="8"/>
      </bottom>
      <diagonal/>
    </border>
    <border>
      <left style="hair">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right/>
      <top/>
      <bottom style="hair">
        <color indexed="8"/>
      </bottom>
      <diagonal/>
    </border>
    <border>
      <left/>
      <right style="hair">
        <color indexed="8"/>
      </right>
      <top/>
      <bottom/>
      <diagonal/>
    </border>
    <border>
      <left/>
      <right style="hair">
        <color indexed="8"/>
      </right>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style="hair">
        <color auto="1"/>
      </right>
      <top style="hair">
        <color auto="1"/>
      </top>
      <bottom style="hair">
        <color auto="1"/>
      </bottom>
      <diagonal/>
    </border>
    <border>
      <left style="thin">
        <color rgb="FFABABAB"/>
      </left>
      <right/>
      <top style="thin">
        <color rgb="FFABABAB"/>
      </top>
      <bottom/>
      <diagonal/>
    </border>
    <border>
      <left style="thin">
        <color rgb="FFABABAB"/>
      </left>
      <right/>
      <top/>
      <bottom/>
      <diagonal/>
    </border>
    <border>
      <left style="thin">
        <color rgb="FFABABAB"/>
      </left>
      <right/>
      <top style="thin">
        <color rgb="FFABABAB"/>
      </top>
      <bottom style="thin">
        <color rgb="FFABABAB"/>
      </bottom>
      <diagonal/>
    </border>
    <border>
      <left style="thin">
        <color rgb="FFABABAB"/>
      </left>
      <right style="thin">
        <color rgb="FFABABAB"/>
      </right>
      <top style="thin">
        <color rgb="FFABABAB"/>
      </top>
      <bottom/>
      <diagonal/>
    </border>
    <border>
      <left style="thin">
        <color rgb="FFABABAB"/>
      </left>
      <right style="thin">
        <color rgb="FFABABAB"/>
      </right>
      <top/>
      <bottom/>
      <diagonal/>
    </border>
    <border>
      <left style="thin">
        <color rgb="FFABABAB"/>
      </left>
      <right style="thin">
        <color rgb="FFABABAB"/>
      </right>
      <top style="thin">
        <color rgb="FFABABAB"/>
      </top>
      <bottom style="thin">
        <color rgb="FFABABAB"/>
      </bottom>
      <diagonal/>
    </border>
  </borders>
  <cellStyleXfs count="2">
    <xf numFmtId="0" fontId="0" fillId="0" borderId="0"/>
    <xf numFmtId="0" fontId="6" fillId="0" borderId="0"/>
  </cellStyleXfs>
  <cellXfs count="192">
    <xf numFmtId="0" fontId="0" fillId="0" borderId="0" xfId="0"/>
    <xf numFmtId="49" fontId="3" fillId="2" borderId="1" xfId="0" applyNumberFormat="1" applyFont="1" applyFill="1" applyBorder="1" applyAlignment="1">
      <alignment horizontal="left" vertical="top" wrapText="1"/>
    </xf>
    <xf numFmtId="4" fontId="3" fillId="2" borderId="1" xfId="0" applyNumberFormat="1" applyFont="1" applyFill="1" applyBorder="1" applyAlignment="1">
      <alignment horizontal="right" vertical="top" wrapText="1"/>
    </xf>
    <xf numFmtId="49" fontId="4" fillId="2" borderId="2" xfId="0" applyNumberFormat="1" applyFont="1" applyFill="1" applyBorder="1" applyAlignment="1">
      <alignment horizontal="left" vertical="top" wrapText="1"/>
    </xf>
    <xf numFmtId="4" fontId="4" fillId="2" borderId="2" xfId="0" applyNumberFormat="1" applyFont="1" applyFill="1" applyBorder="1" applyAlignment="1">
      <alignment horizontal="right" vertical="top" wrapText="1"/>
    </xf>
    <xf numFmtId="0" fontId="1" fillId="0" borderId="0" xfId="0" applyFont="1"/>
    <xf numFmtId="49" fontId="0" fillId="0" borderId="0" xfId="0" applyNumberFormat="1"/>
    <xf numFmtId="0" fontId="5" fillId="0" borderId="0" xfId="0" applyFont="1"/>
    <xf numFmtId="49" fontId="7" fillId="3" borderId="3" xfId="1" applyNumberFormat="1" applyFont="1" applyFill="1" applyBorder="1" applyAlignment="1" applyProtection="1">
      <alignment horizontal="left" vertical="center" wrapText="1"/>
      <protection locked="0"/>
    </xf>
    <xf numFmtId="49" fontId="7" fillId="0" borderId="3" xfId="1" applyNumberFormat="1" applyFont="1" applyBorder="1" applyAlignment="1" applyProtection="1">
      <alignment horizontal="left" vertical="center" wrapText="1"/>
      <protection locked="0"/>
    </xf>
    <xf numFmtId="49" fontId="7" fillId="4" borderId="3" xfId="1" applyNumberFormat="1" applyFont="1" applyFill="1" applyBorder="1" applyAlignment="1" applyProtection="1">
      <alignment horizontal="left" vertical="center" wrapText="1"/>
      <protection locked="0"/>
    </xf>
    <xf numFmtId="0" fontId="7" fillId="0" borderId="3" xfId="1" applyFont="1" applyBorder="1" applyAlignment="1" applyProtection="1">
      <alignment horizontal="left" vertical="center" wrapText="1"/>
      <protection locked="0"/>
    </xf>
    <xf numFmtId="0" fontId="7" fillId="4" borderId="3" xfId="1" applyFont="1" applyFill="1" applyBorder="1" applyAlignment="1" applyProtection="1">
      <alignment horizontal="left" vertical="center" wrapText="1"/>
      <protection locked="0"/>
    </xf>
    <xf numFmtId="49" fontId="7" fillId="0" borderId="3" xfId="1" applyNumberFormat="1" applyFont="1" applyBorder="1" applyAlignment="1" applyProtection="1">
      <alignment horizontal="center" vertical="center" wrapText="1"/>
      <protection locked="0"/>
    </xf>
    <xf numFmtId="49" fontId="7" fillId="3" borderId="3" xfId="1" applyNumberFormat="1" applyFont="1" applyFill="1" applyBorder="1" applyAlignment="1" applyProtection="1">
      <alignment horizontal="center" vertical="center" wrapText="1"/>
      <protection locked="0"/>
    </xf>
    <xf numFmtId="0" fontId="7" fillId="0" borderId="0" xfId="0" applyFont="1"/>
    <xf numFmtId="0" fontId="8" fillId="0" borderId="3" xfId="0" applyFont="1" applyBorder="1" applyAlignment="1">
      <alignment horizontal="left" vertical="center" wrapText="1"/>
    </xf>
    <xf numFmtId="0" fontId="7" fillId="0" borderId="4" xfId="0" applyFont="1" applyBorder="1" applyAlignment="1">
      <alignment horizontal="left" wrapText="1"/>
    </xf>
    <xf numFmtId="0" fontId="7" fillId="0" borderId="0" xfId="1" applyFont="1" applyAlignment="1">
      <alignment horizontal="left" wrapText="1"/>
    </xf>
    <xf numFmtId="49" fontId="7" fillId="5" borderId="4" xfId="0" applyNumberFormat="1" applyFont="1" applyFill="1" applyBorder="1" applyAlignment="1">
      <alignment horizontal="left" vertical="top" wrapText="1" shrinkToFit="1"/>
    </xf>
    <xf numFmtId="49" fontId="7" fillId="3" borderId="4" xfId="0" applyNumberFormat="1" applyFont="1" applyFill="1" applyBorder="1" applyAlignment="1">
      <alignment horizontal="left" vertical="top" wrapText="1" shrinkToFit="1"/>
    </xf>
    <xf numFmtId="0" fontId="9" fillId="0" borderId="4" xfId="0" applyFont="1" applyBorder="1" applyAlignment="1">
      <alignment wrapText="1"/>
    </xf>
    <xf numFmtId="0" fontId="7" fillId="0" borderId="3" xfId="1" applyFont="1" applyBorder="1" applyAlignment="1">
      <alignment horizontal="left" wrapText="1"/>
    </xf>
    <xf numFmtId="0" fontId="9" fillId="3" borderId="4" xfId="0" applyFont="1" applyFill="1" applyBorder="1" applyAlignment="1">
      <alignment wrapText="1"/>
    </xf>
    <xf numFmtId="0" fontId="7" fillId="0" borderId="3" xfId="1" applyFont="1" applyBorder="1" applyAlignment="1">
      <alignment horizontal="left" vertical="center" wrapText="1"/>
    </xf>
    <xf numFmtId="0" fontId="7" fillId="0" borderId="0" xfId="0" applyFont="1" applyAlignment="1">
      <alignment wrapText="1"/>
    </xf>
    <xf numFmtId="49" fontId="8" fillId="2" borderId="5" xfId="0" applyNumberFormat="1" applyFont="1" applyFill="1" applyBorder="1" applyAlignment="1">
      <alignment horizontal="left" wrapText="1"/>
    </xf>
    <xf numFmtId="164" fontId="8" fillId="2" borderId="5" xfId="0" applyNumberFormat="1" applyFont="1" applyFill="1" applyBorder="1" applyAlignment="1">
      <alignment horizontal="right" wrapText="1"/>
    </xf>
    <xf numFmtId="49" fontId="7" fillId="0" borderId="5" xfId="1" applyNumberFormat="1" applyFont="1" applyBorder="1" applyAlignment="1" applyProtection="1">
      <alignment horizontal="left" vertical="center" wrapText="1"/>
      <protection locked="0"/>
    </xf>
    <xf numFmtId="49" fontId="7" fillId="0" borderId="5" xfId="1" applyNumberFormat="1" applyFont="1" applyBorder="1" applyAlignment="1" applyProtection="1">
      <alignment horizontal="left" wrapText="1"/>
      <protection locked="0"/>
    </xf>
    <xf numFmtId="49" fontId="7" fillId="0" borderId="3" xfId="1" applyNumberFormat="1" applyFont="1" applyBorder="1" applyAlignment="1" applyProtection="1">
      <alignment horizontal="left" wrapText="1"/>
      <protection locked="0"/>
    </xf>
    <xf numFmtId="0" fontId="9" fillId="3" borderId="5" xfId="0" applyFont="1" applyFill="1" applyBorder="1" applyAlignment="1">
      <alignment wrapText="1"/>
    </xf>
    <xf numFmtId="49" fontId="7" fillId="0" borderId="6" xfId="1" applyNumberFormat="1" applyFont="1" applyBorder="1" applyAlignment="1" applyProtection="1">
      <alignment horizontal="left" wrapText="1"/>
      <protection locked="0"/>
    </xf>
    <xf numFmtId="0" fontId="7" fillId="0" borderId="6" xfId="1" applyFont="1" applyBorder="1" applyAlignment="1">
      <alignment horizontal="left" vertical="center" wrapText="1"/>
    </xf>
    <xf numFmtId="0" fontId="9" fillId="0" borderId="5" xfId="0" applyFont="1" applyBorder="1"/>
    <xf numFmtId="0" fontId="9" fillId="0" borderId="0" xfId="0" applyFont="1"/>
    <xf numFmtId="164" fontId="10" fillId="0" borderId="5" xfId="0" applyNumberFormat="1" applyFont="1" applyBorder="1" applyAlignment="1">
      <alignment horizontal="right"/>
    </xf>
    <xf numFmtId="164" fontId="7" fillId="2" borderId="5" xfId="0" applyNumberFormat="1" applyFont="1" applyFill="1" applyBorder="1" applyAlignment="1">
      <alignment horizontal="right" wrapText="1"/>
    </xf>
    <xf numFmtId="0" fontId="12" fillId="0" borderId="0" xfId="0" applyFont="1" applyAlignment="1">
      <alignment vertical="top" wrapText="1"/>
    </xf>
    <xf numFmtId="0" fontId="9" fillId="0" borderId="0" xfId="0" applyFont="1" applyAlignment="1">
      <alignment horizontal="center"/>
    </xf>
    <xf numFmtId="49" fontId="7" fillId="0" borderId="3" xfId="1" applyNumberFormat="1" applyFont="1" applyBorder="1" applyAlignment="1">
      <alignment vertical="center" wrapText="1"/>
    </xf>
    <xf numFmtId="0" fontId="14" fillId="0" borderId="0" xfId="0" applyFont="1" applyAlignment="1">
      <alignment horizontal="right"/>
    </xf>
    <xf numFmtId="49" fontId="7" fillId="0" borderId="0" xfId="1" applyNumberFormat="1" applyFont="1" applyAlignment="1" applyProtection="1">
      <alignment vertical="center" wrapText="1"/>
      <protection locked="0"/>
    </xf>
    <xf numFmtId="49" fontId="19" fillId="0" borderId="0" xfId="1" applyNumberFormat="1" applyFont="1" applyAlignment="1">
      <alignment vertical="center" wrapText="1"/>
    </xf>
    <xf numFmtId="0" fontId="7" fillId="0" borderId="11" xfId="1" applyFont="1" applyBorder="1" applyAlignment="1" applyProtection="1">
      <alignment vertical="center"/>
      <protection locked="0"/>
    </xf>
    <xf numFmtId="0" fontId="7" fillId="0" borderId="0" xfId="1" applyFont="1" applyAlignment="1">
      <alignment vertical="center"/>
    </xf>
    <xf numFmtId="3" fontId="17" fillId="8" borderId="13" xfId="1" applyNumberFormat="1" applyFont="1" applyFill="1" applyBorder="1" applyAlignment="1" applyProtection="1">
      <alignment horizontal="right" vertical="center"/>
      <protection locked="0"/>
    </xf>
    <xf numFmtId="3" fontId="17" fillId="8" borderId="12" xfId="1" applyNumberFormat="1" applyFont="1" applyFill="1" applyBorder="1" applyAlignment="1" applyProtection="1">
      <alignment horizontal="right" vertical="center"/>
      <protection locked="0"/>
    </xf>
    <xf numFmtId="3" fontId="17" fillId="0" borderId="0" xfId="1" applyNumberFormat="1" applyFont="1" applyAlignment="1" applyProtection="1">
      <alignment horizontal="right" vertical="center"/>
      <protection locked="0"/>
    </xf>
    <xf numFmtId="0" fontId="7" fillId="0" borderId="10" xfId="1" applyFont="1" applyBorder="1" applyAlignment="1">
      <alignment horizontal="right" vertical="center" wrapText="1"/>
    </xf>
    <xf numFmtId="49" fontId="8" fillId="2" borderId="15" xfId="0" applyNumberFormat="1" applyFont="1" applyFill="1" applyBorder="1" applyAlignment="1">
      <alignment horizontal="left" wrapText="1"/>
    </xf>
    <xf numFmtId="0" fontId="9" fillId="0" borderId="15" xfId="0" applyFont="1" applyBorder="1"/>
    <xf numFmtId="164" fontId="8" fillId="2" borderId="15" xfId="0" applyNumberFormat="1" applyFont="1" applyFill="1" applyBorder="1" applyAlignment="1">
      <alignment horizontal="right" wrapText="1"/>
    </xf>
    <xf numFmtId="164" fontId="10" fillId="0" borderId="15" xfId="0" applyNumberFormat="1" applyFont="1" applyBorder="1" applyAlignment="1">
      <alignment horizontal="right"/>
    </xf>
    <xf numFmtId="0" fontId="19" fillId="0" borderId="0" xfId="1" applyFont="1" applyAlignment="1" applyProtection="1">
      <alignment vertical="center"/>
      <protection locked="0"/>
    </xf>
    <xf numFmtId="0" fontId="9" fillId="6" borderId="14" xfId="0" applyFont="1" applyFill="1" applyBorder="1" applyAlignment="1">
      <alignment horizontal="center"/>
    </xf>
    <xf numFmtId="0" fontId="0" fillId="6" borderId="14" xfId="0" applyFill="1" applyBorder="1"/>
    <xf numFmtId="0" fontId="0" fillId="6" borderId="14" xfId="0" applyFill="1" applyBorder="1" applyAlignment="1">
      <alignment horizontal="center"/>
    </xf>
    <xf numFmtId="164" fontId="2" fillId="6" borderId="14" xfId="0" applyNumberFormat="1" applyFont="1" applyFill="1" applyBorder="1"/>
    <xf numFmtId="164" fontId="10" fillId="6" borderId="14" xfId="0" applyNumberFormat="1" applyFont="1" applyFill="1" applyBorder="1"/>
    <xf numFmtId="0" fontId="9" fillId="0" borderId="14" xfId="0" applyFont="1" applyBorder="1"/>
    <xf numFmtId="164" fontId="0" fillId="0" borderId="14" xfId="0" applyNumberFormat="1" applyBorder="1"/>
    <xf numFmtId="0" fontId="9" fillId="0" borderId="14" xfId="0" applyFont="1" applyBorder="1" applyAlignment="1">
      <alignment horizontal="center"/>
    </xf>
    <xf numFmtId="49" fontId="8" fillId="2" borderId="14" xfId="0" applyNumberFormat="1" applyFont="1" applyFill="1" applyBorder="1" applyAlignment="1">
      <alignment horizontal="left" wrapText="1"/>
    </xf>
    <xf numFmtId="0" fontId="0" fillId="0" borderId="14" xfId="0" applyBorder="1"/>
    <xf numFmtId="164" fontId="9" fillId="0" borderId="14" xfId="0" applyNumberFormat="1" applyFont="1" applyBorder="1"/>
    <xf numFmtId="164" fontId="10" fillId="0" borderId="14" xfId="0" applyNumberFormat="1" applyFont="1" applyBorder="1"/>
    <xf numFmtId="0" fontId="10" fillId="6" borderId="14" xfId="0" applyFont="1" applyFill="1" applyBorder="1"/>
    <xf numFmtId="49" fontId="7" fillId="6" borderId="14" xfId="1" applyNumberFormat="1" applyFont="1" applyFill="1" applyBorder="1" applyAlignment="1" applyProtection="1">
      <alignment horizontal="center" vertical="center" wrapText="1"/>
      <protection locked="0"/>
    </xf>
    <xf numFmtId="0" fontId="9" fillId="6" borderId="14" xfId="0" applyFont="1" applyFill="1" applyBorder="1"/>
    <xf numFmtId="49" fontId="17" fillId="0" borderId="14" xfId="1" applyNumberFormat="1" applyFont="1" applyBorder="1" applyAlignment="1" applyProtection="1">
      <alignment horizontal="left" wrapText="1"/>
      <protection locked="0"/>
    </xf>
    <xf numFmtId="49" fontId="7" fillId="0" borderId="14" xfId="1" applyNumberFormat="1" applyFont="1" applyBorder="1" applyAlignment="1" applyProtection="1">
      <alignment horizontal="left" vertical="center" wrapText="1"/>
      <protection locked="0"/>
    </xf>
    <xf numFmtId="49" fontId="7" fillId="0" borderId="14" xfId="1" applyNumberFormat="1" applyFont="1" applyBorder="1" applyAlignment="1" applyProtection="1">
      <alignment horizontal="center" vertical="center" wrapText="1"/>
      <protection locked="0"/>
    </xf>
    <xf numFmtId="3" fontId="7" fillId="0" borderId="14" xfId="1" applyNumberFormat="1" applyFont="1" applyBorder="1" applyAlignment="1" applyProtection="1">
      <alignment horizontal="right" vertical="center"/>
      <protection locked="0"/>
    </xf>
    <xf numFmtId="3" fontId="17" fillId="0" borderId="14" xfId="1" applyNumberFormat="1" applyFont="1" applyBorder="1" applyAlignment="1">
      <alignment horizontal="right" vertical="center" wrapText="1"/>
    </xf>
    <xf numFmtId="3" fontId="18" fillId="0" borderId="14" xfId="1" applyNumberFormat="1" applyFont="1" applyBorder="1" applyAlignment="1">
      <alignment horizontal="right" vertical="center" wrapText="1"/>
    </xf>
    <xf numFmtId="49" fontId="17" fillId="6" borderId="14" xfId="1" applyNumberFormat="1" applyFont="1" applyFill="1" applyBorder="1" applyAlignment="1" applyProtection="1">
      <alignment vertical="center" wrapText="1"/>
      <protection locked="0"/>
    </xf>
    <xf numFmtId="3" fontId="17" fillId="6" borderId="14" xfId="1" applyNumberFormat="1" applyFont="1" applyFill="1" applyBorder="1" applyAlignment="1">
      <alignment horizontal="right" vertical="center" wrapText="1"/>
    </xf>
    <xf numFmtId="3" fontId="18" fillId="6" borderId="14" xfId="1" applyNumberFormat="1" applyFont="1" applyFill="1" applyBorder="1" applyAlignment="1">
      <alignment horizontal="right" vertical="center" wrapText="1"/>
    </xf>
    <xf numFmtId="0" fontId="9" fillId="7" borderId="14" xfId="0" applyFont="1" applyFill="1" applyBorder="1" applyAlignment="1">
      <alignment horizontal="center"/>
    </xf>
    <xf numFmtId="0" fontId="9" fillId="7" borderId="14" xfId="0" applyFont="1" applyFill="1" applyBorder="1"/>
    <xf numFmtId="164" fontId="10" fillId="7" borderId="14" xfId="0" applyNumberFormat="1" applyFont="1" applyFill="1" applyBorder="1"/>
    <xf numFmtId="49" fontId="7" fillId="0" borderId="14" xfId="1" applyNumberFormat="1" applyFont="1" applyBorder="1" applyAlignment="1" applyProtection="1">
      <alignment vertical="center" wrapText="1"/>
      <protection locked="0"/>
    </xf>
    <xf numFmtId="4" fontId="7" fillId="0" borderId="14" xfId="1" applyNumberFormat="1" applyFont="1" applyBorder="1" applyAlignment="1">
      <alignment horizontal="right" vertical="center" wrapText="1"/>
    </xf>
    <xf numFmtId="0" fontId="7" fillId="0" borderId="14" xfId="1" applyFont="1" applyBorder="1" applyAlignment="1">
      <alignment horizontal="center" vertical="center" wrapText="1"/>
    </xf>
    <xf numFmtId="49" fontId="8" fillId="2" borderId="19" xfId="0" applyNumberFormat="1" applyFont="1" applyFill="1" applyBorder="1" applyAlignment="1">
      <alignment horizontal="left" wrapText="1"/>
    </xf>
    <xf numFmtId="0" fontId="9" fillId="0" borderId="19" xfId="0" applyFont="1" applyBorder="1"/>
    <xf numFmtId="164" fontId="8" fillId="2" borderId="19" xfId="0" applyNumberFormat="1" applyFont="1" applyFill="1" applyBorder="1" applyAlignment="1">
      <alignment horizontal="right" wrapText="1"/>
    </xf>
    <xf numFmtId="164" fontId="10" fillId="0" borderId="19" xfId="0" applyNumberFormat="1" applyFont="1" applyBorder="1" applyAlignment="1">
      <alignment horizontal="right"/>
    </xf>
    <xf numFmtId="0" fontId="15" fillId="0" borderId="14" xfId="0" applyFont="1" applyBorder="1" applyAlignment="1">
      <alignment horizontal="center"/>
    </xf>
    <xf numFmtId="0" fontId="7" fillId="0" borderId="14" xfId="0" applyFont="1" applyBorder="1" applyAlignment="1">
      <alignment horizontal="center"/>
    </xf>
    <xf numFmtId="49" fontId="7" fillId="0" borderId="0" xfId="1" applyNumberFormat="1" applyFont="1" applyAlignment="1" applyProtection="1">
      <alignment horizontal="left" vertical="center" wrapText="1"/>
      <protection locked="0"/>
    </xf>
    <xf numFmtId="0" fontId="9" fillId="0" borderId="15" xfId="0" applyFont="1" applyBorder="1" applyAlignment="1">
      <alignment wrapText="1"/>
    </xf>
    <xf numFmtId="0" fontId="11" fillId="0" borderId="0" xfId="0" applyFont="1" applyAlignment="1">
      <alignment horizontal="center"/>
    </xf>
    <xf numFmtId="49" fontId="11" fillId="2" borderId="5" xfId="0" applyNumberFormat="1" applyFont="1" applyFill="1" applyBorder="1" applyAlignment="1">
      <alignment horizontal="left" wrapText="1"/>
    </xf>
    <xf numFmtId="0" fontId="11" fillId="0" borderId="5" xfId="0" applyFont="1" applyBorder="1"/>
    <xf numFmtId="164" fontId="11" fillId="2" borderId="5" xfId="0" applyNumberFormat="1" applyFont="1" applyFill="1" applyBorder="1" applyAlignment="1">
      <alignment horizontal="right" wrapText="1"/>
    </xf>
    <xf numFmtId="164" fontId="20" fillId="0" borderId="5" xfId="0" applyNumberFormat="1" applyFont="1" applyBorder="1" applyAlignment="1">
      <alignment horizontal="right"/>
    </xf>
    <xf numFmtId="49" fontId="16" fillId="2" borderId="15" xfId="0" applyNumberFormat="1" applyFont="1" applyFill="1" applyBorder="1" applyAlignment="1">
      <alignment horizontal="left" wrapText="1"/>
    </xf>
    <xf numFmtId="0" fontId="16" fillId="0" borderId="15" xfId="0" applyFont="1" applyBorder="1"/>
    <xf numFmtId="164" fontId="16" fillId="2" borderId="15" xfId="0" applyNumberFormat="1" applyFont="1" applyFill="1" applyBorder="1" applyAlignment="1">
      <alignment horizontal="right" wrapText="1"/>
    </xf>
    <xf numFmtId="164" fontId="16" fillId="0" borderId="15" xfId="0" applyNumberFormat="1" applyFont="1" applyBorder="1" applyAlignment="1">
      <alignment horizontal="right"/>
    </xf>
    <xf numFmtId="0" fontId="7" fillId="0" borderId="0" xfId="0" applyFont="1" applyAlignment="1">
      <alignment horizontal="center"/>
    </xf>
    <xf numFmtId="49" fontId="7" fillId="2" borderId="15" xfId="0" applyNumberFormat="1" applyFont="1" applyFill="1" applyBorder="1" applyAlignment="1">
      <alignment horizontal="left" wrapText="1"/>
    </xf>
    <xf numFmtId="0" fontId="7" fillId="0" borderId="15" xfId="0" applyFont="1" applyBorder="1" applyAlignment="1">
      <alignment wrapText="1"/>
    </xf>
    <xf numFmtId="0" fontId="7" fillId="0" borderId="15" xfId="0" applyFont="1" applyBorder="1"/>
    <xf numFmtId="164" fontId="7" fillId="2" borderId="15" xfId="0" applyNumberFormat="1" applyFont="1" applyFill="1" applyBorder="1" applyAlignment="1">
      <alignment horizontal="right" wrapText="1"/>
    </xf>
    <xf numFmtId="164" fontId="17" fillId="0" borderId="15" xfId="0" applyNumberFormat="1" applyFont="1" applyBorder="1" applyAlignment="1">
      <alignment horizontal="right"/>
    </xf>
    <xf numFmtId="0" fontId="16" fillId="0" borderId="20" xfId="0" applyFont="1" applyBorder="1" applyAlignment="1">
      <alignment wrapText="1"/>
    </xf>
    <xf numFmtId="0" fontId="21" fillId="0" borderId="0" xfId="0" applyFont="1"/>
    <xf numFmtId="0" fontId="0" fillId="0" borderId="22" xfId="0" applyBorder="1"/>
    <xf numFmtId="0" fontId="0" fillId="0" borderId="23" xfId="0" applyBorder="1"/>
    <xf numFmtId="0" fontId="0" fillId="0" borderId="24" xfId="0" applyBorder="1"/>
    <xf numFmtId="0" fontId="0" fillId="0" borderId="25" xfId="0" applyBorder="1"/>
    <xf numFmtId="0" fontId="0" fillId="0" borderId="26" xfId="0" applyBorder="1"/>
    <xf numFmtId="1" fontId="0" fillId="0" borderId="0" xfId="0" applyNumberFormat="1"/>
    <xf numFmtId="2" fontId="0" fillId="0" borderId="21" xfId="0" applyNumberFormat="1" applyBorder="1"/>
    <xf numFmtId="2" fontId="0" fillId="0" borderId="22" xfId="0" applyNumberFormat="1" applyBorder="1"/>
    <xf numFmtId="2" fontId="0" fillId="0" borderId="0" xfId="0" applyNumberFormat="1"/>
    <xf numFmtId="2" fontId="1" fillId="0" borderId="22" xfId="0" applyNumberFormat="1" applyFont="1" applyBorder="1"/>
    <xf numFmtId="0" fontId="1" fillId="0" borderId="25" xfId="0" applyFont="1" applyBorder="1"/>
    <xf numFmtId="2" fontId="8" fillId="2" borderId="5" xfId="0" applyNumberFormat="1" applyFont="1" applyFill="1" applyBorder="1" applyAlignment="1">
      <alignment horizontal="left" wrapText="1"/>
    </xf>
    <xf numFmtId="0" fontId="15" fillId="0" borderId="0" xfId="0" applyFont="1"/>
    <xf numFmtId="2" fontId="15" fillId="0" borderId="22" xfId="0" applyNumberFormat="1" applyFont="1" applyBorder="1"/>
    <xf numFmtId="2" fontId="1" fillId="0" borderId="0" xfId="0" applyNumberFormat="1" applyFont="1"/>
    <xf numFmtId="0" fontId="22" fillId="0" borderId="0" xfId="0" applyFont="1"/>
    <xf numFmtId="0" fontId="2" fillId="0" borderId="0" xfId="0" applyFont="1"/>
    <xf numFmtId="1" fontId="9" fillId="0" borderId="19" xfId="0" applyNumberFormat="1" applyFont="1" applyBorder="1" applyAlignment="1">
      <alignment horizontal="right"/>
    </xf>
    <xf numFmtId="1" fontId="9" fillId="0" borderId="5" xfId="0" applyNumberFormat="1" applyFont="1" applyBorder="1" applyAlignment="1">
      <alignment horizontal="right"/>
    </xf>
    <xf numFmtId="1" fontId="9" fillId="0" borderId="7" xfId="0" applyNumberFormat="1" applyFont="1" applyBorder="1" applyAlignment="1">
      <alignment horizontal="right"/>
    </xf>
    <xf numFmtId="1" fontId="11" fillId="0" borderId="5" xfId="0" applyNumberFormat="1" applyFont="1" applyBorder="1" applyAlignment="1">
      <alignment horizontal="right"/>
    </xf>
    <xf numFmtId="1" fontId="11" fillId="0" borderId="7" xfId="0" applyNumberFormat="1" applyFont="1" applyBorder="1" applyAlignment="1">
      <alignment horizontal="right"/>
    </xf>
    <xf numFmtId="1" fontId="11" fillId="4" borderId="5" xfId="0" applyNumberFormat="1" applyFont="1" applyFill="1" applyBorder="1" applyAlignment="1">
      <alignment horizontal="right"/>
    </xf>
    <xf numFmtId="1" fontId="9" fillId="0" borderId="15" xfId="0" applyNumberFormat="1" applyFont="1" applyBorder="1" applyAlignment="1">
      <alignment horizontal="right"/>
    </xf>
    <xf numFmtId="1" fontId="7" fillId="0" borderId="15" xfId="0" applyNumberFormat="1" applyFont="1" applyBorder="1" applyAlignment="1">
      <alignment horizontal="right"/>
    </xf>
    <xf numFmtId="1" fontId="16" fillId="0" borderId="15" xfId="0" applyNumberFormat="1" applyFont="1" applyBorder="1" applyAlignment="1">
      <alignment horizontal="right"/>
    </xf>
    <xf numFmtId="1" fontId="2" fillId="0" borderId="0" xfId="0" applyNumberFormat="1" applyFont="1"/>
    <xf numFmtId="49" fontId="12" fillId="6" borderId="14" xfId="1" applyNumberFormat="1" applyFont="1" applyFill="1" applyBorder="1" applyAlignment="1" applyProtection="1">
      <alignment horizontal="center" vertical="center" wrapText="1"/>
      <protection locked="0"/>
    </xf>
    <xf numFmtId="0" fontId="24" fillId="0" borderId="20" xfId="0" applyFont="1" applyBorder="1"/>
    <xf numFmtId="0" fontId="19" fillId="0" borderId="0" xfId="0" applyFont="1" applyAlignment="1">
      <alignment horizontal="right"/>
    </xf>
    <xf numFmtId="0" fontId="12" fillId="0" borderId="20" xfId="0" applyFont="1" applyBorder="1" applyAlignment="1">
      <alignment horizontal="center"/>
    </xf>
    <xf numFmtId="49" fontId="12" fillId="2" borderId="20" xfId="0" applyNumberFormat="1" applyFont="1" applyFill="1" applyBorder="1" applyAlignment="1">
      <alignment horizontal="left" wrapText="1"/>
    </xf>
    <xf numFmtId="0" fontId="12" fillId="0" borderId="20" xfId="0" applyFont="1" applyBorder="1"/>
    <xf numFmtId="0" fontId="12" fillId="0" borderId="20" xfId="0" applyFont="1" applyBorder="1" applyAlignment="1">
      <alignment horizontal="right"/>
    </xf>
    <xf numFmtId="164" fontId="12" fillId="0" borderId="20" xfId="0" applyNumberFormat="1" applyFont="1" applyBorder="1"/>
    <xf numFmtId="164" fontId="25" fillId="0" borderId="20" xfId="0" applyNumberFormat="1" applyFont="1" applyBorder="1"/>
    <xf numFmtId="164" fontId="15" fillId="0" borderId="0" xfId="0" applyNumberFormat="1" applyFont="1"/>
    <xf numFmtId="0" fontId="12" fillId="0" borderId="20" xfId="0" applyFont="1" applyBorder="1" applyAlignment="1">
      <alignment wrapText="1"/>
    </xf>
    <xf numFmtId="0" fontId="12" fillId="0" borderId="20" xfId="0" applyFont="1" applyBorder="1" applyAlignment="1">
      <alignment vertical="center" wrapText="1"/>
    </xf>
    <xf numFmtId="14" fontId="12" fillId="0" borderId="20" xfId="0" applyNumberFormat="1" applyFont="1" applyBorder="1" applyAlignment="1">
      <alignment horizontal="right"/>
    </xf>
    <xf numFmtId="0" fontId="12" fillId="0" borderId="15" xfId="0" applyFont="1" applyBorder="1" applyAlignment="1">
      <alignment horizontal="center"/>
    </xf>
    <xf numFmtId="0" fontId="12" fillId="0" borderId="15" xfId="0" applyFont="1" applyBorder="1"/>
    <xf numFmtId="0" fontId="12" fillId="0" borderId="15" xfId="0" applyFont="1" applyBorder="1" applyAlignment="1">
      <alignment horizontal="right"/>
    </xf>
    <xf numFmtId="164" fontId="12" fillId="0" borderId="15" xfId="0" applyNumberFormat="1" applyFont="1" applyBorder="1"/>
    <xf numFmtId="164" fontId="25" fillId="0" borderId="15" xfId="0" applyNumberFormat="1" applyFont="1" applyBorder="1"/>
    <xf numFmtId="49" fontId="12" fillId="2" borderId="20" xfId="0" applyNumberFormat="1" applyFont="1" applyFill="1" applyBorder="1" applyAlignment="1">
      <alignment horizontal="right" vertical="top" wrapText="1"/>
    </xf>
    <xf numFmtId="0" fontId="12" fillId="0" borderId="0" xfId="0" applyFont="1"/>
    <xf numFmtId="0" fontId="12" fillId="6" borderId="14" xfId="0" applyFont="1" applyFill="1" applyBorder="1" applyAlignment="1">
      <alignment horizontal="center"/>
    </xf>
    <xf numFmtId="0" fontId="12" fillId="6" borderId="14" xfId="0" applyFont="1" applyFill="1" applyBorder="1"/>
    <xf numFmtId="164" fontId="25" fillId="6" borderId="14" xfId="0" applyNumberFormat="1" applyFont="1" applyFill="1" applyBorder="1"/>
    <xf numFmtId="0" fontId="12" fillId="0" borderId="14" xfId="0" applyFont="1" applyBorder="1"/>
    <xf numFmtId="164" fontId="12" fillId="0" borderId="14" xfId="0" applyNumberFormat="1" applyFont="1" applyBorder="1"/>
    <xf numFmtId="0" fontId="12" fillId="0" borderId="14" xfId="0" applyFont="1" applyBorder="1" applyAlignment="1">
      <alignment horizontal="center"/>
    </xf>
    <xf numFmtId="49" fontId="12" fillId="2" borderId="14" xfId="0" applyNumberFormat="1" applyFont="1" applyFill="1" applyBorder="1" applyAlignment="1">
      <alignment horizontal="left" wrapText="1"/>
    </xf>
    <xf numFmtId="164" fontId="25" fillId="0" borderId="14" xfId="0" applyNumberFormat="1" applyFont="1" applyBorder="1"/>
    <xf numFmtId="0" fontId="25" fillId="6" borderId="14" xfId="0" applyFont="1" applyFill="1" applyBorder="1"/>
    <xf numFmtId="0" fontId="15" fillId="0" borderId="14" xfId="0" applyFont="1" applyBorder="1"/>
    <xf numFmtId="0" fontId="7" fillId="0" borderId="14" xfId="0" applyFont="1" applyBorder="1"/>
    <xf numFmtId="0" fontId="7" fillId="6" borderId="14" xfId="0" applyFont="1" applyFill="1" applyBorder="1" applyAlignment="1">
      <alignment horizontal="center"/>
    </xf>
    <xf numFmtId="0" fontId="15" fillId="6" borderId="14" xfId="0" applyFont="1" applyFill="1" applyBorder="1"/>
    <xf numFmtId="0" fontId="7" fillId="7" borderId="14" xfId="0" applyFont="1" applyFill="1" applyBorder="1" applyAlignment="1">
      <alignment horizontal="center"/>
    </xf>
    <xf numFmtId="0" fontId="7" fillId="7" borderId="14" xfId="0" applyFont="1" applyFill="1" applyBorder="1"/>
    <xf numFmtId="164" fontId="17" fillId="7" borderId="14" xfId="0" applyNumberFormat="1" applyFont="1" applyFill="1" applyBorder="1"/>
    <xf numFmtId="49" fontId="16" fillId="0" borderId="14" xfId="1" applyNumberFormat="1" applyFont="1" applyBorder="1" applyAlignment="1" applyProtection="1">
      <alignment horizontal="center" vertical="center" wrapText="1"/>
      <protection locked="0"/>
    </xf>
    <xf numFmtId="0" fontId="10" fillId="7" borderId="14" xfId="0" applyFont="1" applyFill="1" applyBorder="1" applyAlignment="1">
      <alignment horizontal="left"/>
    </xf>
    <xf numFmtId="49" fontId="7" fillId="0" borderId="8" xfId="1" applyNumberFormat="1" applyFont="1" applyBorder="1" applyAlignment="1">
      <alignment horizontal="left" vertical="center" wrapText="1"/>
    </xf>
    <xf numFmtId="49" fontId="7" fillId="0" borderId="9" xfId="1" applyNumberFormat="1" applyFont="1" applyBorder="1" applyAlignment="1">
      <alignment horizontal="left" vertical="center" wrapText="1"/>
    </xf>
    <xf numFmtId="49" fontId="7" fillId="0" borderId="10" xfId="1" applyNumberFormat="1" applyFont="1" applyBorder="1" applyAlignment="1">
      <alignment horizontal="left" vertical="center" wrapText="1"/>
    </xf>
    <xf numFmtId="49" fontId="7" fillId="0" borderId="16" xfId="1" applyNumberFormat="1" applyFont="1" applyBorder="1" applyAlignment="1" applyProtection="1">
      <alignment horizontal="left" vertical="center" wrapText="1"/>
      <protection locked="0"/>
    </xf>
    <xf numFmtId="49" fontId="7" fillId="0" borderId="17" xfId="1" applyNumberFormat="1" applyFont="1" applyBorder="1" applyAlignment="1" applyProtection="1">
      <alignment horizontal="left" vertical="center" wrapText="1"/>
      <protection locked="0"/>
    </xf>
    <xf numFmtId="49" fontId="7" fillId="0" borderId="18" xfId="1" applyNumberFormat="1" applyFont="1" applyBorder="1" applyAlignment="1" applyProtection="1">
      <alignment horizontal="left" vertical="center" wrapText="1"/>
      <protection locked="0"/>
    </xf>
    <xf numFmtId="0" fontId="12" fillId="0" borderId="0" xfId="0" applyFont="1" applyAlignment="1">
      <alignment horizontal="left" vertical="top" wrapText="1"/>
    </xf>
    <xf numFmtId="0" fontId="13" fillId="0" borderId="0" xfId="1" applyFont="1" applyAlignment="1" applyProtection="1">
      <alignment horizontal="center"/>
      <protection locked="0"/>
    </xf>
    <xf numFmtId="49" fontId="7" fillId="0" borderId="14" xfId="1" applyNumberFormat="1" applyFont="1" applyBorder="1" applyAlignment="1">
      <alignment horizontal="center" vertical="center" wrapText="1"/>
    </xf>
    <xf numFmtId="0" fontId="0" fillId="0" borderId="14" xfId="0" applyBorder="1" applyAlignment="1">
      <alignment horizontal="center"/>
    </xf>
    <xf numFmtId="0" fontId="12" fillId="0" borderId="0" xfId="0" applyFont="1" applyAlignment="1">
      <alignment horizontal="right" vertical="top" wrapText="1"/>
    </xf>
    <xf numFmtId="49" fontId="12" fillId="0" borderId="14" xfId="1" applyNumberFormat="1" applyFont="1" applyBorder="1" applyAlignment="1" applyProtection="1">
      <alignment horizontal="center" vertical="center" wrapText="1"/>
      <protection locked="0"/>
    </xf>
    <xf numFmtId="0" fontId="17" fillId="7" borderId="14" xfId="0" applyFont="1" applyFill="1" applyBorder="1" applyAlignment="1">
      <alignment horizontal="left"/>
    </xf>
    <xf numFmtId="49" fontId="23" fillId="0" borderId="14" xfId="1" applyNumberFormat="1" applyFont="1" applyBorder="1" applyAlignment="1">
      <alignment horizontal="center" vertical="center" wrapText="1"/>
    </xf>
    <xf numFmtId="0" fontId="23" fillId="0" borderId="16" xfId="0" applyFont="1" applyBorder="1" applyAlignment="1">
      <alignment horizontal="center"/>
    </xf>
    <xf numFmtId="0" fontId="23" fillId="0" borderId="17" xfId="0" applyFont="1" applyBorder="1" applyAlignment="1">
      <alignment horizontal="center"/>
    </xf>
    <xf numFmtId="0" fontId="23" fillId="0" borderId="18" xfId="0" applyFont="1" applyBorder="1" applyAlignment="1">
      <alignment horizontal="center"/>
    </xf>
  </cellXfs>
  <cellStyles count="2">
    <cellStyle name="Normal" xfId="0" builtinId="0"/>
    <cellStyle name="Normal_Pamatforma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69"/>
  <sheetViews>
    <sheetView workbookViewId="0">
      <selection activeCell="M1" sqref="M1:N1"/>
    </sheetView>
  </sheetViews>
  <sheetFormatPr defaultRowHeight="15" outlineLevelRow="1" x14ac:dyDescent="0.25"/>
  <cols>
    <col min="1" max="1" width="8.85546875" style="39"/>
    <col min="2" max="3" width="15.140625" customWidth="1"/>
    <col min="4" max="4" width="65.5703125" customWidth="1"/>
    <col min="5" max="5" width="15.140625" style="35" customWidth="1"/>
    <col min="6" max="6" width="14.85546875" customWidth="1"/>
    <col min="7" max="13" width="14.85546875" style="35" customWidth="1"/>
    <col min="14" max="14" width="16.85546875" style="35" customWidth="1"/>
    <col min="15" max="16" width="11" hidden="1" customWidth="1"/>
    <col min="17" max="17" width="52.28515625" hidden="1" customWidth="1"/>
    <col min="18" max="18" width="13" hidden="1" customWidth="1"/>
    <col min="19" max="20" width="0" hidden="1" customWidth="1"/>
    <col min="21" max="21" width="13.42578125" hidden="1" customWidth="1"/>
    <col min="22" max="22" width="47.85546875" hidden="1" customWidth="1"/>
    <col min="23" max="23" width="12.7109375" hidden="1" customWidth="1"/>
    <col min="24" max="24" width="11.28515625" hidden="1" customWidth="1"/>
    <col min="25" max="25" width="12.28515625" hidden="1" customWidth="1"/>
    <col min="26" max="28" width="14.7109375" hidden="1" customWidth="1"/>
    <col min="29" max="29" width="0" hidden="1" customWidth="1"/>
    <col min="30" max="32" width="12.5703125" hidden="1" customWidth="1"/>
    <col min="33" max="33" width="0" hidden="1" customWidth="1"/>
    <col min="34" max="36" width="11.7109375" hidden="1" customWidth="1"/>
    <col min="37" max="37" width="0" hidden="1" customWidth="1"/>
    <col min="38" max="40" width="13.5703125" hidden="1" customWidth="1"/>
    <col min="41" max="41" width="0" hidden="1" customWidth="1"/>
    <col min="42" max="46" width="11.7109375" hidden="1" customWidth="1"/>
    <col min="48" max="48" width="13.7109375" customWidth="1"/>
    <col min="51" max="51" width="13.7109375" customWidth="1"/>
    <col min="52" max="55" width="12" customWidth="1"/>
    <col min="56" max="56" width="17.42578125" customWidth="1"/>
    <col min="57" max="57" width="14.5703125" customWidth="1"/>
    <col min="58" max="58" width="54.28515625" customWidth="1"/>
    <col min="59" max="61" width="13" customWidth="1"/>
    <col min="69" max="69" width="11" customWidth="1"/>
    <col min="75" max="75" width="12.7109375" customWidth="1"/>
  </cols>
  <sheetData>
    <row r="1" spans="1:78" ht="52.15" customHeight="1" x14ac:dyDescent="0.25">
      <c r="M1" s="181" t="s">
        <v>578</v>
      </c>
      <c r="N1" s="181"/>
      <c r="O1" s="38"/>
    </row>
    <row r="2" spans="1:78" ht="15.75" x14ac:dyDescent="0.25">
      <c r="B2" s="182" t="s">
        <v>577</v>
      </c>
      <c r="C2" s="182"/>
      <c r="D2" s="182"/>
      <c r="E2" s="182"/>
      <c r="F2" s="182"/>
      <c r="G2" s="182"/>
      <c r="H2" s="182"/>
      <c r="I2" s="182"/>
      <c r="J2" s="182"/>
      <c r="K2" s="182"/>
      <c r="L2" s="182"/>
      <c r="M2" s="182"/>
      <c r="N2" s="182"/>
      <c r="O2" s="182"/>
      <c r="P2" s="182"/>
      <c r="Q2" s="182"/>
    </row>
    <row r="3" spans="1:78" ht="14.45" x14ac:dyDescent="0.3">
      <c r="N3" s="41" t="s">
        <v>543</v>
      </c>
    </row>
    <row r="4" spans="1:78" ht="14.45" customHeight="1" x14ac:dyDescent="0.25">
      <c r="A4" s="183" t="s">
        <v>538</v>
      </c>
      <c r="B4" s="183" t="s">
        <v>540</v>
      </c>
      <c r="C4" s="183" t="s">
        <v>539</v>
      </c>
      <c r="D4" s="183" t="s">
        <v>541</v>
      </c>
      <c r="E4" s="183" t="s">
        <v>542</v>
      </c>
      <c r="F4" s="184"/>
      <c r="G4" s="184"/>
      <c r="H4" s="184"/>
      <c r="I4" s="184"/>
      <c r="J4" s="184"/>
      <c r="K4" s="184"/>
      <c r="L4" s="184"/>
      <c r="M4" s="184"/>
      <c r="N4" s="184"/>
    </row>
    <row r="5" spans="1:78" ht="31.9" customHeight="1" x14ac:dyDescent="0.25">
      <c r="A5" s="183"/>
      <c r="B5" s="183"/>
      <c r="C5" s="183"/>
      <c r="D5" s="183"/>
      <c r="E5" s="183"/>
      <c r="F5" s="89">
        <v>2023</v>
      </c>
      <c r="G5" s="90">
        <v>2024</v>
      </c>
      <c r="H5" s="90">
        <v>2025</v>
      </c>
      <c r="I5" s="90">
        <v>2026</v>
      </c>
      <c r="J5" s="90">
        <v>2027</v>
      </c>
      <c r="K5" s="90">
        <v>2028</v>
      </c>
      <c r="L5" s="90">
        <v>2029</v>
      </c>
      <c r="M5" s="90" t="s">
        <v>536</v>
      </c>
      <c r="N5" s="90" t="s">
        <v>537</v>
      </c>
      <c r="O5" s="7"/>
      <c r="P5" s="7"/>
      <c r="Q5" s="7"/>
      <c r="R5" s="7"/>
      <c r="S5" s="7"/>
      <c r="T5" s="7"/>
      <c r="U5" s="7"/>
      <c r="V5" s="7"/>
      <c r="W5" s="7"/>
      <c r="X5" s="7"/>
      <c r="AB5" s="5">
        <v>2024</v>
      </c>
      <c r="AF5" s="5">
        <v>2025</v>
      </c>
      <c r="AJ5" s="5">
        <v>2026</v>
      </c>
      <c r="AN5" s="5">
        <v>2027</v>
      </c>
      <c r="AR5" s="5">
        <v>2028</v>
      </c>
      <c r="AS5" s="5"/>
      <c r="AT5" s="5" t="s">
        <v>270</v>
      </c>
      <c r="BX5">
        <v>2028</v>
      </c>
      <c r="BY5">
        <v>2029</v>
      </c>
      <c r="BZ5">
        <v>2030</v>
      </c>
    </row>
    <row r="6" spans="1:78" ht="20.25" customHeight="1" outlineLevel="1" x14ac:dyDescent="0.25">
      <c r="A6" s="39">
        <v>1</v>
      </c>
      <c r="B6" s="85" t="s">
        <v>260</v>
      </c>
      <c r="C6" s="85" t="s">
        <v>261</v>
      </c>
      <c r="D6" s="86" t="str">
        <f t="shared" ref="D6:D17" si="0">VLOOKUP($C6,$U:$X,2,0)</f>
        <v>P-94/2005-Cēsu pilsētas pašvaldības iestāžu remonts</v>
      </c>
      <c r="E6" s="86" t="str">
        <f t="shared" ref="E6:E17" si="1">VLOOKUP($C6,$W:$X,2,0)</f>
        <v>15.06.2005</v>
      </c>
      <c r="F6" s="87">
        <v>25</v>
      </c>
      <c r="G6" s="127">
        <v>0</v>
      </c>
      <c r="H6" s="127">
        <v>0</v>
      </c>
      <c r="I6" s="127">
        <v>0</v>
      </c>
      <c r="J6" s="127">
        <v>0</v>
      </c>
      <c r="K6" s="127">
        <v>0</v>
      </c>
      <c r="L6" s="127">
        <v>0</v>
      </c>
      <c r="M6" s="127">
        <v>0</v>
      </c>
      <c r="N6" s="88">
        <f>SUM(F6:M6)</f>
        <v>25</v>
      </c>
      <c r="Q6" t="str">
        <f t="shared" ref="Q6:Q37" si="2">VLOOKUP($C6,$U:$X,2,0)</f>
        <v>P-94/2005-Cēsu pilsētas pašvaldības iestāžu remonts</v>
      </c>
      <c r="R6" t="str">
        <f t="shared" ref="R6:R37" si="3">VLOOKUP($C6,$W:$X,2,0)</f>
        <v>15.06.2005</v>
      </c>
      <c r="U6" s="8" t="s">
        <v>171</v>
      </c>
      <c r="V6" s="9" t="s">
        <v>280</v>
      </c>
      <c r="W6" s="8" t="s">
        <v>171</v>
      </c>
      <c r="X6" s="13" t="s">
        <v>281</v>
      </c>
      <c r="Z6" s="1" t="s">
        <v>0</v>
      </c>
      <c r="AA6" s="1" t="s">
        <v>1</v>
      </c>
      <c r="AB6" s="2">
        <v>11211.470000000001</v>
      </c>
      <c r="AD6" s="1" t="s">
        <v>0</v>
      </c>
      <c r="AE6" s="1" t="s">
        <v>1</v>
      </c>
      <c r="AF6" s="2">
        <v>10848.59</v>
      </c>
      <c r="AG6" s="6"/>
      <c r="AH6" s="1" t="s">
        <v>0</v>
      </c>
      <c r="AI6" s="1" t="s">
        <v>1</v>
      </c>
      <c r="AJ6" s="2">
        <v>5317.1900000000005</v>
      </c>
      <c r="AL6" s="1" t="s">
        <v>4</v>
      </c>
      <c r="AM6" s="1" t="s">
        <v>5</v>
      </c>
      <c r="AN6" s="2">
        <v>4152.1299999999992</v>
      </c>
      <c r="AP6" s="1" t="s">
        <v>14</v>
      </c>
      <c r="AQ6" s="1" t="s">
        <v>15</v>
      </c>
      <c r="AR6" s="2">
        <v>3646.5099999999998</v>
      </c>
      <c r="AS6" s="1" t="s">
        <v>15</v>
      </c>
      <c r="AT6" s="2">
        <v>0</v>
      </c>
      <c r="BW6" t="s">
        <v>261</v>
      </c>
      <c r="BX6">
        <v>0</v>
      </c>
      <c r="BY6">
        <v>0</v>
      </c>
      <c r="BZ6">
        <v>0</v>
      </c>
    </row>
    <row r="7" spans="1:78" ht="20.25" customHeight="1" outlineLevel="1" x14ac:dyDescent="0.25">
      <c r="A7" s="39">
        <v>2</v>
      </c>
      <c r="B7" s="26" t="s">
        <v>262</v>
      </c>
      <c r="C7" s="26" t="s">
        <v>263</v>
      </c>
      <c r="D7" s="34" t="str">
        <f t="shared" si="0"/>
        <v>P-57/2006 Pilsētas ielu segums, lietus ūdens kanalizācijas, apgaismojuma rekonstrukcija</v>
      </c>
      <c r="E7" s="34" t="str">
        <f t="shared" si="1"/>
        <v>16.03.2006</v>
      </c>
      <c r="F7" s="27">
        <v>41.88</v>
      </c>
      <c r="G7" s="128">
        <v>0</v>
      </c>
      <c r="H7" s="128">
        <v>0</v>
      </c>
      <c r="I7" s="128">
        <v>0</v>
      </c>
      <c r="J7" s="128">
        <v>0</v>
      </c>
      <c r="K7" s="128">
        <v>0</v>
      </c>
      <c r="L7" s="129">
        <v>0</v>
      </c>
      <c r="M7" s="128">
        <v>0</v>
      </c>
      <c r="N7" s="36">
        <f t="shared" ref="N7:N70" si="4">SUM(F7:M7)</f>
        <v>41.88</v>
      </c>
      <c r="Q7" t="str">
        <f t="shared" si="2"/>
        <v>P-57/2006 Pilsētas ielu segums, lietus ūdens kanalizācijas, apgaismojuma rekonstrukcija</v>
      </c>
      <c r="R7" t="str">
        <f t="shared" si="3"/>
        <v>16.03.2006</v>
      </c>
      <c r="U7" s="8" t="s">
        <v>155</v>
      </c>
      <c r="V7" s="9" t="s">
        <v>282</v>
      </c>
      <c r="W7" s="8" t="s">
        <v>155</v>
      </c>
      <c r="X7" s="13" t="s">
        <v>283</v>
      </c>
      <c r="Z7" s="1" t="s">
        <v>2</v>
      </c>
      <c r="AA7" s="1" t="s">
        <v>3</v>
      </c>
      <c r="AB7" s="2">
        <v>114998.15000000001</v>
      </c>
      <c r="AD7" s="1" t="s">
        <v>2</v>
      </c>
      <c r="AE7" s="1" t="s">
        <v>3</v>
      </c>
      <c r="AF7" s="2">
        <v>111058.54</v>
      </c>
      <c r="AH7" s="1" t="s">
        <v>2</v>
      </c>
      <c r="AI7" s="1" t="s">
        <v>3</v>
      </c>
      <c r="AJ7" s="2">
        <v>217.63000000000002</v>
      </c>
      <c r="AL7" s="1" t="s">
        <v>12</v>
      </c>
      <c r="AM7" s="1" t="s">
        <v>13</v>
      </c>
      <c r="AN7" s="2">
        <v>14771.68</v>
      </c>
      <c r="AP7" s="1" t="s">
        <v>16</v>
      </c>
      <c r="AQ7" s="1" t="s">
        <v>17</v>
      </c>
      <c r="AR7" s="2">
        <v>351.2</v>
      </c>
      <c r="AS7" s="1" t="s">
        <v>17</v>
      </c>
      <c r="AT7" s="2">
        <v>0</v>
      </c>
      <c r="AZ7">
        <v>2024</v>
      </c>
      <c r="BA7">
        <v>2025</v>
      </c>
      <c r="BB7">
        <v>2026</v>
      </c>
      <c r="BC7">
        <v>2027</v>
      </c>
      <c r="BD7" t="s">
        <v>539</v>
      </c>
      <c r="BH7" s="126"/>
      <c r="BI7" s="126"/>
      <c r="BJ7" t="s">
        <v>599</v>
      </c>
      <c r="BK7">
        <v>2024</v>
      </c>
      <c r="BL7">
        <v>2025</v>
      </c>
      <c r="BM7">
        <v>2026</v>
      </c>
      <c r="BN7">
        <v>2027</v>
      </c>
      <c r="BP7">
        <v>2028</v>
      </c>
      <c r="BR7">
        <v>2029</v>
      </c>
      <c r="BT7">
        <v>2030</v>
      </c>
      <c r="BW7" t="s">
        <v>263</v>
      </c>
      <c r="BX7">
        <v>0</v>
      </c>
      <c r="BY7">
        <v>0</v>
      </c>
      <c r="BZ7">
        <v>0</v>
      </c>
    </row>
    <row r="8" spans="1:78" ht="20.25" customHeight="1" outlineLevel="1" x14ac:dyDescent="0.25">
      <c r="A8" s="39">
        <v>3</v>
      </c>
      <c r="B8" s="121" t="s">
        <v>0</v>
      </c>
      <c r="C8" s="26" t="s">
        <v>1</v>
      </c>
      <c r="D8" s="34" t="str">
        <f t="shared" si="0"/>
        <v>Vidusskolas sporta zāles celtniecība</v>
      </c>
      <c r="E8" s="34" t="str">
        <f t="shared" si="1"/>
        <v>01.06.2006</v>
      </c>
      <c r="F8" s="37">
        <v>11144</v>
      </c>
      <c r="G8" s="128">
        <f t="shared" ref="G8:G55" si="5">VLOOKUP(C8,$AA:$AB,2,0)</f>
        <v>11211.470000000001</v>
      </c>
      <c r="H8" s="128">
        <f>VLOOKUP(C8,$AE:$AF,2,0)</f>
        <v>10848.59</v>
      </c>
      <c r="I8" s="128">
        <f>VLOOKUP($C8,$AI:$AJ,2,0)</f>
        <v>5317.1900000000005</v>
      </c>
      <c r="J8" s="128">
        <v>0</v>
      </c>
      <c r="K8" s="128">
        <v>0</v>
      </c>
      <c r="L8" s="129">
        <v>0</v>
      </c>
      <c r="M8" s="128">
        <v>0</v>
      </c>
      <c r="N8" s="36">
        <f t="shared" si="4"/>
        <v>38521.25</v>
      </c>
      <c r="Q8" t="str">
        <f t="shared" si="2"/>
        <v>Vidusskolas sporta zāles celtniecība</v>
      </c>
      <c r="R8" t="str">
        <f t="shared" si="3"/>
        <v>01.06.2006</v>
      </c>
      <c r="U8" s="8" t="s">
        <v>157</v>
      </c>
      <c r="V8" s="9" t="s">
        <v>284</v>
      </c>
      <c r="W8" s="8" t="s">
        <v>157</v>
      </c>
      <c r="X8" s="13" t="s">
        <v>283</v>
      </c>
      <c r="Z8" s="1" t="s">
        <v>4</v>
      </c>
      <c r="AA8" s="1" t="s">
        <v>5</v>
      </c>
      <c r="AB8" s="2">
        <v>9233.4399999999987</v>
      </c>
      <c r="AD8" s="1" t="s">
        <v>4</v>
      </c>
      <c r="AE8" s="1" t="s">
        <v>5</v>
      </c>
      <c r="AF8" s="2">
        <v>8946.52</v>
      </c>
      <c r="AH8" s="1" t="s">
        <v>4</v>
      </c>
      <c r="AI8" s="1" t="s">
        <v>5</v>
      </c>
      <c r="AJ8" s="2">
        <v>8650.0499999999993</v>
      </c>
      <c r="AL8" s="1" t="s">
        <v>14</v>
      </c>
      <c r="AM8" s="1" t="s">
        <v>15</v>
      </c>
      <c r="AN8" s="2">
        <v>15061.78</v>
      </c>
      <c r="AP8" s="1" t="s">
        <v>18</v>
      </c>
      <c r="AQ8" s="1" t="s">
        <v>19</v>
      </c>
      <c r="AR8" s="2">
        <v>48497.31</v>
      </c>
      <c r="AS8" s="1" t="s">
        <v>19</v>
      </c>
      <c r="AT8" s="2">
        <v>58248.970000000016</v>
      </c>
      <c r="AV8" s="116" t="s">
        <v>0</v>
      </c>
      <c r="AW8" s="112">
        <v>2834.7300000000005</v>
      </c>
      <c r="AX8">
        <f>AW8/2</f>
        <v>1417.3650000000002</v>
      </c>
      <c r="AY8" s="115" t="b">
        <f t="shared" ref="AY8:AY39" si="6">B8=AV8</f>
        <v>1</v>
      </c>
      <c r="AZ8">
        <v>11380.000000000002</v>
      </c>
      <c r="BA8">
        <v>10958.06</v>
      </c>
      <c r="BB8">
        <v>5344.1900000000014</v>
      </c>
      <c r="BC8">
        <v>0</v>
      </c>
      <c r="BD8" s="118" t="s">
        <v>0</v>
      </c>
      <c r="BE8" s="118" t="str">
        <f>VLOOKUP(BD8,$B$8:$C$150,2,0)</f>
        <v>P-131/2006</v>
      </c>
      <c r="BF8" s="125" t="str">
        <f>VLOOKUP(BE8,$C$8:$D$150,2,0)</f>
        <v>Vidusskolas sporta zāles celtniecība</v>
      </c>
      <c r="BG8" s="125" t="str">
        <f>VLOOKUP(BF8,$D$8:$E$150,2,0)</f>
        <v>01.06.2006</v>
      </c>
      <c r="BH8" s="125">
        <f>VLOOKUP(BG8,$E$8:$F$150,2,0)</f>
        <v>11144</v>
      </c>
      <c r="BI8">
        <f>BH8/2</f>
        <v>5572</v>
      </c>
      <c r="BJ8" s="136">
        <f>BH8+BI8</f>
        <v>16716</v>
      </c>
      <c r="BK8">
        <v>11380.000000000002</v>
      </c>
      <c r="BL8">
        <v>10958.06</v>
      </c>
      <c r="BM8">
        <v>5344.1900000000014</v>
      </c>
      <c r="BN8">
        <v>0</v>
      </c>
      <c r="BO8" s="118" t="s">
        <v>1</v>
      </c>
      <c r="BP8">
        <f>VLOOKUP(BO8,$BW$8:$BX$150,2,0)</f>
        <v>0</v>
      </c>
      <c r="BQ8" s="118" t="s">
        <v>1</v>
      </c>
      <c r="BR8">
        <f>VLOOKUP(BQ8,BW:BY,3,0)</f>
        <v>0</v>
      </c>
      <c r="BS8" s="118" t="s">
        <v>1</v>
      </c>
      <c r="BT8">
        <f>VLOOKUP(BS8,BW:BZ,4,0)</f>
        <v>0</v>
      </c>
      <c r="BW8" t="s">
        <v>1</v>
      </c>
      <c r="BX8">
        <v>0</v>
      </c>
      <c r="BY8">
        <v>0</v>
      </c>
      <c r="BZ8">
        <v>0</v>
      </c>
    </row>
    <row r="9" spans="1:78" ht="20.25" customHeight="1" outlineLevel="1" x14ac:dyDescent="0.25">
      <c r="A9" s="39">
        <v>4</v>
      </c>
      <c r="B9" s="26" t="s">
        <v>2</v>
      </c>
      <c r="C9" s="26" t="s">
        <v>3</v>
      </c>
      <c r="D9" s="34" t="str">
        <f t="shared" si="0"/>
        <v>P-151/2007 Sociālās daudzdzīvokļu dzīvojamās mājas būvniecības pabeigšanai</v>
      </c>
      <c r="E9" s="34" t="str">
        <f t="shared" si="1"/>
        <v>01.06.2007</v>
      </c>
      <c r="F9" s="27">
        <v>114651</v>
      </c>
      <c r="G9" s="128">
        <f t="shared" si="5"/>
        <v>114998.15000000001</v>
      </c>
      <c r="H9" s="128">
        <f>VLOOKUP(C9,$AE:$AF,2,0)</f>
        <v>111058.54</v>
      </c>
      <c r="I9" s="128">
        <f>VLOOKUP($C9,$AI:$AJ,2,0)</f>
        <v>217.63000000000002</v>
      </c>
      <c r="J9" s="128">
        <v>0</v>
      </c>
      <c r="K9" s="128">
        <v>0</v>
      </c>
      <c r="L9" s="129">
        <v>0</v>
      </c>
      <c r="M9" s="128">
        <v>0</v>
      </c>
      <c r="N9" s="36">
        <f t="shared" si="4"/>
        <v>340925.32</v>
      </c>
      <c r="Q9" t="str">
        <f t="shared" si="2"/>
        <v>P-151/2007 Sociālās daudzdzīvokļu dzīvojamās mājas būvniecības pabeigšanai</v>
      </c>
      <c r="R9" t="str">
        <f t="shared" si="3"/>
        <v>01.06.2007</v>
      </c>
      <c r="U9" s="8" t="s">
        <v>271</v>
      </c>
      <c r="V9" s="9" t="s">
        <v>285</v>
      </c>
      <c r="W9" s="8" t="s">
        <v>271</v>
      </c>
      <c r="X9" s="13" t="s">
        <v>286</v>
      </c>
      <c r="Z9" s="1" t="s">
        <v>6</v>
      </c>
      <c r="AA9" s="1" t="s">
        <v>7</v>
      </c>
      <c r="AB9" s="2">
        <v>118.49</v>
      </c>
      <c r="AD9" s="1" t="s">
        <v>10</v>
      </c>
      <c r="AE9" s="1" t="s">
        <v>11</v>
      </c>
      <c r="AF9" s="2">
        <v>248.6</v>
      </c>
      <c r="AH9" s="1" t="s">
        <v>12</v>
      </c>
      <c r="AI9" s="1" t="s">
        <v>13</v>
      </c>
      <c r="AJ9" s="2">
        <v>183278.47</v>
      </c>
      <c r="AL9" s="1" t="s">
        <v>16</v>
      </c>
      <c r="AM9" s="1" t="s">
        <v>17</v>
      </c>
      <c r="AN9" s="2">
        <v>1545.1</v>
      </c>
      <c r="AP9" s="1" t="s">
        <v>20</v>
      </c>
      <c r="AQ9" s="1" t="s">
        <v>21</v>
      </c>
      <c r="AR9" s="2">
        <v>34425.81</v>
      </c>
      <c r="AS9" s="1" t="s">
        <v>21</v>
      </c>
      <c r="AT9" s="2">
        <v>96728.520000000019</v>
      </c>
      <c r="AV9" s="117" t="s">
        <v>2</v>
      </c>
      <c r="AW9" s="113">
        <v>29484.510000000002</v>
      </c>
      <c r="AX9">
        <f t="shared" ref="AX9:AX72" si="7">AW9/2</f>
        <v>14742.255000000001</v>
      </c>
      <c r="AY9" s="115" t="b">
        <f t="shared" si="6"/>
        <v>1</v>
      </c>
      <c r="AZ9">
        <v>116027.01000000001</v>
      </c>
      <c r="BA9">
        <v>111773.73999999999</v>
      </c>
      <c r="BB9">
        <v>265.14</v>
      </c>
      <c r="BC9">
        <v>0</v>
      </c>
      <c r="BD9" s="118" t="s">
        <v>2</v>
      </c>
      <c r="BE9" s="118" t="str">
        <f t="shared" ref="BE9:BE72" si="8">VLOOKUP(BD9,$B$8:$C$150,2,0)</f>
        <v>P-151/2007</v>
      </c>
      <c r="BF9" s="125" t="str">
        <f t="shared" ref="BF9:BF72" si="9">VLOOKUP(BE9,$C$8:$D$150,2,0)</f>
        <v>P-151/2007 Sociālās daudzdzīvokļu dzīvojamās mājas būvniecības pabeigšanai</v>
      </c>
      <c r="BG9" s="125" t="str">
        <f t="shared" ref="BG9:BG72" si="10">VLOOKUP(BF9,$D$8:$E$150,2,0)</f>
        <v>01.06.2007</v>
      </c>
      <c r="BH9" s="125">
        <f t="shared" ref="BH9:BH72" si="11">VLOOKUP(BG9,$E$8:$F$150,2,0)</f>
        <v>114651</v>
      </c>
      <c r="BI9">
        <f t="shared" ref="BI9:BI72" si="12">BH9/2</f>
        <v>57325.5</v>
      </c>
      <c r="BJ9" s="136">
        <f t="shared" ref="BJ9:BJ72" si="13">BH9+BI9</f>
        <v>171976.5</v>
      </c>
      <c r="BK9">
        <v>116027.01000000001</v>
      </c>
      <c r="BL9">
        <v>111773.73999999999</v>
      </c>
      <c r="BM9">
        <v>265.14</v>
      </c>
      <c r="BN9">
        <v>0</v>
      </c>
      <c r="BO9" s="118" t="s">
        <v>3</v>
      </c>
      <c r="BP9">
        <f t="shared" ref="BP9:BP72" si="14">VLOOKUP(BO9,$BW$8:$BX$150,2,0)</f>
        <v>0</v>
      </c>
      <c r="BQ9" s="118" t="s">
        <v>3</v>
      </c>
      <c r="BR9">
        <f t="shared" ref="BR9:BR72" si="15">VLOOKUP(BQ9,BW:BY,3,0)</f>
        <v>0</v>
      </c>
      <c r="BS9" s="118" t="s">
        <v>3</v>
      </c>
      <c r="BT9">
        <f t="shared" ref="BT9:BT72" si="16">VLOOKUP(BS9,BW:BZ,4,0)</f>
        <v>0</v>
      </c>
      <c r="BW9" t="s">
        <v>3</v>
      </c>
      <c r="BX9">
        <v>0</v>
      </c>
      <c r="BY9">
        <v>0</v>
      </c>
      <c r="BZ9">
        <v>0</v>
      </c>
    </row>
    <row r="10" spans="1:78" ht="20.25" customHeight="1" outlineLevel="1" x14ac:dyDescent="0.25">
      <c r="A10" s="39">
        <v>5</v>
      </c>
      <c r="B10" s="26" t="s">
        <v>4</v>
      </c>
      <c r="C10" s="26" t="s">
        <v>5</v>
      </c>
      <c r="D10" s="34" t="str">
        <f t="shared" si="0"/>
        <v>Vidusskolas sporta zāles celtniecība</v>
      </c>
      <c r="E10" s="34" t="str">
        <f t="shared" si="1"/>
        <v>21.06.2007</v>
      </c>
      <c r="F10" s="27">
        <v>9084</v>
      </c>
      <c r="G10" s="128">
        <f t="shared" si="5"/>
        <v>9233.4399999999987</v>
      </c>
      <c r="H10" s="128">
        <f>VLOOKUP(C10,$AE:$AF,2,0)</f>
        <v>8946.52</v>
      </c>
      <c r="I10" s="128">
        <f>VLOOKUP($C10,$AI:$AJ,2,0)</f>
        <v>8650.0499999999993</v>
      </c>
      <c r="J10" s="128">
        <f>VLOOKUP($C10,$AM:$AN,2,0)</f>
        <v>4152.1299999999992</v>
      </c>
      <c r="K10" s="128">
        <v>0</v>
      </c>
      <c r="L10" s="129">
        <v>0</v>
      </c>
      <c r="M10" s="128">
        <v>0</v>
      </c>
      <c r="N10" s="36">
        <f t="shared" si="4"/>
        <v>40066.139999999992</v>
      </c>
      <c r="Q10" t="str">
        <f t="shared" si="2"/>
        <v>Vidusskolas sporta zāles celtniecība</v>
      </c>
      <c r="R10" t="str">
        <f t="shared" si="3"/>
        <v>21.06.2007</v>
      </c>
      <c r="U10" s="9" t="s">
        <v>211</v>
      </c>
      <c r="V10" s="9" t="s">
        <v>287</v>
      </c>
      <c r="W10" s="9" t="s">
        <v>211</v>
      </c>
      <c r="X10" s="13" t="s">
        <v>288</v>
      </c>
      <c r="Z10" s="1" t="s">
        <v>8</v>
      </c>
      <c r="AA10" s="1" t="s">
        <v>9</v>
      </c>
      <c r="AB10" s="2">
        <v>88.11999999999999</v>
      </c>
      <c r="AD10" s="1" t="s">
        <v>12</v>
      </c>
      <c r="AE10" s="1" t="s">
        <v>13</v>
      </c>
      <c r="AF10" s="2">
        <v>189666.99999999997</v>
      </c>
      <c r="AH10" s="1" t="s">
        <v>14</v>
      </c>
      <c r="AI10" s="1" t="s">
        <v>15</v>
      </c>
      <c r="AJ10" s="2">
        <v>15257.22</v>
      </c>
      <c r="AL10" s="1" t="s">
        <v>18</v>
      </c>
      <c r="AM10" s="1" t="s">
        <v>19</v>
      </c>
      <c r="AN10" s="2">
        <v>50114.799999999996</v>
      </c>
      <c r="AP10" s="1" t="s">
        <v>22</v>
      </c>
      <c r="AQ10" s="1" t="s">
        <v>23</v>
      </c>
      <c r="AR10" s="2">
        <v>2887.02</v>
      </c>
      <c r="AS10" s="1" t="s">
        <v>23</v>
      </c>
      <c r="AT10" s="2">
        <v>1374.8799999999997</v>
      </c>
      <c r="AV10" s="117" t="s">
        <v>4</v>
      </c>
      <c r="AW10" s="113">
        <v>2326.7599999999998</v>
      </c>
      <c r="AX10">
        <f t="shared" si="7"/>
        <v>1163.3799999999999</v>
      </c>
      <c r="AY10" s="115" t="b">
        <f t="shared" si="6"/>
        <v>1</v>
      </c>
      <c r="AZ10">
        <v>9425.7199999999993</v>
      </c>
      <c r="BA10">
        <v>9097.9699999999993</v>
      </c>
      <c r="BB10">
        <v>8736.8100000000013</v>
      </c>
      <c r="BC10">
        <v>4173.2599999999984</v>
      </c>
      <c r="BD10" t="s">
        <v>4</v>
      </c>
      <c r="BE10" s="118" t="str">
        <f t="shared" si="8"/>
        <v>P-191/2007</v>
      </c>
      <c r="BF10" s="125" t="str">
        <f t="shared" si="9"/>
        <v>Vidusskolas sporta zāles celtniecība</v>
      </c>
      <c r="BG10" s="125" t="str">
        <f t="shared" si="10"/>
        <v>01.06.2006</v>
      </c>
      <c r="BH10" s="125">
        <f t="shared" si="11"/>
        <v>11144</v>
      </c>
      <c r="BI10">
        <f t="shared" si="12"/>
        <v>5572</v>
      </c>
      <c r="BJ10" s="136">
        <f t="shared" si="13"/>
        <v>16716</v>
      </c>
      <c r="BK10">
        <v>9425.7199999999993</v>
      </c>
      <c r="BL10">
        <v>9097.9699999999993</v>
      </c>
      <c r="BM10">
        <v>8736.8100000000013</v>
      </c>
      <c r="BN10">
        <v>4173.2599999999984</v>
      </c>
      <c r="BO10" s="118" t="s">
        <v>5</v>
      </c>
      <c r="BP10">
        <f t="shared" si="14"/>
        <v>0</v>
      </c>
      <c r="BQ10" s="118" t="s">
        <v>5</v>
      </c>
      <c r="BR10">
        <f t="shared" si="15"/>
        <v>0</v>
      </c>
      <c r="BS10" s="118" t="s">
        <v>5</v>
      </c>
      <c r="BT10">
        <f t="shared" si="16"/>
        <v>0</v>
      </c>
      <c r="BW10" t="s">
        <v>5</v>
      </c>
      <c r="BX10">
        <v>0</v>
      </c>
      <c r="BY10">
        <v>0</v>
      </c>
      <c r="BZ10">
        <v>0</v>
      </c>
    </row>
    <row r="11" spans="1:78" ht="20.25" customHeight="1" outlineLevel="1" x14ac:dyDescent="0.25">
      <c r="A11" s="39">
        <v>6</v>
      </c>
      <c r="B11" s="26" t="s">
        <v>6</v>
      </c>
      <c r="C11" s="26" t="s">
        <v>7</v>
      </c>
      <c r="D11" s="34" t="str">
        <f t="shared" si="0"/>
        <v>P-312/2007 Cēsu pilsētas ielu rekonstrukcijai</v>
      </c>
      <c r="E11" s="34" t="str">
        <f t="shared" si="1"/>
        <v>01.10.2007</v>
      </c>
      <c r="F11" s="27">
        <v>63539</v>
      </c>
      <c r="G11" s="128">
        <f t="shared" si="5"/>
        <v>118.49</v>
      </c>
      <c r="H11" s="128">
        <v>0</v>
      </c>
      <c r="I11" s="128">
        <v>0</v>
      </c>
      <c r="J11" s="128">
        <v>0</v>
      </c>
      <c r="K11" s="128">
        <v>0</v>
      </c>
      <c r="L11" s="129">
        <v>0</v>
      </c>
      <c r="M11" s="128">
        <v>0</v>
      </c>
      <c r="N11" s="36">
        <f t="shared" si="4"/>
        <v>63657.49</v>
      </c>
      <c r="Q11" t="str">
        <f t="shared" si="2"/>
        <v>P-312/2007 Cēsu pilsētas ielu rekonstrukcijai</v>
      </c>
      <c r="R11" t="str">
        <f t="shared" si="3"/>
        <v>01.10.2007</v>
      </c>
      <c r="U11" s="9" t="s">
        <v>209</v>
      </c>
      <c r="V11" s="9" t="s">
        <v>289</v>
      </c>
      <c r="W11" s="9" t="s">
        <v>209</v>
      </c>
      <c r="X11" s="13" t="s">
        <v>288</v>
      </c>
      <c r="Z11" s="1" t="s">
        <v>10</v>
      </c>
      <c r="AA11" s="1" t="s">
        <v>11</v>
      </c>
      <c r="AB11" s="2">
        <v>129974.90999999999</v>
      </c>
      <c r="AD11" s="1" t="s">
        <v>14</v>
      </c>
      <c r="AE11" s="1" t="s">
        <v>15</v>
      </c>
      <c r="AF11" s="2">
        <v>14918.400000000001</v>
      </c>
      <c r="AH11" s="1" t="s">
        <v>16</v>
      </c>
      <c r="AI11" s="1" t="s">
        <v>17</v>
      </c>
      <c r="AJ11" s="2">
        <v>1565.4399999999998</v>
      </c>
      <c r="AL11" s="1" t="s">
        <v>20</v>
      </c>
      <c r="AM11" s="1" t="s">
        <v>21</v>
      </c>
      <c r="AN11" s="2">
        <v>35505.03</v>
      </c>
      <c r="AP11" s="1" t="s">
        <v>24</v>
      </c>
      <c r="AQ11" s="1" t="s">
        <v>25</v>
      </c>
      <c r="AR11" s="2">
        <v>7867.67</v>
      </c>
      <c r="AS11" s="1" t="s">
        <v>25</v>
      </c>
      <c r="AT11" s="2">
        <v>5659.26</v>
      </c>
      <c r="AV11" s="117" t="s">
        <v>6</v>
      </c>
      <c r="AW11" s="113">
        <v>15856.02</v>
      </c>
      <c r="AX11">
        <f t="shared" si="7"/>
        <v>7928.01</v>
      </c>
      <c r="AY11" s="115" t="b">
        <f t="shared" si="6"/>
        <v>1</v>
      </c>
      <c r="AZ11">
        <v>139.36000000000001</v>
      </c>
      <c r="BA11">
        <v>0</v>
      </c>
      <c r="BB11">
        <v>0</v>
      </c>
      <c r="BC11">
        <v>0</v>
      </c>
      <c r="BD11" t="s">
        <v>6</v>
      </c>
      <c r="BE11" s="118" t="str">
        <f t="shared" si="8"/>
        <v>P-312/2007</v>
      </c>
      <c r="BF11" s="125" t="str">
        <f t="shared" si="9"/>
        <v>P-312/2007 Cēsu pilsētas ielu rekonstrukcijai</v>
      </c>
      <c r="BG11" s="125" t="str">
        <f t="shared" si="10"/>
        <v>01.10.2007</v>
      </c>
      <c r="BH11" s="125">
        <f t="shared" si="11"/>
        <v>63539</v>
      </c>
      <c r="BI11">
        <f t="shared" si="12"/>
        <v>31769.5</v>
      </c>
      <c r="BJ11" s="136">
        <f t="shared" si="13"/>
        <v>95308.5</v>
      </c>
      <c r="BK11">
        <v>139.36000000000001</v>
      </c>
      <c r="BL11">
        <v>0</v>
      </c>
      <c r="BM11">
        <v>0</v>
      </c>
      <c r="BN11">
        <v>0</v>
      </c>
      <c r="BO11" s="118" t="s">
        <v>7</v>
      </c>
      <c r="BP11">
        <f t="shared" si="14"/>
        <v>0</v>
      </c>
      <c r="BQ11" s="118" t="s">
        <v>7</v>
      </c>
      <c r="BR11">
        <f t="shared" si="15"/>
        <v>0</v>
      </c>
      <c r="BS11" s="118" t="s">
        <v>7</v>
      </c>
      <c r="BT11">
        <f t="shared" si="16"/>
        <v>0</v>
      </c>
      <c r="BW11" t="s">
        <v>7</v>
      </c>
      <c r="BX11">
        <v>0</v>
      </c>
      <c r="BY11">
        <v>0</v>
      </c>
      <c r="BZ11">
        <v>0</v>
      </c>
    </row>
    <row r="12" spans="1:78" ht="20.25" customHeight="1" outlineLevel="1" x14ac:dyDescent="0.25">
      <c r="A12" s="39">
        <v>7</v>
      </c>
      <c r="B12" s="26" t="s">
        <v>8</v>
      </c>
      <c r="C12" s="26" t="s">
        <v>9</v>
      </c>
      <c r="D12" s="34" t="str">
        <f t="shared" si="0"/>
        <v>P-318/2007 ERAF pr."Cēsu pils kompleksa revitalizācija tūrisma attīstībai"īstenošana</v>
      </c>
      <c r="E12" s="34" t="str">
        <f t="shared" si="1"/>
        <v>01.10.2007</v>
      </c>
      <c r="F12" s="27">
        <v>46682</v>
      </c>
      <c r="G12" s="128">
        <f t="shared" si="5"/>
        <v>88.11999999999999</v>
      </c>
      <c r="H12" s="128">
        <v>0</v>
      </c>
      <c r="I12" s="128">
        <v>0</v>
      </c>
      <c r="J12" s="128">
        <v>0</v>
      </c>
      <c r="K12" s="128">
        <v>0</v>
      </c>
      <c r="L12" s="129">
        <v>0</v>
      </c>
      <c r="M12" s="128">
        <v>0</v>
      </c>
      <c r="N12" s="36">
        <f t="shared" si="4"/>
        <v>46770.12</v>
      </c>
      <c r="Q12" t="str">
        <f t="shared" si="2"/>
        <v>P-318/2007 ERAF pr."Cēsu pils kompleksa revitalizācija tūrisma attīstībai"īstenošana</v>
      </c>
      <c r="R12" t="str">
        <f t="shared" si="3"/>
        <v>01.10.2007</v>
      </c>
      <c r="U12" s="9" t="s">
        <v>191</v>
      </c>
      <c r="V12" s="9" t="s">
        <v>290</v>
      </c>
      <c r="W12" s="9" t="s">
        <v>191</v>
      </c>
      <c r="X12" s="13" t="s">
        <v>291</v>
      </c>
      <c r="Z12" s="1" t="s">
        <v>12</v>
      </c>
      <c r="AA12" s="1" t="s">
        <v>13</v>
      </c>
      <c r="AB12" s="2">
        <v>196112.53</v>
      </c>
      <c r="AD12" s="1" t="s">
        <v>16</v>
      </c>
      <c r="AE12" s="1" t="s">
        <v>17</v>
      </c>
      <c r="AF12" s="2">
        <v>1531.06</v>
      </c>
      <c r="AH12" s="1" t="s">
        <v>18</v>
      </c>
      <c r="AI12" s="1" t="s">
        <v>19</v>
      </c>
      <c r="AJ12" s="2">
        <v>51738.97</v>
      </c>
      <c r="AL12" s="1" t="s">
        <v>22</v>
      </c>
      <c r="AM12" s="1" t="s">
        <v>23</v>
      </c>
      <c r="AN12" s="2">
        <v>2986.04</v>
      </c>
      <c r="AP12" s="1" t="s">
        <v>26</v>
      </c>
      <c r="AQ12" s="1" t="s">
        <v>27</v>
      </c>
      <c r="AR12" s="2">
        <v>6686.03</v>
      </c>
      <c r="AS12" s="1" t="s">
        <v>27</v>
      </c>
      <c r="AT12" s="2">
        <v>4804.53</v>
      </c>
      <c r="AV12" s="117" t="s">
        <v>8</v>
      </c>
      <c r="AW12" s="113">
        <v>11372.289999999999</v>
      </c>
      <c r="AX12">
        <f t="shared" si="7"/>
        <v>5686.1449999999995</v>
      </c>
      <c r="AY12" s="115" t="b">
        <f t="shared" si="6"/>
        <v>1</v>
      </c>
      <c r="AZ12">
        <v>92.21</v>
      </c>
      <c r="BA12">
        <v>0</v>
      </c>
      <c r="BB12">
        <v>0</v>
      </c>
      <c r="BC12">
        <v>0</v>
      </c>
      <c r="BD12" t="s">
        <v>8</v>
      </c>
      <c r="BE12" s="118" t="str">
        <f t="shared" si="8"/>
        <v>P-318/2007</v>
      </c>
      <c r="BF12" s="125" t="str">
        <f t="shared" si="9"/>
        <v>P-318/2007 ERAF pr."Cēsu pils kompleksa revitalizācija tūrisma attīstībai"īstenošana</v>
      </c>
      <c r="BG12" s="125" t="str">
        <f t="shared" si="10"/>
        <v>01.10.2007</v>
      </c>
      <c r="BH12" s="125">
        <f t="shared" si="11"/>
        <v>63539</v>
      </c>
      <c r="BI12">
        <f t="shared" si="12"/>
        <v>31769.5</v>
      </c>
      <c r="BJ12" s="136">
        <f t="shared" si="13"/>
        <v>95308.5</v>
      </c>
      <c r="BK12">
        <v>92.21</v>
      </c>
      <c r="BL12">
        <v>0</v>
      </c>
      <c r="BM12">
        <v>0</v>
      </c>
      <c r="BN12">
        <v>0</v>
      </c>
      <c r="BO12" s="118" t="s">
        <v>9</v>
      </c>
      <c r="BP12">
        <f t="shared" si="14"/>
        <v>0</v>
      </c>
      <c r="BQ12" s="118" t="s">
        <v>9</v>
      </c>
      <c r="BR12">
        <f t="shared" si="15"/>
        <v>0</v>
      </c>
      <c r="BS12" s="118" t="s">
        <v>9</v>
      </c>
      <c r="BT12">
        <f t="shared" si="16"/>
        <v>0</v>
      </c>
      <c r="BW12" t="s">
        <v>9</v>
      </c>
      <c r="BX12">
        <v>0</v>
      </c>
      <c r="BY12">
        <v>0</v>
      </c>
      <c r="BZ12">
        <v>0</v>
      </c>
    </row>
    <row r="13" spans="1:78" ht="20.25" customHeight="1" outlineLevel="1" x14ac:dyDescent="0.25">
      <c r="A13" s="39">
        <v>8</v>
      </c>
      <c r="B13" s="26" t="s">
        <v>10</v>
      </c>
      <c r="C13" s="26" t="s">
        <v>11</v>
      </c>
      <c r="D13" s="34" t="str">
        <f t="shared" si="0"/>
        <v>P-118/2008 Jaunas pirmsskolas izglīt.iestādes būvniecības līdzfinansējuma nodrošināšana</v>
      </c>
      <c r="E13" s="34" t="str">
        <f t="shared" si="1"/>
        <v>25.04.2008</v>
      </c>
      <c r="F13" s="27">
        <v>129762</v>
      </c>
      <c r="G13" s="128">
        <f t="shared" si="5"/>
        <v>129974.90999999999</v>
      </c>
      <c r="H13" s="128">
        <f t="shared" ref="H13:H33" si="17">VLOOKUP(C13,$AE:$AF,2,0)</f>
        <v>248.6</v>
      </c>
      <c r="I13" s="128">
        <v>0</v>
      </c>
      <c r="J13" s="128">
        <v>0</v>
      </c>
      <c r="K13" s="128">
        <v>0</v>
      </c>
      <c r="L13" s="129">
        <v>0</v>
      </c>
      <c r="M13" s="128">
        <v>0</v>
      </c>
      <c r="N13" s="36">
        <f t="shared" si="4"/>
        <v>259985.50999999998</v>
      </c>
      <c r="Q13" t="str">
        <f t="shared" si="2"/>
        <v>P-118/2008 Jaunas pirmsskolas izglīt.iestādes būvniecības līdzfinansējuma nodrošināšana</v>
      </c>
      <c r="R13" t="str">
        <f t="shared" si="3"/>
        <v>25.04.2008</v>
      </c>
      <c r="U13" s="9" t="s">
        <v>119</v>
      </c>
      <c r="V13" s="9" t="s">
        <v>292</v>
      </c>
      <c r="W13" s="9" t="s">
        <v>119</v>
      </c>
      <c r="X13" s="13" t="s">
        <v>293</v>
      </c>
      <c r="Z13" s="1" t="s">
        <v>14</v>
      </c>
      <c r="AA13" s="1" t="s">
        <v>15</v>
      </c>
      <c r="AB13" s="2">
        <v>15082.460000000001</v>
      </c>
      <c r="AD13" s="1" t="s">
        <v>18</v>
      </c>
      <c r="AE13" s="1" t="s">
        <v>19</v>
      </c>
      <c r="AF13" s="2">
        <v>53358.700000000004</v>
      </c>
      <c r="AH13" s="1" t="s">
        <v>20</v>
      </c>
      <c r="AI13" s="1" t="s">
        <v>21</v>
      </c>
      <c r="AJ13" s="2">
        <v>36593.899999999994</v>
      </c>
      <c r="AL13" s="1" t="s">
        <v>24</v>
      </c>
      <c r="AM13" s="1" t="s">
        <v>25</v>
      </c>
      <c r="AN13" s="2">
        <v>8239.7000000000007</v>
      </c>
      <c r="AP13" s="1" t="s">
        <v>28</v>
      </c>
      <c r="AQ13" s="1" t="s">
        <v>29</v>
      </c>
      <c r="AR13" s="2">
        <v>52619.86</v>
      </c>
      <c r="AS13" s="1" t="s">
        <v>29</v>
      </c>
      <c r="AT13" s="2">
        <v>147844.84000000003</v>
      </c>
      <c r="AV13" s="117" t="s">
        <v>10</v>
      </c>
      <c r="AW13" s="113">
        <v>33596.720000000001</v>
      </c>
      <c r="AX13">
        <f t="shared" si="7"/>
        <v>16798.36</v>
      </c>
      <c r="AY13" s="115" t="b">
        <f t="shared" si="6"/>
        <v>1</v>
      </c>
      <c r="AZ13">
        <v>130854.26</v>
      </c>
      <c r="BA13">
        <v>302.87</v>
      </c>
      <c r="BB13">
        <v>0</v>
      </c>
      <c r="BC13">
        <v>0</v>
      </c>
      <c r="BD13" t="s">
        <v>10</v>
      </c>
      <c r="BE13" s="118" t="str">
        <f t="shared" si="8"/>
        <v>P-118/2008</v>
      </c>
      <c r="BF13" s="125" t="str">
        <f t="shared" si="9"/>
        <v>P-118/2008 Jaunas pirmsskolas izglīt.iestādes būvniecības līdzfinansējuma nodrošināšana</v>
      </c>
      <c r="BG13" s="125" t="str">
        <f t="shared" si="10"/>
        <v>25.04.2008</v>
      </c>
      <c r="BH13" s="125">
        <f t="shared" si="11"/>
        <v>129762</v>
      </c>
      <c r="BI13">
        <f t="shared" si="12"/>
        <v>64881</v>
      </c>
      <c r="BJ13" s="136">
        <f t="shared" si="13"/>
        <v>194643</v>
      </c>
      <c r="BK13">
        <v>130854.26</v>
      </c>
      <c r="BL13">
        <v>302.87</v>
      </c>
      <c r="BM13">
        <v>0</v>
      </c>
      <c r="BN13">
        <v>0</v>
      </c>
      <c r="BO13" s="118" t="s">
        <v>11</v>
      </c>
      <c r="BP13">
        <f t="shared" si="14"/>
        <v>0</v>
      </c>
      <c r="BQ13" s="118" t="s">
        <v>11</v>
      </c>
      <c r="BR13">
        <f t="shared" si="15"/>
        <v>0</v>
      </c>
      <c r="BS13" s="118" t="s">
        <v>11</v>
      </c>
      <c r="BT13">
        <f t="shared" si="16"/>
        <v>0</v>
      </c>
      <c r="BW13" t="s">
        <v>11</v>
      </c>
      <c r="BX13">
        <v>0</v>
      </c>
      <c r="BY13">
        <v>0</v>
      </c>
      <c r="BZ13">
        <v>0</v>
      </c>
    </row>
    <row r="14" spans="1:78" ht="20.25" customHeight="1" outlineLevel="1" x14ac:dyDescent="0.25">
      <c r="A14" s="39">
        <v>9</v>
      </c>
      <c r="B14" s="26" t="s">
        <v>12</v>
      </c>
      <c r="C14" s="26" t="s">
        <v>13</v>
      </c>
      <c r="D14" s="34" t="str">
        <f t="shared" si="0"/>
        <v>P-134/2008-Cēsu pilsētas ielu rekonstrukcijai</v>
      </c>
      <c r="E14" s="34" t="str">
        <f t="shared" si="1"/>
        <v>07.05.2008</v>
      </c>
      <c r="F14" s="27">
        <v>189119</v>
      </c>
      <c r="G14" s="128">
        <f t="shared" si="5"/>
        <v>196112.53</v>
      </c>
      <c r="H14" s="128">
        <f t="shared" si="17"/>
        <v>189666.99999999997</v>
      </c>
      <c r="I14" s="128">
        <f t="shared" ref="I14:I25" si="18">VLOOKUP($C14,$AI:$AJ,2,0)</f>
        <v>183278.47</v>
      </c>
      <c r="J14" s="128">
        <f t="shared" ref="J14:J25" si="19">VLOOKUP($C14,$AM:$AN,2,0)</f>
        <v>14771.68</v>
      </c>
      <c r="K14" s="128">
        <v>0</v>
      </c>
      <c r="L14" s="129">
        <v>0</v>
      </c>
      <c r="M14" s="128">
        <v>0</v>
      </c>
      <c r="N14" s="36">
        <f t="shared" si="4"/>
        <v>772948.68</v>
      </c>
      <c r="Q14" t="str">
        <f t="shared" si="2"/>
        <v>P-134/2008-Cēsu pilsētas ielu rekonstrukcijai</v>
      </c>
      <c r="R14" t="str">
        <f t="shared" si="3"/>
        <v>07.05.2008</v>
      </c>
      <c r="U14" s="9" t="s">
        <v>199</v>
      </c>
      <c r="V14" s="9" t="s">
        <v>294</v>
      </c>
      <c r="W14" s="9" t="s">
        <v>199</v>
      </c>
      <c r="X14" s="13" t="s">
        <v>295</v>
      </c>
      <c r="Z14" s="1" t="s">
        <v>16</v>
      </c>
      <c r="AA14" s="1" t="s">
        <v>17</v>
      </c>
      <c r="AB14" s="2">
        <v>1547.8899999999999</v>
      </c>
      <c r="AD14" s="1" t="s">
        <v>20</v>
      </c>
      <c r="AE14" s="1" t="s">
        <v>21</v>
      </c>
      <c r="AF14" s="2">
        <v>37679.82</v>
      </c>
      <c r="AH14" s="1" t="s">
        <v>22</v>
      </c>
      <c r="AI14" s="1" t="s">
        <v>23</v>
      </c>
      <c r="AJ14" s="2">
        <v>3085.2499999999995</v>
      </c>
      <c r="AL14" s="1" t="s">
        <v>26</v>
      </c>
      <c r="AM14" s="1" t="s">
        <v>27</v>
      </c>
      <c r="AN14" s="2">
        <v>7009.5599999999995</v>
      </c>
      <c r="AP14" s="1" t="s">
        <v>30</v>
      </c>
      <c r="AQ14" s="1" t="s">
        <v>31</v>
      </c>
      <c r="AR14" s="2">
        <v>1527.24</v>
      </c>
      <c r="AS14" s="1" t="s">
        <v>31</v>
      </c>
      <c r="AT14" s="2">
        <v>1457.7099999999998</v>
      </c>
      <c r="AV14" s="119" t="s">
        <v>14</v>
      </c>
      <c r="AW14" s="113">
        <v>3797.17</v>
      </c>
      <c r="AX14">
        <f t="shared" si="7"/>
        <v>1898.585</v>
      </c>
      <c r="AY14" s="115" t="b">
        <f t="shared" si="6"/>
        <v>0</v>
      </c>
      <c r="AZ14">
        <v>15082.460000000001</v>
      </c>
      <c r="BA14">
        <v>14918.4</v>
      </c>
      <c r="BB14">
        <v>15281.48</v>
      </c>
      <c r="BC14">
        <v>15084.449999999999</v>
      </c>
      <c r="BD14" t="s">
        <v>14</v>
      </c>
      <c r="BE14" s="118" t="str">
        <f t="shared" si="8"/>
        <v>P-126/2008</v>
      </c>
      <c r="BF14" s="125" t="str">
        <f t="shared" si="9"/>
        <v>Ārējo siltumtīklu, ūdens un kanalizācijas sistēmas rekonstrukcija nekustamā īpašumā "Gaismas"</v>
      </c>
      <c r="BG14" s="125" t="str">
        <f t="shared" si="10"/>
        <v>07.05.2008</v>
      </c>
      <c r="BH14" s="125">
        <f t="shared" si="11"/>
        <v>189119</v>
      </c>
      <c r="BI14">
        <f t="shared" si="12"/>
        <v>94559.5</v>
      </c>
      <c r="BJ14" s="136">
        <f t="shared" si="13"/>
        <v>283678.5</v>
      </c>
      <c r="BK14">
        <v>15082.460000000001</v>
      </c>
      <c r="BL14">
        <v>14918.4</v>
      </c>
      <c r="BM14">
        <v>15281.48</v>
      </c>
      <c r="BN14">
        <v>15084.449999999999</v>
      </c>
      <c r="BO14" s="118" t="s">
        <v>15</v>
      </c>
      <c r="BP14">
        <f t="shared" si="14"/>
        <v>3646.5099999999998</v>
      </c>
      <c r="BQ14" s="118" t="s">
        <v>15</v>
      </c>
      <c r="BR14">
        <f t="shared" si="15"/>
        <v>0</v>
      </c>
      <c r="BS14" s="118" t="s">
        <v>15</v>
      </c>
      <c r="BT14">
        <f t="shared" si="16"/>
        <v>0</v>
      </c>
      <c r="BW14" t="s">
        <v>13</v>
      </c>
      <c r="BX14">
        <v>0</v>
      </c>
      <c r="BY14">
        <v>0</v>
      </c>
      <c r="BZ14">
        <v>0</v>
      </c>
    </row>
    <row r="15" spans="1:78" ht="20.25" customHeight="1" outlineLevel="1" x14ac:dyDescent="0.25">
      <c r="A15" s="39">
        <v>10</v>
      </c>
      <c r="B15" s="26" t="s">
        <v>14</v>
      </c>
      <c r="C15" s="26" t="s">
        <v>15</v>
      </c>
      <c r="D15" s="34" t="str">
        <f t="shared" si="0"/>
        <v>Ārējo siltumtīklu, ūdens un kanalizācijas sistēmas rekonstrukcija nekustamā īpašumā "Gaismas"</v>
      </c>
      <c r="E15" s="34" t="str">
        <f t="shared" si="1"/>
        <v>07.05.2008</v>
      </c>
      <c r="F15" s="27">
        <v>15019</v>
      </c>
      <c r="G15" s="128">
        <f t="shared" si="5"/>
        <v>15082.460000000001</v>
      </c>
      <c r="H15" s="128">
        <f t="shared" si="17"/>
        <v>14918.400000000001</v>
      </c>
      <c r="I15" s="128">
        <f t="shared" si="18"/>
        <v>15257.22</v>
      </c>
      <c r="J15" s="128">
        <f t="shared" si="19"/>
        <v>15061.78</v>
      </c>
      <c r="K15" s="128">
        <f t="shared" ref="K15:K25" si="20">VLOOKUP($C15,$AQ:$AR,2,0)</f>
        <v>3646.5099999999998</v>
      </c>
      <c r="L15" s="129">
        <v>0</v>
      </c>
      <c r="M15" s="128">
        <f>VLOOKUP($C15,$AS:$AT,2,0)</f>
        <v>0</v>
      </c>
      <c r="N15" s="36">
        <f t="shared" si="4"/>
        <v>78985.37</v>
      </c>
      <c r="Q15" t="str">
        <f t="shared" si="2"/>
        <v>Ārējo siltumtīklu, ūdens un kanalizācijas sistēmas rekonstrukcija nekustamā īpašumā "Gaismas"</v>
      </c>
      <c r="R15" t="str">
        <f t="shared" si="3"/>
        <v>07.05.2008</v>
      </c>
      <c r="U15" s="8" t="s">
        <v>45</v>
      </c>
      <c r="V15" s="9" t="s">
        <v>296</v>
      </c>
      <c r="W15" s="8" t="s">
        <v>45</v>
      </c>
      <c r="X15" s="13" t="s">
        <v>297</v>
      </c>
      <c r="Z15" s="1" t="s">
        <v>18</v>
      </c>
      <c r="AA15" s="1" t="s">
        <v>19</v>
      </c>
      <c r="AB15" s="2">
        <v>55007.340000000004</v>
      </c>
      <c r="AD15" s="1" t="s">
        <v>22</v>
      </c>
      <c r="AE15" s="1" t="s">
        <v>23</v>
      </c>
      <c r="AF15" s="2">
        <v>3184.1899999999996</v>
      </c>
      <c r="AH15" s="1" t="s">
        <v>24</v>
      </c>
      <c r="AI15" s="1" t="s">
        <v>25</v>
      </c>
      <c r="AJ15" s="2">
        <v>8612.7200000000012</v>
      </c>
      <c r="AL15" s="1" t="s">
        <v>28</v>
      </c>
      <c r="AM15" s="1" t="s">
        <v>29</v>
      </c>
      <c r="AN15" s="2">
        <v>54269.52</v>
      </c>
      <c r="AP15" s="1" t="s">
        <v>32</v>
      </c>
      <c r="AQ15" s="1" t="s">
        <v>33</v>
      </c>
      <c r="AR15" s="2">
        <v>31379.47</v>
      </c>
      <c r="AS15" s="1" t="s">
        <v>33</v>
      </c>
      <c r="AT15" s="2">
        <v>37724.17</v>
      </c>
      <c r="AV15" s="119" t="s">
        <v>16</v>
      </c>
      <c r="AW15" s="113">
        <v>389.7</v>
      </c>
      <c r="AX15">
        <f t="shared" si="7"/>
        <v>194.85</v>
      </c>
      <c r="AY15" s="115" t="b">
        <f t="shared" si="6"/>
        <v>0</v>
      </c>
      <c r="AZ15">
        <v>1547.89</v>
      </c>
      <c r="BA15">
        <v>1531.06</v>
      </c>
      <c r="BB15">
        <v>1567.8799999999999</v>
      </c>
      <c r="BC15">
        <v>1547.3999999999999</v>
      </c>
      <c r="BD15" t="s">
        <v>16</v>
      </c>
      <c r="BE15" s="118" t="str">
        <f t="shared" si="8"/>
        <v>P-127/2008</v>
      </c>
      <c r="BF15" s="125" t="str">
        <f t="shared" si="9"/>
        <v>Mārsnēnu pamatskolas pirmskolas grupu telpu ēkas rekonstrukcija</v>
      </c>
      <c r="BG15" s="125" t="str">
        <f t="shared" si="10"/>
        <v>07.05.2008</v>
      </c>
      <c r="BH15" s="125">
        <f t="shared" si="11"/>
        <v>189119</v>
      </c>
      <c r="BI15">
        <f t="shared" si="12"/>
        <v>94559.5</v>
      </c>
      <c r="BJ15" s="136">
        <f t="shared" si="13"/>
        <v>283678.5</v>
      </c>
      <c r="BK15">
        <v>1547.89</v>
      </c>
      <c r="BL15">
        <v>1531.06</v>
      </c>
      <c r="BM15">
        <v>1567.8799999999999</v>
      </c>
      <c r="BN15">
        <v>1547.3999999999999</v>
      </c>
      <c r="BO15" s="118" t="s">
        <v>17</v>
      </c>
      <c r="BP15">
        <f t="shared" si="14"/>
        <v>351.2</v>
      </c>
      <c r="BQ15" s="118" t="s">
        <v>17</v>
      </c>
      <c r="BR15">
        <f t="shared" si="15"/>
        <v>0</v>
      </c>
      <c r="BS15" s="118" t="s">
        <v>17</v>
      </c>
      <c r="BT15">
        <f t="shared" si="16"/>
        <v>0</v>
      </c>
      <c r="BW15" t="s">
        <v>15</v>
      </c>
      <c r="BX15">
        <v>3646.5099999999998</v>
      </c>
      <c r="BY15">
        <v>0</v>
      </c>
      <c r="BZ15">
        <v>0</v>
      </c>
    </row>
    <row r="16" spans="1:78" ht="20.25" customHeight="1" outlineLevel="1" x14ac:dyDescent="0.25">
      <c r="A16" s="39">
        <v>11</v>
      </c>
      <c r="B16" s="26" t="s">
        <v>16</v>
      </c>
      <c r="C16" s="26" t="s">
        <v>17</v>
      </c>
      <c r="D16" s="34" t="str">
        <f t="shared" si="0"/>
        <v>Mārsnēnu pamatskolas pirmskolas grupu telpu ēkas rekonstrukcija</v>
      </c>
      <c r="E16" s="34" t="str">
        <f t="shared" si="1"/>
        <v>07.05.2008</v>
      </c>
      <c r="F16" s="27">
        <v>1541</v>
      </c>
      <c r="G16" s="128">
        <f t="shared" si="5"/>
        <v>1547.8899999999999</v>
      </c>
      <c r="H16" s="128">
        <f t="shared" si="17"/>
        <v>1531.06</v>
      </c>
      <c r="I16" s="128">
        <f t="shared" si="18"/>
        <v>1565.4399999999998</v>
      </c>
      <c r="J16" s="128">
        <f t="shared" si="19"/>
        <v>1545.1</v>
      </c>
      <c r="K16" s="128">
        <f t="shared" si="20"/>
        <v>351.2</v>
      </c>
      <c r="L16" s="129">
        <v>0</v>
      </c>
      <c r="M16" s="128">
        <f>VLOOKUP($C16,$AS:$AT,2,0)</f>
        <v>0</v>
      </c>
      <c r="N16" s="36">
        <f>SUM(F16:M16)</f>
        <v>8081.69</v>
      </c>
      <c r="Q16" t="str">
        <f t="shared" si="2"/>
        <v>Mārsnēnu pamatskolas pirmskolas grupu telpu ēkas rekonstrukcija</v>
      </c>
      <c r="R16" t="str">
        <f t="shared" si="3"/>
        <v>07.05.2008</v>
      </c>
      <c r="U16" s="8" t="s">
        <v>272</v>
      </c>
      <c r="V16" s="9" t="s">
        <v>298</v>
      </c>
      <c r="W16" s="8" t="s">
        <v>272</v>
      </c>
      <c r="X16" s="13" t="s">
        <v>299</v>
      </c>
      <c r="Z16" s="1" t="s">
        <v>20</v>
      </c>
      <c r="AA16" s="1" t="s">
        <v>21</v>
      </c>
      <c r="AB16" s="2">
        <v>38689.040000000001</v>
      </c>
      <c r="AD16" s="1" t="s">
        <v>24</v>
      </c>
      <c r="AE16" s="1" t="s">
        <v>25</v>
      </c>
      <c r="AF16" s="2">
        <v>8984.74</v>
      </c>
      <c r="AH16" s="1" t="s">
        <v>26</v>
      </c>
      <c r="AI16" s="1" t="s">
        <v>27</v>
      </c>
      <c r="AJ16" s="2">
        <v>7334</v>
      </c>
      <c r="AL16" s="1" t="s">
        <v>30</v>
      </c>
      <c r="AM16" s="1" t="s">
        <v>31</v>
      </c>
      <c r="AN16" s="2">
        <v>1600.22</v>
      </c>
      <c r="AP16" s="1" t="s">
        <v>34</v>
      </c>
      <c r="AQ16" s="1" t="s">
        <v>35</v>
      </c>
      <c r="AR16" s="2">
        <v>14475.199999999999</v>
      </c>
      <c r="AS16" s="1" t="s">
        <v>35</v>
      </c>
      <c r="AT16" s="2">
        <v>7023.9400000000005</v>
      </c>
      <c r="AV16" s="119" t="s">
        <v>12</v>
      </c>
      <c r="AW16" s="113">
        <v>51307.729999999996</v>
      </c>
      <c r="AX16">
        <f t="shared" si="7"/>
        <v>25653.864999999998</v>
      </c>
      <c r="AY16" s="115" t="b">
        <f t="shared" si="6"/>
        <v>0</v>
      </c>
      <c r="AZ16">
        <v>200274.87</v>
      </c>
      <c r="BA16">
        <v>192244.81</v>
      </c>
      <c r="BB16">
        <v>184461.62</v>
      </c>
      <c r="BC16">
        <v>432.7</v>
      </c>
      <c r="BD16" t="s">
        <v>12</v>
      </c>
      <c r="BE16" s="118" t="str">
        <f t="shared" si="8"/>
        <v>P-134/2008</v>
      </c>
      <c r="BF16" s="125" t="str">
        <f t="shared" si="9"/>
        <v>P-134/2008-Cēsu pilsētas ielu rekonstrukcijai</v>
      </c>
      <c r="BG16" s="125" t="str">
        <f t="shared" si="10"/>
        <v>07.05.2008</v>
      </c>
      <c r="BH16" s="125">
        <f t="shared" si="11"/>
        <v>189119</v>
      </c>
      <c r="BI16">
        <f t="shared" si="12"/>
        <v>94559.5</v>
      </c>
      <c r="BJ16" s="136">
        <f t="shared" si="13"/>
        <v>283678.5</v>
      </c>
      <c r="BK16">
        <v>200274.87</v>
      </c>
      <c r="BL16">
        <v>192244.81</v>
      </c>
      <c r="BM16">
        <v>184461.62</v>
      </c>
      <c r="BN16">
        <v>432.7</v>
      </c>
      <c r="BO16" s="118" t="s">
        <v>13</v>
      </c>
      <c r="BP16">
        <f t="shared" si="14"/>
        <v>0</v>
      </c>
      <c r="BQ16" s="118" t="s">
        <v>13</v>
      </c>
      <c r="BR16">
        <f t="shared" si="15"/>
        <v>0</v>
      </c>
      <c r="BS16" s="118" t="s">
        <v>13</v>
      </c>
      <c r="BT16">
        <f t="shared" si="16"/>
        <v>0</v>
      </c>
      <c r="BW16" t="s">
        <v>17</v>
      </c>
      <c r="BX16">
        <v>351.2</v>
      </c>
      <c r="BY16">
        <v>0</v>
      </c>
      <c r="BZ16">
        <v>0</v>
      </c>
    </row>
    <row r="17" spans="1:78" ht="20.25" customHeight="1" outlineLevel="1" x14ac:dyDescent="0.25">
      <c r="A17" s="39">
        <v>12</v>
      </c>
      <c r="B17" s="26" t="s">
        <v>18</v>
      </c>
      <c r="C17" s="26" t="s">
        <v>19</v>
      </c>
      <c r="D17" s="34" t="str">
        <f t="shared" si="0"/>
        <v>P-218/2008 Sporta laukuma rekonstrukcijai</v>
      </c>
      <c r="E17" s="34" t="str">
        <f t="shared" si="1"/>
        <v>19.06.2008</v>
      </c>
      <c r="F17" s="27">
        <v>50495</v>
      </c>
      <c r="G17" s="128">
        <f t="shared" si="5"/>
        <v>55007.340000000004</v>
      </c>
      <c r="H17" s="128">
        <f t="shared" si="17"/>
        <v>53358.700000000004</v>
      </c>
      <c r="I17" s="128">
        <f t="shared" si="18"/>
        <v>51738.97</v>
      </c>
      <c r="J17" s="128">
        <f t="shared" si="19"/>
        <v>50114.799999999996</v>
      </c>
      <c r="K17" s="128">
        <f t="shared" si="20"/>
        <v>48497.31</v>
      </c>
      <c r="L17" s="129">
        <v>46930</v>
      </c>
      <c r="M17" s="128">
        <f>VLOOKUP($C17,$AS:$AT,2,0)-46930</f>
        <v>11318.970000000016</v>
      </c>
      <c r="N17" s="36">
        <f t="shared" si="4"/>
        <v>367461.09</v>
      </c>
      <c r="Q17" t="str">
        <f t="shared" si="2"/>
        <v>P-218/2008 Sporta laukuma rekonstrukcijai</v>
      </c>
      <c r="R17" t="str">
        <f t="shared" si="3"/>
        <v>19.06.2008</v>
      </c>
      <c r="U17" s="8" t="s">
        <v>53</v>
      </c>
      <c r="V17" s="9" t="s">
        <v>300</v>
      </c>
      <c r="W17" s="8" t="s">
        <v>53</v>
      </c>
      <c r="X17" s="13" t="s">
        <v>301</v>
      </c>
      <c r="Z17" s="1" t="s">
        <v>22</v>
      </c>
      <c r="AA17" s="1" t="s">
        <v>23</v>
      </c>
      <c r="AB17" s="2">
        <v>3284.7</v>
      </c>
      <c r="AD17" s="1" t="s">
        <v>26</v>
      </c>
      <c r="AE17" s="1" t="s">
        <v>27</v>
      </c>
      <c r="AF17" s="2">
        <v>7657.49</v>
      </c>
      <c r="AH17" s="1" t="s">
        <v>28</v>
      </c>
      <c r="AI17" s="1" t="s">
        <v>29</v>
      </c>
      <c r="AJ17" s="2">
        <v>55933.97</v>
      </c>
      <c r="AL17" s="1" t="s">
        <v>32</v>
      </c>
      <c r="AM17" s="1" t="s">
        <v>33</v>
      </c>
      <c r="AN17" s="2">
        <v>32426.01</v>
      </c>
      <c r="AP17" s="1" t="s">
        <v>38</v>
      </c>
      <c r="AQ17" s="1" t="s">
        <v>39</v>
      </c>
      <c r="AR17" s="2">
        <v>45874.619999999995</v>
      </c>
      <c r="AS17" s="1" t="s">
        <v>39</v>
      </c>
      <c r="AT17" s="2">
        <v>76647.900000000009</v>
      </c>
      <c r="AV17" s="117" t="s">
        <v>18</v>
      </c>
      <c r="AW17" s="113">
        <v>14632.230000000001</v>
      </c>
      <c r="AX17">
        <f t="shared" si="7"/>
        <v>7316.1150000000007</v>
      </c>
      <c r="AY17" s="115" t="b">
        <f t="shared" si="6"/>
        <v>1</v>
      </c>
      <c r="AZ17">
        <v>57265.79</v>
      </c>
      <c r="BA17">
        <v>55163.049999999996</v>
      </c>
      <c r="BB17">
        <v>53189.719999999994</v>
      </c>
      <c r="BC17">
        <v>51210.99</v>
      </c>
      <c r="BD17" t="s">
        <v>18</v>
      </c>
      <c r="BE17" s="118" t="str">
        <f t="shared" si="8"/>
        <v>P-218/2008</v>
      </c>
      <c r="BF17" s="125" t="str">
        <f t="shared" si="9"/>
        <v>P-218/2008 Sporta laukuma rekonstrukcijai</v>
      </c>
      <c r="BG17" s="125" t="str">
        <f t="shared" si="10"/>
        <v>19.06.2008</v>
      </c>
      <c r="BH17" s="125">
        <f t="shared" si="11"/>
        <v>50495</v>
      </c>
      <c r="BI17">
        <f t="shared" si="12"/>
        <v>25247.5</v>
      </c>
      <c r="BJ17" s="136">
        <f t="shared" si="13"/>
        <v>75742.5</v>
      </c>
      <c r="BK17">
        <v>57265.79</v>
      </c>
      <c r="BL17">
        <v>55163.049999999996</v>
      </c>
      <c r="BM17">
        <v>53189.719999999994</v>
      </c>
      <c r="BN17">
        <v>51210.99</v>
      </c>
      <c r="BO17" s="118" t="s">
        <v>19</v>
      </c>
      <c r="BP17">
        <f t="shared" si="14"/>
        <v>48497.31</v>
      </c>
      <c r="BQ17" s="118" t="s">
        <v>19</v>
      </c>
      <c r="BR17">
        <f t="shared" si="15"/>
        <v>46930</v>
      </c>
      <c r="BS17" s="118" t="s">
        <v>19</v>
      </c>
      <c r="BT17">
        <f t="shared" si="16"/>
        <v>11318.970000000016</v>
      </c>
      <c r="BW17" t="s">
        <v>19</v>
      </c>
      <c r="BX17">
        <v>48497.31</v>
      </c>
      <c r="BY17">
        <v>46930</v>
      </c>
      <c r="BZ17">
        <v>11318.970000000016</v>
      </c>
    </row>
    <row r="18" spans="1:78" ht="20.25" customHeight="1" outlineLevel="1" x14ac:dyDescent="0.25">
      <c r="A18" s="39">
        <v>13</v>
      </c>
      <c r="B18" s="26" t="s">
        <v>20</v>
      </c>
      <c r="C18" s="26" t="s">
        <v>21</v>
      </c>
      <c r="D18" s="28" t="s">
        <v>402</v>
      </c>
      <c r="E18" s="29" t="s">
        <v>403</v>
      </c>
      <c r="F18" s="27">
        <v>36537</v>
      </c>
      <c r="G18" s="128">
        <f t="shared" si="5"/>
        <v>38689.040000000001</v>
      </c>
      <c r="H18" s="128">
        <f t="shared" si="17"/>
        <v>37679.82</v>
      </c>
      <c r="I18" s="128">
        <f t="shared" si="18"/>
        <v>36593.899999999994</v>
      </c>
      <c r="J18" s="128">
        <f t="shared" si="19"/>
        <v>35505.03</v>
      </c>
      <c r="K18" s="128">
        <f t="shared" si="20"/>
        <v>34425.81</v>
      </c>
      <c r="L18" s="129">
        <v>33313</v>
      </c>
      <c r="M18" s="128">
        <f>VLOOKUP($C18,$AS:$AT,2,0)-33313</f>
        <v>63415.520000000019</v>
      </c>
      <c r="N18" s="36">
        <f t="shared" si="4"/>
        <v>316159.12</v>
      </c>
      <c r="Q18" t="e">
        <f t="shared" si="2"/>
        <v>#N/A</v>
      </c>
      <c r="R18" t="e">
        <f t="shared" si="3"/>
        <v>#N/A</v>
      </c>
      <c r="U18" s="8" t="s">
        <v>61</v>
      </c>
      <c r="V18" s="9" t="s">
        <v>302</v>
      </c>
      <c r="W18" s="8" t="s">
        <v>61</v>
      </c>
      <c r="X18" s="13" t="s">
        <v>303</v>
      </c>
      <c r="Z18" s="1" t="s">
        <v>24</v>
      </c>
      <c r="AA18" s="1" t="s">
        <v>25</v>
      </c>
      <c r="AB18" s="2">
        <v>9362.8799999999992</v>
      </c>
      <c r="AD18" s="1" t="s">
        <v>28</v>
      </c>
      <c r="AE18" s="1" t="s">
        <v>29</v>
      </c>
      <c r="AF18" s="2">
        <v>57593.86</v>
      </c>
      <c r="AH18" s="1" t="s">
        <v>30</v>
      </c>
      <c r="AI18" s="1" t="s">
        <v>31</v>
      </c>
      <c r="AJ18" s="2">
        <v>1673.43</v>
      </c>
      <c r="AL18" s="1" t="s">
        <v>34</v>
      </c>
      <c r="AM18" s="1" t="s">
        <v>35</v>
      </c>
      <c r="AN18" s="2">
        <v>14971.499999999998</v>
      </c>
      <c r="AP18" s="1" t="s">
        <v>40</v>
      </c>
      <c r="AQ18" s="1" t="s">
        <v>41</v>
      </c>
      <c r="AR18" s="2">
        <v>74223.490000000005</v>
      </c>
      <c r="AS18" s="1" t="s">
        <v>41</v>
      </c>
      <c r="AT18" s="2">
        <v>36288.889999999985</v>
      </c>
      <c r="AV18" s="117" t="s">
        <v>20</v>
      </c>
      <c r="AW18" s="113">
        <v>9622.6200000000008</v>
      </c>
      <c r="AX18">
        <f t="shared" si="7"/>
        <v>4811.3100000000004</v>
      </c>
      <c r="AY18" s="115" t="b">
        <f t="shared" si="6"/>
        <v>1</v>
      </c>
      <c r="AZ18">
        <v>40358.720000000001</v>
      </c>
      <c r="BA18">
        <v>39305.75</v>
      </c>
      <c r="BB18">
        <v>37982.76</v>
      </c>
      <c r="BC18">
        <v>36656.17</v>
      </c>
      <c r="BD18" t="s">
        <v>20</v>
      </c>
      <c r="BE18" s="118" t="str">
        <f t="shared" si="8"/>
        <v>P-364/2008</v>
      </c>
      <c r="BF18" s="125" t="str">
        <f t="shared" si="9"/>
        <v>Ūdenssaimniecības projekta 1. kārta</v>
      </c>
      <c r="BG18" s="125" t="str">
        <f t="shared" si="10"/>
        <v>20.10.2008</v>
      </c>
      <c r="BH18" s="125">
        <f t="shared" si="11"/>
        <v>36537</v>
      </c>
      <c r="BI18">
        <f t="shared" si="12"/>
        <v>18268.5</v>
      </c>
      <c r="BJ18" s="136">
        <f t="shared" si="13"/>
        <v>54805.5</v>
      </c>
      <c r="BK18">
        <v>40358.720000000001</v>
      </c>
      <c r="BL18">
        <v>39305.75</v>
      </c>
      <c r="BM18">
        <v>37982.76</v>
      </c>
      <c r="BN18">
        <v>36656.17</v>
      </c>
      <c r="BO18" s="118" t="s">
        <v>21</v>
      </c>
      <c r="BP18">
        <f t="shared" si="14"/>
        <v>34425.81</v>
      </c>
      <c r="BQ18" s="118" t="s">
        <v>21</v>
      </c>
      <c r="BR18">
        <f t="shared" si="15"/>
        <v>33313</v>
      </c>
      <c r="BS18" s="118" t="s">
        <v>21</v>
      </c>
      <c r="BT18">
        <f t="shared" si="16"/>
        <v>63415.520000000019</v>
      </c>
      <c r="BW18" t="s">
        <v>21</v>
      </c>
      <c r="BX18">
        <v>34425.81</v>
      </c>
      <c r="BY18">
        <v>33313</v>
      </c>
      <c r="BZ18">
        <v>63415.520000000019</v>
      </c>
    </row>
    <row r="19" spans="1:78" ht="20.25" customHeight="1" outlineLevel="1" x14ac:dyDescent="0.25">
      <c r="A19" s="39">
        <v>14</v>
      </c>
      <c r="B19" s="26" t="s">
        <v>22</v>
      </c>
      <c r="C19" s="26" t="s">
        <v>23</v>
      </c>
      <c r="D19" s="28" t="s">
        <v>421</v>
      </c>
      <c r="E19" s="29" t="s">
        <v>422</v>
      </c>
      <c r="F19" s="27">
        <v>3041</v>
      </c>
      <c r="G19" s="128">
        <f t="shared" si="5"/>
        <v>3284.7</v>
      </c>
      <c r="H19" s="128">
        <f t="shared" si="17"/>
        <v>3184.1899999999996</v>
      </c>
      <c r="I19" s="128">
        <f t="shared" si="18"/>
        <v>3085.2499999999995</v>
      </c>
      <c r="J19" s="128">
        <f t="shared" si="19"/>
        <v>2986.04</v>
      </c>
      <c r="K19" s="128">
        <f t="shared" si="20"/>
        <v>2887.02</v>
      </c>
      <c r="L19" s="129">
        <v>1375</v>
      </c>
      <c r="M19" s="128">
        <v>0</v>
      </c>
      <c r="N19" s="36">
        <f t="shared" si="4"/>
        <v>19843.2</v>
      </c>
      <c r="Q19" t="e">
        <f t="shared" si="2"/>
        <v>#N/A</v>
      </c>
      <c r="R19" t="e">
        <f t="shared" si="3"/>
        <v>#N/A</v>
      </c>
      <c r="U19" s="8" t="s">
        <v>273</v>
      </c>
      <c r="V19" s="9" t="s">
        <v>304</v>
      </c>
      <c r="W19" s="8" t="s">
        <v>273</v>
      </c>
      <c r="X19" s="13" t="s">
        <v>305</v>
      </c>
      <c r="Z19" s="1" t="s">
        <v>26</v>
      </c>
      <c r="AA19" s="1" t="s">
        <v>27</v>
      </c>
      <c r="AB19" s="2">
        <v>7986.3499999999995</v>
      </c>
      <c r="AD19" s="1" t="s">
        <v>30</v>
      </c>
      <c r="AE19" s="1" t="s">
        <v>31</v>
      </c>
      <c r="AF19" s="2">
        <v>1746.4399999999998</v>
      </c>
      <c r="AH19" s="1" t="s">
        <v>32</v>
      </c>
      <c r="AI19" s="1" t="s">
        <v>33</v>
      </c>
      <c r="AJ19" s="2">
        <v>33476.879999999997</v>
      </c>
      <c r="AL19" s="1" t="s">
        <v>38</v>
      </c>
      <c r="AM19" s="1" t="s">
        <v>39</v>
      </c>
      <c r="AN19" s="2">
        <v>47377.22</v>
      </c>
      <c r="AP19" s="1" t="s">
        <v>42</v>
      </c>
      <c r="AQ19" s="1" t="s">
        <v>43</v>
      </c>
      <c r="AR19" s="2">
        <v>10946.92</v>
      </c>
      <c r="AS19" s="1" t="s">
        <v>43</v>
      </c>
      <c r="AT19" s="2">
        <v>20835.509999999995</v>
      </c>
      <c r="AV19" s="117" t="s">
        <v>22</v>
      </c>
      <c r="AW19" s="113">
        <v>862.89</v>
      </c>
      <c r="AX19">
        <f t="shared" si="7"/>
        <v>431.44499999999999</v>
      </c>
      <c r="AY19" s="115" t="b">
        <f t="shared" si="6"/>
        <v>1</v>
      </c>
      <c r="AZ19">
        <v>3383.3599999999997</v>
      </c>
      <c r="BA19">
        <v>3277.97</v>
      </c>
      <c r="BB19">
        <v>3157.3999999999996</v>
      </c>
      <c r="BC19">
        <v>3036.5499999999997</v>
      </c>
      <c r="BD19" t="s">
        <v>22</v>
      </c>
      <c r="BE19" s="118" t="str">
        <f t="shared" si="8"/>
        <v>P-79/2009</v>
      </c>
      <c r="BF19" s="125" t="str">
        <f t="shared" si="9"/>
        <v>ELFLA projekta "Līgatnes pamatskolas sporta zāles celtniecība" īstenošanai P-79/2009</v>
      </c>
      <c r="BG19" s="125" t="str">
        <f t="shared" si="10"/>
        <v>29.05.2009</v>
      </c>
      <c r="BH19" s="125">
        <f t="shared" si="11"/>
        <v>3041</v>
      </c>
      <c r="BI19">
        <f t="shared" si="12"/>
        <v>1520.5</v>
      </c>
      <c r="BJ19" s="136">
        <f t="shared" si="13"/>
        <v>4561.5</v>
      </c>
      <c r="BK19">
        <v>3383.3599999999997</v>
      </c>
      <c r="BL19">
        <v>3277.97</v>
      </c>
      <c r="BM19">
        <v>3157.3999999999996</v>
      </c>
      <c r="BN19">
        <v>3036.5499999999997</v>
      </c>
      <c r="BO19" s="118" t="s">
        <v>23</v>
      </c>
      <c r="BP19">
        <f t="shared" si="14"/>
        <v>2887.02</v>
      </c>
      <c r="BQ19" s="118" t="s">
        <v>23</v>
      </c>
      <c r="BR19">
        <f t="shared" si="15"/>
        <v>1375</v>
      </c>
      <c r="BS19" s="118" t="s">
        <v>23</v>
      </c>
      <c r="BT19">
        <f t="shared" si="16"/>
        <v>0</v>
      </c>
      <c r="BW19" t="s">
        <v>23</v>
      </c>
      <c r="BX19">
        <v>2887.02</v>
      </c>
      <c r="BY19">
        <v>1375</v>
      </c>
      <c r="BZ19">
        <v>0</v>
      </c>
    </row>
    <row r="20" spans="1:78" ht="20.25" customHeight="1" outlineLevel="1" x14ac:dyDescent="0.25">
      <c r="A20" s="39">
        <v>15</v>
      </c>
      <c r="B20" s="26" t="s">
        <v>24</v>
      </c>
      <c r="C20" s="26" t="s">
        <v>25</v>
      </c>
      <c r="D20" s="34" t="str">
        <f t="shared" ref="D20:D25" si="21">VLOOKUP($C20,$U:$X,2,0)</f>
        <v>Taurenes pagasta saieta nama vienkāšotā  rekonstrukcija</v>
      </c>
      <c r="E20" s="34" t="str">
        <f t="shared" ref="E20:E25" si="22">VLOOKUP($C20,$W:$X,2,0)</f>
        <v>24.09.2009</v>
      </c>
      <c r="F20" s="27">
        <v>9075</v>
      </c>
      <c r="G20" s="128">
        <f t="shared" si="5"/>
        <v>9362.8799999999992</v>
      </c>
      <c r="H20" s="128">
        <f t="shared" si="17"/>
        <v>8984.74</v>
      </c>
      <c r="I20" s="128">
        <f t="shared" si="18"/>
        <v>8612.7200000000012</v>
      </c>
      <c r="J20" s="128">
        <f t="shared" si="19"/>
        <v>8239.7000000000007</v>
      </c>
      <c r="K20" s="128">
        <f t="shared" si="20"/>
        <v>7867.67</v>
      </c>
      <c r="L20" s="129">
        <v>5659</v>
      </c>
      <c r="M20" s="128">
        <v>0</v>
      </c>
      <c r="N20" s="36">
        <f t="shared" si="4"/>
        <v>57801.709999999992</v>
      </c>
      <c r="Q20" t="str">
        <f t="shared" si="2"/>
        <v>Taurenes pagasta saieta nama vienkāšotā  rekonstrukcija</v>
      </c>
      <c r="R20" t="str">
        <f t="shared" si="3"/>
        <v>24.09.2009</v>
      </c>
      <c r="U20" s="8" t="s">
        <v>59</v>
      </c>
      <c r="V20" s="9" t="s">
        <v>306</v>
      </c>
      <c r="W20" s="8" t="s">
        <v>59</v>
      </c>
      <c r="X20" s="13" t="s">
        <v>303</v>
      </c>
      <c r="Z20" s="1" t="s">
        <v>28</v>
      </c>
      <c r="AA20" s="1" t="s">
        <v>29</v>
      </c>
      <c r="AB20" s="2">
        <v>59291.32</v>
      </c>
      <c r="AD20" s="1" t="s">
        <v>32</v>
      </c>
      <c r="AE20" s="1" t="s">
        <v>33</v>
      </c>
      <c r="AF20" s="2">
        <v>34524.810000000005</v>
      </c>
      <c r="AH20" s="1" t="s">
        <v>34</v>
      </c>
      <c r="AI20" s="1" t="s">
        <v>35</v>
      </c>
      <c r="AJ20" s="2">
        <v>15468.82</v>
      </c>
      <c r="AL20" s="1" t="s">
        <v>40</v>
      </c>
      <c r="AM20" s="1" t="s">
        <v>41</v>
      </c>
      <c r="AN20" s="2">
        <v>76767.98</v>
      </c>
      <c r="AP20" s="1" t="s">
        <v>44</v>
      </c>
      <c r="AQ20" s="1" t="s">
        <v>45</v>
      </c>
      <c r="AR20" s="2">
        <v>52499.630000000005</v>
      </c>
      <c r="AS20" s="1" t="s">
        <v>45</v>
      </c>
      <c r="AT20" s="2">
        <v>147583.15</v>
      </c>
      <c r="AV20" s="117" t="s">
        <v>24</v>
      </c>
      <c r="AW20" s="113">
        <v>2402.44</v>
      </c>
      <c r="AX20">
        <f t="shared" si="7"/>
        <v>1201.22</v>
      </c>
      <c r="AY20" s="115" t="b">
        <f t="shared" si="6"/>
        <v>1</v>
      </c>
      <c r="AZ20">
        <v>9362.880000000001</v>
      </c>
      <c r="BA20">
        <v>8984.74</v>
      </c>
      <c r="BB20">
        <v>8612.7199999999993</v>
      </c>
      <c r="BC20">
        <v>8239.7000000000007</v>
      </c>
      <c r="BD20" t="s">
        <v>24</v>
      </c>
      <c r="BE20" s="118" t="str">
        <f t="shared" si="8"/>
        <v>P-217/2009</v>
      </c>
      <c r="BF20" s="125" t="str">
        <f t="shared" si="9"/>
        <v>Taurenes pagasta saieta nama vienkāšotā  rekonstrukcija</v>
      </c>
      <c r="BG20" s="125" t="str">
        <f t="shared" si="10"/>
        <v>24.09.2009</v>
      </c>
      <c r="BH20" s="125">
        <f t="shared" si="11"/>
        <v>9075</v>
      </c>
      <c r="BI20">
        <f t="shared" si="12"/>
        <v>4537.5</v>
      </c>
      <c r="BJ20" s="136">
        <f t="shared" si="13"/>
        <v>13612.5</v>
      </c>
      <c r="BK20">
        <v>9362.880000000001</v>
      </c>
      <c r="BL20">
        <v>8984.74</v>
      </c>
      <c r="BM20">
        <v>8612.7199999999993</v>
      </c>
      <c r="BN20">
        <v>8239.7000000000007</v>
      </c>
      <c r="BO20" s="118" t="s">
        <v>25</v>
      </c>
      <c r="BP20">
        <f t="shared" si="14"/>
        <v>7867.67</v>
      </c>
      <c r="BQ20" s="118" t="s">
        <v>25</v>
      </c>
      <c r="BR20">
        <f t="shared" si="15"/>
        <v>5659</v>
      </c>
      <c r="BS20" s="118" t="s">
        <v>25</v>
      </c>
      <c r="BT20">
        <f t="shared" si="16"/>
        <v>0</v>
      </c>
      <c r="BW20" t="s">
        <v>25</v>
      </c>
      <c r="BX20">
        <v>7867.67</v>
      </c>
      <c r="BY20">
        <v>5659</v>
      </c>
      <c r="BZ20">
        <v>0</v>
      </c>
    </row>
    <row r="21" spans="1:78" ht="20.25" customHeight="1" outlineLevel="1" x14ac:dyDescent="0.25">
      <c r="A21" s="39">
        <v>16</v>
      </c>
      <c r="B21" s="26" t="s">
        <v>26</v>
      </c>
      <c r="C21" s="26" t="s">
        <v>27</v>
      </c>
      <c r="D21" s="34" t="str">
        <f t="shared" si="21"/>
        <v>Alternatīvās dienas aprūpes centrs "Rudiņi" vienkāšotā rekonstrukcija</v>
      </c>
      <c r="E21" s="34" t="str">
        <f t="shared" si="22"/>
        <v>01.10.2009</v>
      </c>
      <c r="F21" s="27">
        <v>7736</v>
      </c>
      <c r="G21" s="128">
        <f t="shared" si="5"/>
        <v>7986.3499999999995</v>
      </c>
      <c r="H21" s="128">
        <f t="shared" si="17"/>
        <v>7657.49</v>
      </c>
      <c r="I21" s="128">
        <f t="shared" si="18"/>
        <v>7334</v>
      </c>
      <c r="J21" s="128">
        <f t="shared" si="19"/>
        <v>7009.5599999999995</v>
      </c>
      <c r="K21" s="128">
        <f t="shared" si="20"/>
        <v>6686.03</v>
      </c>
      <c r="L21" s="129">
        <v>4805</v>
      </c>
      <c r="M21" s="128">
        <v>0</v>
      </c>
      <c r="N21" s="36">
        <f t="shared" si="4"/>
        <v>49214.429999999993</v>
      </c>
      <c r="Q21" t="str">
        <f t="shared" si="2"/>
        <v>Alternatīvās dienas aprūpes centrs "Rudiņi" vienkāšotā rekonstrukcija</v>
      </c>
      <c r="R21" t="str">
        <f t="shared" si="3"/>
        <v>01.10.2009</v>
      </c>
      <c r="U21" s="8" t="s">
        <v>57</v>
      </c>
      <c r="V21" s="9" t="s">
        <v>307</v>
      </c>
      <c r="W21" s="8" t="s">
        <v>57</v>
      </c>
      <c r="X21" s="13" t="s">
        <v>303</v>
      </c>
      <c r="Z21" s="1" t="s">
        <v>30</v>
      </c>
      <c r="AA21" s="1" t="s">
        <v>31</v>
      </c>
      <c r="AB21" s="2">
        <v>1820.71</v>
      </c>
      <c r="AD21" s="1" t="s">
        <v>34</v>
      </c>
      <c r="AE21" s="1" t="s">
        <v>35</v>
      </c>
      <c r="AF21" s="2">
        <v>15964.779999999999</v>
      </c>
      <c r="AH21" s="1" t="s">
        <v>38</v>
      </c>
      <c r="AI21" s="1" t="s">
        <v>39</v>
      </c>
      <c r="AJ21" s="2">
        <v>48888.079999999994</v>
      </c>
      <c r="AL21" s="1" t="s">
        <v>42</v>
      </c>
      <c r="AM21" s="1" t="s">
        <v>43</v>
      </c>
      <c r="AN21" s="2">
        <v>11302.26</v>
      </c>
      <c r="AP21" s="1" t="s">
        <v>48</v>
      </c>
      <c r="AQ21" s="1" t="s">
        <v>49</v>
      </c>
      <c r="AR21" s="2">
        <v>4397.9399999999996</v>
      </c>
      <c r="AS21" s="1" t="s">
        <v>49</v>
      </c>
      <c r="AT21" s="2">
        <v>10294.730000000003</v>
      </c>
      <c r="AV21" s="117" t="s">
        <v>26</v>
      </c>
      <c r="AW21" s="113">
        <v>2050.2600000000002</v>
      </c>
      <c r="AX21">
        <f t="shared" si="7"/>
        <v>1025.1300000000001</v>
      </c>
      <c r="AY21" s="115" t="b">
        <f t="shared" si="6"/>
        <v>1</v>
      </c>
      <c r="AZ21">
        <v>7986.35</v>
      </c>
      <c r="BA21">
        <v>7657.49</v>
      </c>
      <c r="BB21">
        <v>7334</v>
      </c>
      <c r="BC21">
        <v>7009.56</v>
      </c>
      <c r="BD21" t="s">
        <v>26</v>
      </c>
      <c r="BE21" s="118" t="str">
        <f t="shared" si="8"/>
        <v>P-216/2009</v>
      </c>
      <c r="BF21" s="125" t="str">
        <f t="shared" si="9"/>
        <v>Alternatīvās dienas aprūpes centrs "Rudiņi" vienkāšotā rekonstrukcija</v>
      </c>
      <c r="BG21" s="125" t="str">
        <f t="shared" si="10"/>
        <v>01.10.2009</v>
      </c>
      <c r="BH21" s="125">
        <f t="shared" si="11"/>
        <v>7736</v>
      </c>
      <c r="BI21">
        <f t="shared" si="12"/>
        <v>3868</v>
      </c>
      <c r="BJ21" s="136">
        <f t="shared" si="13"/>
        <v>11604</v>
      </c>
      <c r="BK21">
        <v>7986.35</v>
      </c>
      <c r="BL21">
        <v>7657.49</v>
      </c>
      <c r="BM21">
        <v>7334</v>
      </c>
      <c r="BN21">
        <v>7009.56</v>
      </c>
      <c r="BO21" s="118" t="s">
        <v>27</v>
      </c>
      <c r="BP21">
        <f t="shared" si="14"/>
        <v>6686.03</v>
      </c>
      <c r="BQ21" s="118" t="s">
        <v>27</v>
      </c>
      <c r="BR21">
        <f t="shared" si="15"/>
        <v>4805</v>
      </c>
      <c r="BS21" s="118" t="s">
        <v>27</v>
      </c>
      <c r="BT21">
        <f t="shared" si="16"/>
        <v>0</v>
      </c>
      <c r="BW21" t="s">
        <v>27</v>
      </c>
      <c r="BX21">
        <v>6686.03</v>
      </c>
      <c r="BY21">
        <v>4805</v>
      </c>
      <c r="BZ21">
        <v>0</v>
      </c>
    </row>
    <row r="22" spans="1:78" ht="20.25" customHeight="1" outlineLevel="1" x14ac:dyDescent="0.25">
      <c r="A22" s="39">
        <v>17</v>
      </c>
      <c r="B22" s="26" t="s">
        <v>28</v>
      </c>
      <c r="C22" s="26" t="s">
        <v>29</v>
      </c>
      <c r="D22" s="34" t="str">
        <f t="shared" si="21"/>
        <v>P-366/2009 Valsts budžeta līdzfinans.   inv.pr."Jaunas pirmsskolas izglīt.iest.būvniecība Cēsīs"</v>
      </c>
      <c r="E22" s="34" t="str">
        <f t="shared" si="22"/>
        <v>10.12.2009</v>
      </c>
      <c r="F22" s="27">
        <v>53241</v>
      </c>
      <c r="G22" s="128">
        <f t="shared" si="5"/>
        <v>59291.32</v>
      </c>
      <c r="H22" s="128">
        <f t="shared" si="17"/>
        <v>57593.86</v>
      </c>
      <c r="I22" s="128">
        <f t="shared" si="18"/>
        <v>55933.97</v>
      </c>
      <c r="J22" s="128">
        <f t="shared" si="19"/>
        <v>54269.52</v>
      </c>
      <c r="K22" s="128">
        <f t="shared" si="20"/>
        <v>52619.86</v>
      </c>
      <c r="L22" s="129">
        <f t="shared" ref="L22:L81" si="23">K22*0.9677</f>
        <v>50920.238522</v>
      </c>
      <c r="M22" s="128">
        <f>VLOOKUP($C22,$AS:$AT,2,0)-50920</f>
        <v>96924.840000000026</v>
      </c>
      <c r="N22" s="36">
        <f t="shared" si="4"/>
        <v>480794.60852199997</v>
      </c>
      <c r="Q22" t="str">
        <f t="shared" si="2"/>
        <v>P-366/2009 Valsts budžeta līdzfinans.   inv.pr."Jaunas pirmsskolas izglīt.iest.būvniecība Cēsīs"</v>
      </c>
      <c r="R22" t="str">
        <f t="shared" si="3"/>
        <v>10.12.2009</v>
      </c>
      <c r="U22" s="8" t="s">
        <v>9</v>
      </c>
      <c r="V22" s="9" t="s">
        <v>308</v>
      </c>
      <c r="W22" s="8" t="s">
        <v>9</v>
      </c>
      <c r="X22" s="13" t="s">
        <v>309</v>
      </c>
      <c r="Z22" s="1" t="s">
        <v>32</v>
      </c>
      <c r="AA22" s="1" t="s">
        <v>33</v>
      </c>
      <c r="AB22" s="2">
        <v>35591.51</v>
      </c>
      <c r="AD22" s="1" t="s">
        <v>36</v>
      </c>
      <c r="AE22" s="1" t="s">
        <v>37</v>
      </c>
      <c r="AF22" s="2">
        <v>20364.940000000006</v>
      </c>
      <c r="AH22" s="1" t="s">
        <v>40</v>
      </c>
      <c r="AI22" s="1" t="s">
        <v>41</v>
      </c>
      <c r="AJ22" s="2">
        <v>79317.710000000006</v>
      </c>
      <c r="AL22" s="1" t="s">
        <v>44</v>
      </c>
      <c r="AM22" s="1" t="s">
        <v>45</v>
      </c>
      <c r="AN22" s="2">
        <v>54145.380000000005</v>
      </c>
      <c r="AP22" s="1" t="s">
        <v>56</v>
      </c>
      <c r="AQ22" s="1" t="s">
        <v>57</v>
      </c>
      <c r="AR22" s="2">
        <v>34806.25</v>
      </c>
      <c r="AS22" s="1" t="s">
        <v>57</v>
      </c>
      <c r="AT22" s="2">
        <v>158495.43999999997</v>
      </c>
      <c r="AV22" s="117" t="s">
        <v>28</v>
      </c>
      <c r="AW22" s="113">
        <v>15922.460000000001</v>
      </c>
      <c r="AX22">
        <f t="shared" si="7"/>
        <v>7961.2300000000005</v>
      </c>
      <c r="AY22" s="115" t="b">
        <f t="shared" si="6"/>
        <v>1</v>
      </c>
      <c r="AZ22">
        <v>62269.99</v>
      </c>
      <c r="BA22">
        <v>60078.63</v>
      </c>
      <c r="BB22">
        <v>58056.37</v>
      </c>
      <c r="BC22">
        <v>56028.539999999994</v>
      </c>
      <c r="BD22" t="s">
        <v>28</v>
      </c>
      <c r="BE22" s="118" t="str">
        <f t="shared" si="8"/>
        <v>P-366/2009</v>
      </c>
      <c r="BF22" s="125" t="str">
        <f t="shared" si="9"/>
        <v>P-366/2009 Valsts budžeta līdzfinans.   inv.pr."Jaunas pirmsskolas izglīt.iest.būvniecība Cēsīs"</v>
      </c>
      <c r="BG22" s="125" t="str">
        <f t="shared" si="10"/>
        <v>10.12.2009</v>
      </c>
      <c r="BH22" s="125">
        <f t="shared" si="11"/>
        <v>53241</v>
      </c>
      <c r="BI22">
        <f t="shared" si="12"/>
        <v>26620.5</v>
      </c>
      <c r="BJ22" s="136">
        <f t="shared" si="13"/>
        <v>79861.5</v>
      </c>
      <c r="BK22">
        <v>62269.99</v>
      </c>
      <c r="BL22">
        <v>60078.63</v>
      </c>
      <c r="BM22">
        <v>58056.37</v>
      </c>
      <c r="BN22">
        <v>56028.539999999994</v>
      </c>
      <c r="BO22" s="118" t="s">
        <v>29</v>
      </c>
      <c r="BP22">
        <f t="shared" si="14"/>
        <v>52619.86</v>
      </c>
      <c r="BQ22" s="118" t="s">
        <v>29</v>
      </c>
      <c r="BR22">
        <f t="shared" si="15"/>
        <v>50920.238522</v>
      </c>
      <c r="BS22" s="118" t="s">
        <v>29</v>
      </c>
      <c r="BT22">
        <f t="shared" si="16"/>
        <v>96924.840000000026</v>
      </c>
      <c r="BW22" t="s">
        <v>29</v>
      </c>
      <c r="BX22">
        <v>52619.86</v>
      </c>
      <c r="BY22">
        <v>50920.238522</v>
      </c>
      <c r="BZ22">
        <v>96924.840000000026</v>
      </c>
    </row>
    <row r="23" spans="1:78" ht="20.25" customHeight="1" outlineLevel="1" x14ac:dyDescent="0.25">
      <c r="A23" s="39">
        <v>18</v>
      </c>
      <c r="B23" s="26" t="s">
        <v>30</v>
      </c>
      <c r="C23" s="26" t="s">
        <v>31</v>
      </c>
      <c r="D23" s="34" t="str">
        <f t="shared" si="21"/>
        <v>Vecpiebalgas pagasta sporta zāles vienkāšotā rekonstrukcija</v>
      </c>
      <c r="E23" s="34" t="str">
        <f t="shared" si="22"/>
        <v>21.12.2009</v>
      </c>
      <c r="F23" s="27">
        <v>1760</v>
      </c>
      <c r="G23" s="128">
        <f t="shared" si="5"/>
        <v>1820.71</v>
      </c>
      <c r="H23" s="128">
        <f t="shared" si="17"/>
        <v>1746.4399999999998</v>
      </c>
      <c r="I23" s="128">
        <f t="shared" si="18"/>
        <v>1673.43</v>
      </c>
      <c r="J23" s="128">
        <f t="shared" si="19"/>
        <v>1600.22</v>
      </c>
      <c r="K23" s="128">
        <f t="shared" si="20"/>
        <v>1527.24</v>
      </c>
      <c r="L23" s="129">
        <v>1458</v>
      </c>
      <c r="M23" s="128">
        <v>0</v>
      </c>
      <c r="N23" s="36">
        <f t="shared" si="4"/>
        <v>11586.039999999999</v>
      </c>
      <c r="Q23" t="str">
        <f t="shared" si="2"/>
        <v>Vecpiebalgas pagasta sporta zāles vienkāšotā rekonstrukcija</v>
      </c>
      <c r="R23" t="str">
        <f t="shared" si="3"/>
        <v>21.12.2009</v>
      </c>
      <c r="U23" s="8" t="s">
        <v>51</v>
      </c>
      <c r="V23" s="9" t="s">
        <v>310</v>
      </c>
      <c r="W23" s="8" t="s">
        <v>51</v>
      </c>
      <c r="X23" s="13" t="s">
        <v>311</v>
      </c>
      <c r="Z23" s="1" t="s">
        <v>34</v>
      </c>
      <c r="AA23" s="1" t="s">
        <v>35</v>
      </c>
      <c r="AB23" s="2">
        <v>16468.55</v>
      </c>
      <c r="AD23" s="1" t="s">
        <v>38</v>
      </c>
      <c r="AE23" s="1" t="s">
        <v>39</v>
      </c>
      <c r="AF23" s="2">
        <v>50394.82</v>
      </c>
      <c r="AH23" s="1" t="s">
        <v>42</v>
      </c>
      <c r="AI23" s="1" t="s">
        <v>43</v>
      </c>
      <c r="AJ23" s="2">
        <v>11659.859999999999</v>
      </c>
      <c r="AL23" s="1" t="s">
        <v>48</v>
      </c>
      <c r="AM23" s="1" t="s">
        <v>49</v>
      </c>
      <c r="AN23" s="2">
        <v>4538.3099999999995</v>
      </c>
      <c r="AP23" s="1" t="s">
        <v>58</v>
      </c>
      <c r="AQ23" s="1" t="s">
        <v>59</v>
      </c>
      <c r="AR23" s="2">
        <v>118075.26</v>
      </c>
      <c r="AS23" s="1" t="s">
        <v>59</v>
      </c>
      <c r="AT23" s="2">
        <v>251821.99000000005</v>
      </c>
      <c r="AV23" s="117" t="s">
        <v>30</v>
      </c>
      <c r="AW23" s="113">
        <v>467.32</v>
      </c>
      <c r="AX23">
        <f t="shared" si="7"/>
        <v>233.66</v>
      </c>
      <c r="AY23" s="115" t="b">
        <f t="shared" si="6"/>
        <v>1</v>
      </c>
      <c r="AZ23">
        <v>1820.71</v>
      </c>
      <c r="BA23">
        <v>1746.4399999999998</v>
      </c>
      <c r="BB23">
        <v>1673.43</v>
      </c>
      <c r="BC23">
        <v>1600.2200000000003</v>
      </c>
      <c r="BD23" t="s">
        <v>30</v>
      </c>
      <c r="BE23" s="118" t="str">
        <f t="shared" si="8"/>
        <v>P-392/2009</v>
      </c>
      <c r="BF23" s="125" t="str">
        <f t="shared" si="9"/>
        <v>Vecpiebalgas pagasta sporta zāles vienkāšotā rekonstrukcija</v>
      </c>
      <c r="BG23" s="125" t="str">
        <f t="shared" si="10"/>
        <v>21.12.2009</v>
      </c>
      <c r="BH23" s="125">
        <f t="shared" si="11"/>
        <v>1760</v>
      </c>
      <c r="BI23">
        <f t="shared" si="12"/>
        <v>880</v>
      </c>
      <c r="BJ23" s="136">
        <f t="shared" si="13"/>
        <v>2640</v>
      </c>
      <c r="BK23">
        <v>1820.71</v>
      </c>
      <c r="BL23">
        <v>1746.4399999999998</v>
      </c>
      <c r="BM23">
        <v>1673.43</v>
      </c>
      <c r="BN23">
        <v>1600.2200000000003</v>
      </c>
      <c r="BO23" s="118" t="s">
        <v>31</v>
      </c>
      <c r="BP23">
        <f t="shared" si="14"/>
        <v>1527.24</v>
      </c>
      <c r="BQ23" s="118" t="s">
        <v>31</v>
      </c>
      <c r="BR23">
        <f t="shared" si="15"/>
        <v>1458</v>
      </c>
      <c r="BS23" s="118" t="s">
        <v>31</v>
      </c>
      <c r="BT23">
        <f t="shared" si="16"/>
        <v>0</v>
      </c>
      <c r="BW23" t="s">
        <v>31</v>
      </c>
      <c r="BX23">
        <v>1527.24</v>
      </c>
      <c r="BY23">
        <v>1458</v>
      </c>
      <c r="BZ23">
        <v>0</v>
      </c>
    </row>
    <row r="24" spans="1:78" ht="20.25" customHeight="1" outlineLevel="1" x14ac:dyDescent="0.25">
      <c r="A24" s="39">
        <v>19</v>
      </c>
      <c r="B24" s="26" t="s">
        <v>32</v>
      </c>
      <c r="C24" s="26" t="s">
        <v>33</v>
      </c>
      <c r="D24" s="34" t="str">
        <f t="shared" si="21"/>
        <v>ELFLA projekta "Līgatnes pamatskolas sporta zāles celtniecība" īstenošanai P-3/2010</v>
      </c>
      <c r="E24" s="34" t="str">
        <f t="shared" si="22"/>
        <v>12.02.2010</v>
      </c>
      <c r="F24" s="27">
        <v>33481</v>
      </c>
      <c r="G24" s="128">
        <f t="shared" si="5"/>
        <v>35591.51</v>
      </c>
      <c r="H24" s="128">
        <f t="shared" si="17"/>
        <v>34524.810000000005</v>
      </c>
      <c r="I24" s="128">
        <f t="shared" si="18"/>
        <v>33476.879999999997</v>
      </c>
      <c r="J24" s="128">
        <f t="shared" si="19"/>
        <v>32426.01</v>
      </c>
      <c r="K24" s="128">
        <f t="shared" si="20"/>
        <v>31379.47</v>
      </c>
      <c r="L24" s="129">
        <f t="shared" si="23"/>
        <v>30365.913119000001</v>
      </c>
      <c r="M24" s="128">
        <f>VLOOKUP($C24,$AS:$AT,2,0)-30366</f>
        <v>7358.1699999999983</v>
      </c>
      <c r="N24" s="36">
        <f t="shared" si="4"/>
        <v>238603.76311900001</v>
      </c>
      <c r="Q24" t="str">
        <f t="shared" si="2"/>
        <v>ELFLA projekta "Līgatnes pamatskolas sporta zāles celtniecība" īstenošanai P-3/2010</v>
      </c>
      <c r="R24" t="str">
        <f t="shared" si="3"/>
        <v>12.02.2010</v>
      </c>
      <c r="U24" s="8" t="s">
        <v>41</v>
      </c>
      <c r="V24" s="9" t="s">
        <v>312</v>
      </c>
      <c r="W24" s="8" t="s">
        <v>41</v>
      </c>
      <c r="X24" s="13" t="s">
        <v>313</v>
      </c>
      <c r="Z24" s="1" t="s">
        <v>36</v>
      </c>
      <c r="AA24" s="1" t="s">
        <v>37</v>
      </c>
      <c r="AB24" s="2">
        <v>41783.120000000003</v>
      </c>
      <c r="AD24" s="1" t="s">
        <v>40</v>
      </c>
      <c r="AE24" s="1" t="s">
        <v>41</v>
      </c>
      <c r="AF24" s="2">
        <v>81860.44</v>
      </c>
      <c r="AH24" s="1" t="s">
        <v>44</v>
      </c>
      <c r="AI24" s="1" t="s">
        <v>45</v>
      </c>
      <c r="AJ24" s="2">
        <v>55805.97</v>
      </c>
      <c r="AL24" s="1" t="s">
        <v>54</v>
      </c>
      <c r="AM24" s="1" t="s">
        <v>55</v>
      </c>
      <c r="AN24" s="2">
        <v>7772.16</v>
      </c>
      <c r="AP24" s="1" t="s">
        <v>60</v>
      </c>
      <c r="AQ24" s="1" t="s">
        <v>61</v>
      </c>
      <c r="AR24" s="2">
        <v>60646.950000000004</v>
      </c>
      <c r="AS24" s="1" t="s">
        <v>61</v>
      </c>
      <c r="AT24" s="2">
        <v>276164.94</v>
      </c>
      <c r="AV24" s="117" t="s">
        <v>32</v>
      </c>
      <c r="AW24" s="113">
        <v>9412.14</v>
      </c>
      <c r="AX24">
        <f t="shared" si="7"/>
        <v>4706.07</v>
      </c>
      <c r="AY24" s="115" t="b">
        <f t="shared" si="6"/>
        <v>1</v>
      </c>
      <c r="AZ24">
        <v>36910.92</v>
      </c>
      <c r="BA24">
        <v>35692.51</v>
      </c>
      <c r="BB24">
        <v>34415.78</v>
      </c>
      <c r="BC24">
        <v>33135.51</v>
      </c>
      <c r="BD24" t="s">
        <v>32</v>
      </c>
      <c r="BE24" s="118" t="str">
        <f t="shared" si="8"/>
        <v>P-3/2010</v>
      </c>
      <c r="BF24" s="125" t="str">
        <f t="shared" si="9"/>
        <v>ELFLA projekta "Līgatnes pamatskolas sporta zāles celtniecība" īstenošanai P-3/2010</v>
      </c>
      <c r="BG24" s="125" t="str">
        <f t="shared" si="10"/>
        <v>12.02.2010</v>
      </c>
      <c r="BH24" s="125">
        <f t="shared" si="11"/>
        <v>33481</v>
      </c>
      <c r="BI24">
        <f t="shared" si="12"/>
        <v>16740.5</v>
      </c>
      <c r="BJ24" s="136">
        <f t="shared" si="13"/>
        <v>50221.5</v>
      </c>
      <c r="BK24">
        <v>36910.92</v>
      </c>
      <c r="BL24">
        <v>35692.51</v>
      </c>
      <c r="BM24">
        <v>34415.78</v>
      </c>
      <c r="BN24">
        <v>33135.51</v>
      </c>
      <c r="BO24" s="118" t="s">
        <v>33</v>
      </c>
      <c r="BP24">
        <f t="shared" si="14"/>
        <v>31379.47</v>
      </c>
      <c r="BQ24" s="118" t="s">
        <v>33</v>
      </c>
      <c r="BR24">
        <f t="shared" si="15"/>
        <v>30365.913119000001</v>
      </c>
      <c r="BS24" s="118" t="s">
        <v>33</v>
      </c>
      <c r="BT24">
        <f t="shared" si="16"/>
        <v>7358.1699999999983</v>
      </c>
      <c r="BW24" t="s">
        <v>33</v>
      </c>
      <c r="BX24">
        <v>31379.47</v>
      </c>
      <c r="BY24">
        <v>30365.913119000001</v>
      </c>
      <c r="BZ24">
        <v>7358.1699999999983</v>
      </c>
    </row>
    <row r="25" spans="1:78" ht="20.25" customHeight="1" outlineLevel="1" x14ac:dyDescent="0.25">
      <c r="A25" s="39">
        <v>20</v>
      </c>
      <c r="B25" s="26" t="s">
        <v>34</v>
      </c>
      <c r="C25" s="26" t="s">
        <v>35</v>
      </c>
      <c r="D25" s="34" t="str">
        <f t="shared" si="21"/>
        <v>P-50/2010-ERAf pr."Cēsu pils.PII renovācija"</v>
      </c>
      <c r="E25" s="34" t="str">
        <f t="shared" si="22"/>
        <v>01.04.2010</v>
      </c>
      <c r="F25" s="27">
        <v>15505</v>
      </c>
      <c r="G25" s="128">
        <f t="shared" si="5"/>
        <v>16468.55</v>
      </c>
      <c r="H25" s="128">
        <f t="shared" si="17"/>
        <v>15964.779999999999</v>
      </c>
      <c r="I25" s="128">
        <f t="shared" si="18"/>
        <v>15468.82</v>
      </c>
      <c r="J25" s="128">
        <f t="shared" si="19"/>
        <v>14971.499999999998</v>
      </c>
      <c r="K25" s="128">
        <f t="shared" si="20"/>
        <v>14475.199999999999</v>
      </c>
      <c r="L25" s="129">
        <v>7024</v>
      </c>
      <c r="M25" s="128">
        <v>0</v>
      </c>
      <c r="N25" s="36">
        <f t="shared" si="4"/>
        <v>99877.849999999991</v>
      </c>
      <c r="Q25" t="str">
        <f t="shared" si="2"/>
        <v>P-50/2010-ERAf pr."Cēsu pils.PII renovācija"</v>
      </c>
      <c r="R25" t="str">
        <f t="shared" si="3"/>
        <v>01.04.2010</v>
      </c>
      <c r="U25" s="8" t="s">
        <v>35</v>
      </c>
      <c r="V25" s="9" t="s">
        <v>314</v>
      </c>
      <c r="W25" s="8" t="s">
        <v>35</v>
      </c>
      <c r="X25" s="13" t="s">
        <v>315</v>
      </c>
      <c r="Z25" s="1" t="s">
        <v>38</v>
      </c>
      <c r="AA25" s="1" t="s">
        <v>39</v>
      </c>
      <c r="AB25" s="2">
        <v>51930.51</v>
      </c>
      <c r="AD25" s="1" t="s">
        <v>42</v>
      </c>
      <c r="AE25" s="1" t="s">
        <v>43</v>
      </c>
      <c r="AF25" s="2">
        <v>12016.46</v>
      </c>
      <c r="AH25" s="1" t="s">
        <v>46</v>
      </c>
      <c r="AI25" s="1" t="s">
        <v>47</v>
      </c>
      <c r="AJ25" s="2">
        <v>8672.5499999999993</v>
      </c>
      <c r="AL25" s="1" t="s">
        <v>56</v>
      </c>
      <c r="AM25" s="1" t="s">
        <v>57</v>
      </c>
      <c r="AN25" s="2">
        <v>35826.649999999994</v>
      </c>
      <c r="AP25" s="1" t="s">
        <v>62</v>
      </c>
      <c r="AQ25" s="1" t="s">
        <v>63</v>
      </c>
      <c r="AR25" s="2">
        <v>27655.1</v>
      </c>
      <c r="AS25" s="1" t="s">
        <v>63</v>
      </c>
      <c r="AT25" s="2">
        <v>102153.98000000001</v>
      </c>
      <c r="AV25" s="117" t="s">
        <v>34</v>
      </c>
      <c r="AW25" s="113">
        <v>4289.99</v>
      </c>
      <c r="AX25">
        <f t="shared" si="7"/>
        <v>2144.9949999999999</v>
      </c>
      <c r="AY25" s="115" t="b">
        <f t="shared" si="6"/>
        <v>1</v>
      </c>
      <c r="AZ25">
        <v>16918.7</v>
      </c>
      <c r="BA25">
        <v>16435.73</v>
      </c>
      <c r="BB25">
        <v>15831.489999999998</v>
      </c>
      <c r="BC25">
        <v>15225.61</v>
      </c>
      <c r="BD25" t="s">
        <v>34</v>
      </c>
      <c r="BE25" s="118" t="str">
        <f t="shared" si="8"/>
        <v>P-50/2010</v>
      </c>
      <c r="BF25" s="125" t="str">
        <f t="shared" si="9"/>
        <v>P-50/2010-ERAf pr."Cēsu pils.PII renovācija"</v>
      </c>
      <c r="BG25" s="125" t="str">
        <f t="shared" si="10"/>
        <v>01.04.2010</v>
      </c>
      <c r="BH25" s="125">
        <f t="shared" si="11"/>
        <v>15505</v>
      </c>
      <c r="BI25">
        <f t="shared" si="12"/>
        <v>7752.5</v>
      </c>
      <c r="BJ25" s="136">
        <f t="shared" si="13"/>
        <v>23257.5</v>
      </c>
      <c r="BK25">
        <v>16918.7</v>
      </c>
      <c r="BL25">
        <v>16435.73</v>
      </c>
      <c r="BM25">
        <v>15831.489999999998</v>
      </c>
      <c r="BN25">
        <v>15225.61</v>
      </c>
      <c r="BO25" s="118" t="s">
        <v>35</v>
      </c>
      <c r="BP25">
        <f t="shared" si="14"/>
        <v>14475.199999999999</v>
      </c>
      <c r="BQ25" s="118" t="s">
        <v>35</v>
      </c>
      <c r="BR25">
        <f t="shared" si="15"/>
        <v>7024</v>
      </c>
      <c r="BS25" s="118" t="s">
        <v>35</v>
      </c>
      <c r="BT25">
        <f t="shared" si="16"/>
        <v>0</v>
      </c>
      <c r="BW25" t="s">
        <v>35</v>
      </c>
      <c r="BX25">
        <v>14475.199999999999</v>
      </c>
      <c r="BY25">
        <v>7024</v>
      </c>
      <c r="BZ25">
        <v>0</v>
      </c>
    </row>
    <row r="26" spans="1:78" ht="20.25" customHeight="1" outlineLevel="1" x14ac:dyDescent="0.25">
      <c r="A26" s="39">
        <v>21</v>
      </c>
      <c r="B26" s="26" t="s">
        <v>36</v>
      </c>
      <c r="C26" s="26" t="s">
        <v>37</v>
      </c>
      <c r="D26" s="28" t="s">
        <v>425</v>
      </c>
      <c r="E26" s="29" t="s">
        <v>426</v>
      </c>
      <c r="F26" s="27">
        <v>41249</v>
      </c>
      <c r="G26" s="128">
        <f t="shared" si="5"/>
        <v>41783.120000000003</v>
      </c>
      <c r="H26" s="128">
        <f t="shared" si="17"/>
        <v>20364.940000000006</v>
      </c>
      <c r="I26" s="128">
        <v>0</v>
      </c>
      <c r="J26" s="128">
        <v>0</v>
      </c>
      <c r="K26" s="128">
        <v>0</v>
      </c>
      <c r="L26" s="129">
        <f t="shared" si="23"/>
        <v>0</v>
      </c>
      <c r="M26" s="128">
        <v>0</v>
      </c>
      <c r="N26" s="36">
        <f t="shared" si="4"/>
        <v>103397.06</v>
      </c>
      <c r="Q26" t="e">
        <f t="shared" si="2"/>
        <v>#N/A</v>
      </c>
      <c r="R26" t="e">
        <f t="shared" si="3"/>
        <v>#N/A</v>
      </c>
      <c r="U26" s="8" t="s">
        <v>43</v>
      </c>
      <c r="V26" s="9" t="s">
        <v>316</v>
      </c>
      <c r="W26" s="8" t="s">
        <v>43</v>
      </c>
      <c r="X26" s="13" t="s">
        <v>317</v>
      </c>
      <c r="Z26" s="1" t="s">
        <v>40</v>
      </c>
      <c r="AA26" s="1" t="s">
        <v>41</v>
      </c>
      <c r="AB26" s="2">
        <v>84314.010000000009</v>
      </c>
      <c r="AD26" s="1" t="s">
        <v>44</v>
      </c>
      <c r="AE26" s="1" t="s">
        <v>45</v>
      </c>
      <c r="AF26" s="2">
        <v>57461.95</v>
      </c>
      <c r="AH26" s="1" t="s">
        <v>48</v>
      </c>
      <c r="AI26" s="1" t="s">
        <v>49</v>
      </c>
      <c r="AJ26" s="2">
        <v>4679.76</v>
      </c>
      <c r="AL26" s="1" t="s">
        <v>58</v>
      </c>
      <c r="AM26" s="1" t="s">
        <v>59</v>
      </c>
      <c r="AN26" s="2">
        <v>121874.75</v>
      </c>
      <c r="AP26" s="1" t="s">
        <v>66</v>
      </c>
      <c r="AQ26" s="1" t="s">
        <v>67</v>
      </c>
      <c r="AR26" s="2">
        <v>31071.800000000003</v>
      </c>
      <c r="AS26" s="1" t="s">
        <v>67</v>
      </c>
      <c r="AT26" s="2">
        <v>7657.2200000000012</v>
      </c>
      <c r="AV26" s="117" t="s">
        <v>36</v>
      </c>
      <c r="AW26" s="113">
        <v>10806.869999999999</v>
      </c>
      <c r="AX26">
        <f t="shared" si="7"/>
        <v>5403.4349999999995</v>
      </c>
      <c r="AY26" s="115" t="b">
        <f t="shared" si="6"/>
        <v>1</v>
      </c>
      <c r="AZ26">
        <v>42224.58</v>
      </c>
      <c r="BA26">
        <v>20467.950000000004</v>
      </c>
      <c r="BB26">
        <v>0</v>
      </c>
      <c r="BC26">
        <v>0</v>
      </c>
      <c r="BD26" t="s">
        <v>36</v>
      </c>
      <c r="BE26" s="118" t="str">
        <f t="shared" si="8"/>
        <v>P-212/2010</v>
      </c>
      <c r="BF26" s="125" t="str">
        <f t="shared" si="9"/>
        <v>Kohēzijas fonda projekta "Ūdenssaimniecības pakalpojumu attīstība Līgatnē" īstenošanai P-212/2010</v>
      </c>
      <c r="BG26" s="125" t="str">
        <f t="shared" si="10"/>
        <v>12.07.2010</v>
      </c>
      <c r="BH26" s="125">
        <f t="shared" si="11"/>
        <v>41249</v>
      </c>
      <c r="BI26">
        <f t="shared" si="12"/>
        <v>20624.5</v>
      </c>
      <c r="BJ26" s="136">
        <f t="shared" si="13"/>
        <v>61873.5</v>
      </c>
      <c r="BK26">
        <v>42224.58</v>
      </c>
      <c r="BL26">
        <v>20467.950000000004</v>
      </c>
      <c r="BM26">
        <v>0</v>
      </c>
      <c r="BN26">
        <v>0</v>
      </c>
      <c r="BO26" s="118" t="s">
        <v>37</v>
      </c>
      <c r="BP26">
        <f t="shared" si="14"/>
        <v>0</v>
      </c>
      <c r="BQ26" s="118" t="s">
        <v>37</v>
      </c>
      <c r="BR26">
        <f t="shared" si="15"/>
        <v>0</v>
      </c>
      <c r="BS26" s="118" t="s">
        <v>37</v>
      </c>
      <c r="BT26">
        <f t="shared" si="16"/>
        <v>0</v>
      </c>
      <c r="BW26" t="s">
        <v>37</v>
      </c>
      <c r="BX26">
        <v>0</v>
      </c>
      <c r="BY26">
        <v>0</v>
      </c>
      <c r="BZ26">
        <v>0</v>
      </c>
    </row>
    <row r="27" spans="1:78" ht="20.25" customHeight="1" outlineLevel="1" x14ac:dyDescent="0.25">
      <c r="A27" s="39">
        <v>22</v>
      </c>
      <c r="B27" s="26" t="s">
        <v>38</v>
      </c>
      <c r="C27" s="26" t="s">
        <v>39</v>
      </c>
      <c r="D27" s="28" t="s">
        <v>423</v>
      </c>
      <c r="E27" s="29" t="s">
        <v>424</v>
      </c>
      <c r="F27" s="27">
        <v>46386</v>
      </c>
      <c r="G27" s="128">
        <f t="shared" si="5"/>
        <v>51930.51</v>
      </c>
      <c r="H27" s="128">
        <f t="shared" si="17"/>
        <v>50394.82</v>
      </c>
      <c r="I27" s="128">
        <f t="shared" ref="I27:I33" si="24">VLOOKUP($C27,$AI:$AJ,2,0)</f>
        <v>48888.079999999994</v>
      </c>
      <c r="J27" s="128">
        <f>VLOOKUP($C27,$AM:$AN,2,0)</f>
        <v>47377.22</v>
      </c>
      <c r="K27" s="128">
        <f>VLOOKUP($C27,$AQ:$AR,2,0)</f>
        <v>45874.619999999995</v>
      </c>
      <c r="L27" s="129">
        <f t="shared" si="23"/>
        <v>44392.869773999999</v>
      </c>
      <c r="M27" s="128">
        <f>VLOOKUP($C27,$AS:$AT,2,0)-44393</f>
        <v>32254.900000000009</v>
      </c>
      <c r="N27" s="36">
        <f t="shared" si="4"/>
        <v>367499.01977400004</v>
      </c>
      <c r="Q27" t="e">
        <f t="shared" si="2"/>
        <v>#N/A</v>
      </c>
      <c r="R27" t="e">
        <f t="shared" si="3"/>
        <v>#N/A</v>
      </c>
      <c r="U27" s="8" t="s">
        <v>274</v>
      </c>
      <c r="V27" s="9" t="s">
        <v>318</v>
      </c>
      <c r="W27" s="8" t="s">
        <v>274</v>
      </c>
      <c r="X27" s="13" t="s">
        <v>319</v>
      </c>
      <c r="Z27" s="1" t="s">
        <v>42</v>
      </c>
      <c r="AA27" s="1" t="s">
        <v>43</v>
      </c>
      <c r="AB27" s="2">
        <v>12380.2</v>
      </c>
      <c r="AD27" s="1" t="s">
        <v>46</v>
      </c>
      <c r="AE27" s="1" t="s">
        <v>47</v>
      </c>
      <c r="AF27" s="2">
        <v>17757.150000000001</v>
      </c>
      <c r="AH27" s="1" t="s">
        <v>50</v>
      </c>
      <c r="AI27" s="1" t="s">
        <v>51</v>
      </c>
      <c r="AJ27" s="2">
        <v>7607.45</v>
      </c>
      <c r="AL27" s="1" t="s">
        <v>60</v>
      </c>
      <c r="AM27" s="1" t="s">
        <v>61</v>
      </c>
      <c r="AN27" s="2">
        <v>62424.92</v>
      </c>
      <c r="AP27" s="1" t="s">
        <v>68</v>
      </c>
      <c r="AQ27" s="1" t="s">
        <v>69</v>
      </c>
      <c r="AR27" s="2">
        <v>11878.01</v>
      </c>
      <c r="AS27" s="1" t="s">
        <v>69</v>
      </c>
      <c r="AT27" s="2">
        <v>8655.2100000000009</v>
      </c>
      <c r="AV27" s="117" t="s">
        <v>38</v>
      </c>
      <c r="AW27" s="113">
        <v>12579.26</v>
      </c>
      <c r="AX27">
        <f t="shared" si="7"/>
        <v>6289.63</v>
      </c>
      <c r="AY27" s="115" t="b">
        <f t="shared" si="6"/>
        <v>1</v>
      </c>
      <c r="AZ27">
        <v>54221.81</v>
      </c>
      <c r="BA27">
        <v>52238.820000000007</v>
      </c>
      <c r="BB27">
        <v>50403.18</v>
      </c>
      <c r="BC27">
        <v>48562.46</v>
      </c>
      <c r="BD27" t="s">
        <v>38</v>
      </c>
      <c r="BE27" s="118" t="str">
        <f t="shared" si="8"/>
        <v>P-292/2010</v>
      </c>
      <c r="BF27" s="125" t="str">
        <f t="shared" si="9"/>
        <v>ERAF projekta "Līgatnes papīrfabrikas ciemata kultūrvēsturiskās tūrisma takas izveide" īstenošanai P-292/2010</v>
      </c>
      <c r="BG27" s="125" t="str">
        <f t="shared" si="10"/>
        <v>26.08.2010</v>
      </c>
      <c r="BH27" s="125">
        <f t="shared" si="11"/>
        <v>46386</v>
      </c>
      <c r="BI27">
        <f t="shared" si="12"/>
        <v>23193</v>
      </c>
      <c r="BJ27" s="136">
        <f t="shared" si="13"/>
        <v>69579</v>
      </c>
      <c r="BK27">
        <v>54221.81</v>
      </c>
      <c r="BL27">
        <v>52238.820000000007</v>
      </c>
      <c r="BM27">
        <v>50403.18</v>
      </c>
      <c r="BN27">
        <v>48562.46</v>
      </c>
      <c r="BO27" s="118" t="s">
        <v>39</v>
      </c>
      <c r="BP27">
        <f t="shared" si="14"/>
        <v>45874.619999999995</v>
      </c>
      <c r="BQ27" s="118" t="s">
        <v>39</v>
      </c>
      <c r="BR27">
        <f t="shared" si="15"/>
        <v>44392.869773999999</v>
      </c>
      <c r="BS27" s="118" t="s">
        <v>39</v>
      </c>
      <c r="BT27">
        <f t="shared" si="16"/>
        <v>32254.900000000009</v>
      </c>
      <c r="BW27" t="s">
        <v>39</v>
      </c>
      <c r="BX27">
        <v>45874.619999999995</v>
      </c>
      <c r="BY27">
        <v>44392.869773999999</v>
      </c>
      <c r="BZ27">
        <v>32254.900000000009</v>
      </c>
    </row>
    <row r="28" spans="1:78" ht="20.25" customHeight="1" outlineLevel="1" x14ac:dyDescent="0.25">
      <c r="A28" s="39">
        <v>23</v>
      </c>
      <c r="B28" s="26" t="s">
        <v>40</v>
      </c>
      <c r="C28" s="26" t="s">
        <v>41</v>
      </c>
      <c r="D28" s="34" t="str">
        <f>VLOOKUP($C28,$U:$X,2,0)</f>
        <v>P-417/2010 ERAF pr."Cēsu pilsētas tranzītielas-Pētera i.rekonstrukcija"</v>
      </c>
      <c r="E28" s="34" t="str">
        <f>VLOOKUP($C28,$W:$X,2,0)</f>
        <v>22.10.2010</v>
      </c>
      <c r="F28" s="27">
        <v>80630</v>
      </c>
      <c r="G28" s="128">
        <f t="shared" si="5"/>
        <v>84314.010000000009</v>
      </c>
      <c r="H28" s="128">
        <f t="shared" si="17"/>
        <v>81860.44</v>
      </c>
      <c r="I28" s="128">
        <f t="shared" si="24"/>
        <v>79317.710000000006</v>
      </c>
      <c r="J28" s="128">
        <f>VLOOKUP($C28,$AM:$AN,2,0)</f>
        <v>76767.98</v>
      </c>
      <c r="K28" s="128">
        <f>VLOOKUP($C28,$AQ:$AR,2,0)</f>
        <v>74223.490000000005</v>
      </c>
      <c r="L28" s="129">
        <v>36289</v>
      </c>
      <c r="M28" s="128">
        <v>0</v>
      </c>
      <c r="N28" s="36">
        <f t="shared" si="4"/>
        <v>513402.63</v>
      </c>
      <c r="Q28" t="str">
        <f t="shared" si="2"/>
        <v>P-417/2010 ERAF pr."Cēsu pilsētas tranzītielas-Pētera i.rekonstrukcija"</v>
      </c>
      <c r="R28" t="str">
        <f t="shared" si="3"/>
        <v>22.10.2010</v>
      </c>
      <c r="U28" s="8" t="s">
        <v>205</v>
      </c>
      <c r="V28" s="9" t="s">
        <v>320</v>
      </c>
      <c r="W28" s="8" t="s">
        <v>205</v>
      </c>
      <c r="X28" s="14" t="s">
        <v>321</v>
      </c>
      <c r="Z28" s="1" t="s">
        <v>44</v>
      </c>
      <c r="AA28" s="1" t="s">
        <v>45</v>
      </c>
      <c r="AB28" s="2">
        <v>59155.49</v>
      </c>
      <c r="AD28" s="1" t="s">
        <v>48</v>
      </c>
      <c r="AE28" s="1" t="s">
        <v>49</v>
      </c>
      <c r="AF28" s="2">
        <v>4820.8499999999995</v>
      </c>
      <c r="AH28" s="1" t="s">
        <v>54</v>
      </c>
      <c r="AI28" s="1" t="s">
        <v>55</v>
      </c>
      <c r="AJ28" s="2">
        <v>10741.14</v>
      </c>
      <c r="AL28" s="1" t="s">
        <v>62</v>
      </c>
      <c r="AM28" s="1" t="s">
        <v>63</v>
      </c>
      <c r="AN28" s="2">
        <v>28493.09</v>
      </c>
      <c r="AP28" s="1" t="s">
        <v>70</v>
      </c>
      <c r="AQ28" s="1" t="s">
        <v>71</v>
      </c>
      <c r="AR28" s="2">
        <v>3562.2599999999998</v>
      </c>
      <c r="AS28" s="1" t="s">
        <v>71</v>
      </c>
      <c r="AT28" s="2">
        <v>4290.7200000000012</v>
      </c>
      <c r="AV28" s="117" t="s">
        <v>40</v>
      </c>
      <c r="AW28" s="113">
        <v>20881.66</v>
      </c>
      <c r="AX28">
        <f t="shared" si="7"/>
        <v>10440.83</v>
      </c>
      <c r="AY28" s="115" t="b">
        <f t="shared" si="6"/>
        <v>1</v>
      </c>
      <c r="AZ28">
        <v>87128.02</v>
      </c>
      <c r="BA28">
        <v>84277.06</v>
      </c>
      <c r="BB28">
        <v>81179.23</v>
      </c>
      <c r="BC28">
        <v>78072.860000000015</v>
      </c>
      <c r="BD28" t="s">
        <v>40</v>
      </c>
      <c r="BE28" s="118" t="str">
        <f t="shared" si="8"/>
        <v>P-417/2010</v>
      </c>
      <c r="BF28" s="125" t="str">
        <f t="shared" si="9"/>
        <v>P-417/2010 ERAF pr."Cēsu pilsētas tranzītielas-Pētera i.rekonstrukcija"</v>
      </c>
      <c r="BG28" s="125" t="str">
        <f t="shared" si="10"/>
        <v>22.10.2010</v>
      </c>
      <c r="BH28" s="125">
        <f t="shared" si="11"/>
        <v>80630</v>
      </c>
      <c r="BI28">
        <f t="shared" si="12"/>
        <v>40315</v>
      </c>
      <c r="BJ28" s="136">
        <f t="shared" si="13"/>
        <v>120945</v>
      </c>
      <c r="BK28">
        <v>87128.02</v>
      </c>
      <c r="BL28">
        <v>84277.06</v>
      </c>
      <c r="BM28">
        <v>81179.23</v>
      </c>
      <c r="BN28">
        <v>78072.860000000015</v>
      </c>
      <c r="BO28" s="118" t="s">
        <v>41</v>
      </c>
      <c r="BP28">
        <f t="shared" si="14"/>
        <v>74223.490000000005</v>
      </c>
      <c r="BQ28" s="118" t="s">
        <v>41</v>
      </c>
      <c r="BR28">
        <f t="shared" si="15"/>
        <v>36289</v>
      </c>
      <c r="BS28" s="118" t="s">
        <v>41</v>
      </c>
      <c r="BT28">
        <f t="shared" si="16"/>
        <v>0</v>
      </c>
      <c r="BW28" t="s">
        <v>41</v>
      </c>
      <c r="BX28">
        <v>74223.490000000005</v>
      </c>
      <c r="BY28">
        <v>36289</v>
      </c>
      <c r="BZ28">
        <v>0</v>
      </c>
    </row>
    <row r="29" spans="1:78" ht="20.25" customHeight="1" outlineLevel="1" x14ac:dyDescent="0.25">
      <c r="A29" s="39">
        <v>24</v>
      </c>
      <c r="B29" s="26" t="s">
        <v>42</v>
      </c>
      <c r="C29" s="26" t="s">
        <v>43</v>
      </c>
      <c r="D29" s="34" t="str">
        <f>VLOOKUP($C29,$U:$X,2,0)</f>
        <v xml:space="preserve">P-54/2011 ERAF pr."Cēsu pilsētas pirmsskolas izglītības iestāžu renovācijas 2.kārta" </v>
      </c>
      <c r="E29" s="34" t="str">
        <f>VLOOKUP($C29,$W:$X,2,0)</f>
        <v>20.04.2011</v>
      </c>
      <c r="F29" s="27">
        <v>11307</v>
      </c>
      <c r="G29" s="128">
        <f t="shared" si="5"/>
        <v>12380.2</v>
      </c>
      <c r="H29" s="128">
        <f t="shared" si="17"/>
        <v>12016.46</v>
      </c>
      <c r="I29" s="128">
        <f t="shared" si="24"/>
        <v>11659.859999999999</v>
      </c>
      <c r="J29" s="128">
        <f>VLOOKUP($C29,$AM:$AN,2,0)</f>
        <v>11302.26</v>
      </c>
      <c r="K29" s="128">
        <f>VLOOKUP($C29,$AQ:$AR,2,0)</f>
        <v>10946.92</v>
      </c>
      <c r="L29" s="129">
        <f t="shared" si="23"/>
        <v>10593.334484000001</v>
      </c>
      <c r="M29" s="128">
        <f>VLOOKUP($C29,$AS:$AT,2,0)-10593</f>
        <v>10242.509999999995</v>
      </c>
      <c r="N29" s="36">
        <f t="shared" si="4"/>
        <v>90448.544484000013</v>
      </c>
      <c r="Q29" t="str">
        <f t="shared" si="2"/>
        <v xml:space="preserve">P-54/2011 ERAF pr."Cēsu pilsētas pirmsskolas izglītības iestāžu renovācijas 2.kārta" </v>
      </c>
      <c r="R29" t="str">
        <f t="shared" si="3"/>
        <v>20.04.2011</v>
      </c>
      <c r="U29" s="8" t="s">
        <v>97</v>
      </c>
      <c r="V29" s="9" t="s">
        <v>322</v>
      </c>
      <c r="W29" s="8" t="s">
        <v>97</v>
      </c>
      <c r="X29" s="13" t="s">
        <v>323</v>
      </c>
      <c r="Z29" s="1" t="s">
        <v>46</v>
      </c>
      <c r="AA29" s="1" t="s">
        <v>47</v>
      </c>
      <c r="AB29" s="2">
        <v>18370.140000000003</v>
      </c>
      <c r="AD29" s="1" t="s">
        <v>50</v>
      </c>
      <c r="AE29" s="1" t="s">
        <v>51</v>
      </c>
      <c r="AF29" s="2">
        <v>15673.03</v>
      </c>
      <c r="AH29" s="1" t="s">
        <v>56</v>
      </c>
      <c r="AI29" s="1" t="s">
        <v>57</v>
      </c>
      <c r="AJ29" s="2">
        <v>36861.94</v>
      </c>
      <c r="AL29" s="1" t="s">
        <v>64</v>
      </c>
      <c r="AM29" s="1" t="s">
        <v>65</v>
      </c>
      <c r="AN29" s="2">
        <v>30004.06</v>
      </c>
      <c r="AP29" s="1" t="s">
        <v>76</v>
      </c>
      <c r="AQ29" s="1" t="s">
        <v>77</v>
      </c>
      <c r="AR29" s="2">
        <v>12865.49</v>
      </c>
      <c r="AS29" s="1" t="s">
        <v>77</v>
      </c>
      <c r="AT29" s="2">
        <v>24487.15</v>
      </c>
      <c r="AV29" s="117" t="s">
        <v>42</v>
      </c>
      <c r="AW29" s="113">
        <v>3254.32</v>
      </c>
      <c r="AX29">
        <f t="shared" si="7"/>
        <v>1627.16</v>
      </c>
      <c r="AY29" s="115" t="b">
        <f t="shared" si="6"/>
        <v>1</v>
      </c>
      <c r="AZ29">
        <v>12816.71</v>
      </c>
      <c r="BA29">
        <v>12472.41</v>
      </c>
      <c r="BB29">
        <v>12037.95</v>
      </c>
      <c r="BC29">
        <v>11602.300000000001</v>
      </c>
      <c r="BD29" t="s">
        <v>42</v>
      </c>
      <c r="BE29" s="118" t="str">
        <f t="shared" si="8"/>
        <v>P-54/2011</v>
      </c>
      <c r="BF29" s="125" t="str">
        <f t="shared" si="9"/>
        <v xml:space="preserve">P-54/2011 ERAF pr."Cēsu pilsētas pirmsskolas izglītības iestāžu renovācijas 2.kārta" </v>
      </c>
      <c r="BG29" s="125" t="str">
        <f t="shared" si="10"/>
        <v>20.04.2011</v>
      </c>
      <c r="BH29" s="125">
        <f t="shared" si="11"/>
        <v>11307</v>
      </c>
      <c r="BI29">
        <f t="shared" si="12"/>
        <v>5653.5</v>
      </c>
      <c r="BJ29" s="136">
        <f t="shared" si="13"/>
        <v>16960.5</v>
      </c>
      <c r="BK29">
        <v>12816.71</v>
      </c>
      <c r="BL29">
        <v>12472.41</v>
      </c>
      <c r="BM29">
        <v>12037.95</v>
      </c>
      <c r="BN29">
        <v>11602.300000000001</v>
      </c>
      <c r="BO29" s="118" t="s">
        <v>43</v>
      </c>
      <c r="BP29">
        <f t="shared" si="14"/>
        <v>10946.92</v>
      </c>
      <c r="BQ29" s="118" t="s">
        <v>43</v>
      </c>
      <c r="BR29">
        <f t="shared" si="15"/>
        <v>10593.334484000001</v>
      </c>
      <c r="BS29" s="118" t="s">
        <v>43</v>
      </c>
      <c r="BT29">
        <f t="shared" si="16"/>
        <v>10242.509999999995</v>
      </c>
      <c r="BW29" t="s">
        <v>43</v>
      </c>
      <c r="BX29">
        <v>10946.92</v>
      </c>
      <c r="BY29">
        <v>10593.334484000001</v>
      </c>
      <c r="BZ29">
        <v>10242.509999999995</v>
      </c>
    </row>
    <row r="30" spans="1:78" ht="20.25" customHeight="1" outlineLevel="1" x14ac:dyDescent="0.25">
      <c r="A30" s="39">
        <v>25</v>
      </c>
      <c r="B30" s="26" t="s">
        <v>44</v>
      </c>
      <c r="C30" s="26" t="s">
        <v>45</v>
      </c>
      <c r="D30" s="34" t="str">
        <f>VLOOKUP($C30,$U:$X,2,0)</f>
        <v>P-151/2011 ERAF pr."Cēsu pilsētas maģistrālo ielu rekonstrukcija"</v>
      </c>
      <c r="E30" s="34" t="str">
        <f>VLOOKUP($C30,$W:$X,2,0)</f>
        <v>10.06.2011</v>
      </c>
      <c r="F30" s="27">
        <v>52442</v>
      </c>
      <c r="G30" s="128">
        <f t="shared" si="5"/>
        <v>59155.49</v>
      </c>
      <c r="H30" s="128">
        <f t="shared" si="17"/>
        <v>57461.95</v>
      </c>
      <c r="I30" s="128">
        <f t="shared" si="24"/>
        <v>55805.97</v>
      </c>
      <c r="J30" s="128">
        <f>VLOOKUP($C30,$AM:$AN,2,0)</f>
        <v>54145.380000000005</v>
      </c>
      <c r="K30" s="128">
        <f>VLOOKUP($C30,$AQ:$AR,2,0)</f>
        <v>52499.630000000005</v>
      </c>
      <c r="L30" s="129">
        <f t="shared" si="23"/>
        <v>50803.891951000005</v>
      </c>
      <c r="M30" s="128">
        <f>VLOOKUP($C30,$AS:$AT,2,0)-50804</f>
        <v>96779.15</v>
      </c>
      <c r="N30" s="36">
        <f t="shared" si="4"/>
        <v>479093.46195100003</v>
      </c>
      <c r="Q30" t="str">
        <f t="shared" si="2"/>
        <v>P-151/2011 ERAF pr."Cēsu pilsētas maģistrālo ielu rekonstrukcija"</v>
      </c>
      <c r="R30" t="str">
        <f t="shared" si="3"/>
        <v>10.06.2011</v>
      </c>
      <c r="U30" s="8" t="s">
        <v>117</v>
      </c>
      <c r="V30" s="9" t="s">
        <v>324</v>
      </c>
      <c r="W30" s="8" t="s">
        <v>117</v>
      </c>
      <c r="X30" s="13" t="s">
        <v>325</v>
      </c>
      <c r="Z30" s="1" t="s">
        <v>48</v>
      </c>
      <c r="AA30" s="1" t="s">
        <v>49</v>
      </c>
      <c r="AB30" s="2">
        <v>4964.8900000000003</v>
      </c>
      <c r="AD30" s="1" t="s">
        <v>54</v>
      </c>
      <c r="AE30" s="1" t="s">
        <v>55</v>
      </c>
      <c r="AF30" s="2">
        <v>11106.039999999999</v>
      </c>
      <c r="AH30" s="1" t="s">
        <v>58</v>
      </c>
      <c r="AI30" s="1" t="s">
        <v>59</v>
      </c>
      <c r="AJ30" s="2">
        <v>125700.38</v>
      </c>
      <c r="AL30" s="1" t="s">
        <v>66</v>
      </c>
      <c r="AM30" s="1" t="s">
        <v>67</v>
      </c>
      <c r="AN30" s="2">
        <v>32146.99</v>
      </c>
      <c r="AP30" s="1" t="s">
        <v>78</v>
      </c>
      <c r="AQ30" s="1" t="s">
        <v>79</v>
      </c>
      <c r="AR30" s="2">
        <v>36041.370000000003</v>
      </c>
      <c r="AS30" s="1" t="s">
        <v>79</v>
      </c>
      <c r="AT30" s="2">
        <v>164119.76</v>
      </c>
      <c r="AV30" s="117" t="s">
        <v>44</v>
      </c>
      <c r="AW30" s="113">
        <v>15706.45</v>
      </c>
      <c r="AX30">
        <f t="shared" si="7"/>
        <v>7853.2250000000004</v>
      </c>
      <c r="AY30" s="115" t="b">
        <f t="shared" si="6"/>
        <v>1</v>
      </c>
      <c r="AZ30">
        <v>61655.009999999995</v>
      </c>
      <c r="BA30">
        <v>59941.52</v>
      </c>
      <c r="BB30">
        <v>57923.98</v>
      </c>
      <c r="BC30">
        <v>55900.91</v>
      </c>
      <c r="BD30" t="s">
        <v>44</v>
      </c>
      <c r="BE30" s="118" t="str">
        <f t="shared" si="8"/>
        <v>P-151/2011</v>
      </c>
      <c r="BF30" s="125" t="str">
        <f t="shared" si="9"/>
        <v>P-151/2011 ERAF pr."Cēsu pilsētas maģistrālo ielu rekonstrukcija"</v>
      </c>
      <c r="BG30" s="125" t="str">
        <f t="shared" si="10"/>
        <v>10.06.2011</v>
      </c>
      <c r="BH30" s="125">
        <f t="shared" si="11"/>
        <v>52442</v>
      </c>
      <c r="BI30">
        <f t="shared" si="12"/>
        <v>26221</v>
      </c>
      <c r="BJ30" s="136">
        <f t="shared" si="13"/>
        <v>78663</v>
      </c>
      <c r="BK30">
        <v>61655.009999999995</v>
      </c>
      <c r="BL30">
        <v>59941.52</v>
      </c>
      <c r="BM30">
        <v>57923.98</v>
      </c>
      <c r="BN30">
        <v>55900.91</v>
      </c>
      <c r="BO30" s="118" t="s">
        <v>45</v>
      </c>
      <c r="BP30">
        <f t="shared" si="14"/>
        <v>52499.630000000005</v>
      </c>
      <c r="BQ30" s="118" t="s">
        <v>45</v>
      </c>
      <c r="BR30">
        <f t="shared" si="15"/>
        <v>50803.891951000005</v>
      </c>
      <c r="BS30" s="118" t="s">
        <v>45</v>
      </c>
      <c r="BT30">
        <f t="shared" si="16"/>
        <v>96779.15</v>
      </c>
      <c r="BW30" t="s">
        <v>45</v>
      </c>
      <c r="BX30">
        <v>52499.630000000005</v>
      </c>
      <c r="BY30">
        <v>50803.891951000005</v>
      </c>
      <c r="BZ30">
        <v>96779.15</v>
      </c>
    </row>
    <row r="31" spans="1:78" ht="20.25" customHeight="1" outlineLevel="1" x14ac:dyDescent="0.25">
      <c r="A31" s="39">
        <v>26</v>
      </c>
      <c r="B31" s="26" t="s">
        <v>46</v>
      </c>
      <c r="C31" s="26" t="s">
        <v>47</v>
      </c>
      <c r="D31" s="28" t="s">
        <v>427</v>
      </c>
      <c r="E31" s="29" t="s">
        <v>428</v>
      </c>
      <c r="F31" s="27">
        <v>17680</v>
      </c>
      <c r="G31" s="128">
        <f t="shared" si="5"/>
        <v>18370.140000000003</v>
      </c>
      <c r="H31" s="128">
        <f t="shared" si="17"/>
        <v>17757.150000000001</v>
      </c>
      <c r="I31" s="128">
        <f t="shared" si="24"/>
        <v>8672.5499999999993</v>
      </c>
      <c r="J31" s="128">
        <v>0</v>
      </c>
      <c r="K31" s="128">
        <v>0</v>
      </c>
      <c r="L31" s="129">
        <f t="shared" si="23"/>
        <v>0</v>
      </c>
      <c r="M31" s="128">
        <v>0</v>
      </c>
      <c r="N31" s="36">
        <f t="shared" si="4"/>
        <v>62479.839999999997</v>
      </c>
      <c r="Q31" t="e">
        <f t="shared" si="2"/>
        <v>#N/A</v>
      </c>
      <c r="R31" t="e">
        <f t="shared" si="3"/>
        <v>#N/A</v>
      </c>
      <c r="U31" s="8" t="s">
        <v>275</v>
      </c>
      <c r="V31" s="9" t="s">
        <v>326</v>
      </c>
      <c r="W31" s="8" t="s">
        <v>275</v>
      </c>
      <c r="X31" s="13" t="s">
        <v>327</v>
      </c>
      <c r="Z31" s="1" t="s">
        <v>50</v>
      </c>
      <c r="AA31" s="1" t="s">
        <v>51</v>
      </c>
      <c r="AB31" s="2">
        <v>16214.11</v>
      </c>
      <c r="AD31" s="1" t="s">
        <v>56</v>
      </c>
      <c r="AE31" s="1" t="s">
        <v>57</v>
      </c>
      <c r="AF31" s="2">
        <v>37894.420000000006</v>
      </c>
      <c r="AH31" s="1" t="s">
        <v>60</v>
      </c>
      <c r="AI31" s="1" t="s">
        <v>61</v>
      </c>
      <c r="AJ31" s="2">
        <v>64228.83</v>
      </c>
      <c r="AL31" s="1" t="s">
        <v>68</v>
      </c>
      <c r="AM31" s="1" t="s">
        <v>69</v>
      </c>
      <c r="AN31" s="2">
        <v>12281.46</v>
      </c>
      <c r="AP31" s="1" t="s">
        <v>80</v>
      </c>
      <c r="AQ31" s="1" t="s">
        <v>81</v>
      </c>
      <c r="AR31" s="2">
        <v>8530.14</v>
      </c>
      <c r="AS31" s="1" t="s">
        <v>81</v>
      </c>
      <c r="AT31" s="2">
        <v>14252.280000000002</v>
      </c>
      <c r="AV31" s="117" t="s">
        <v>46</v>
      </c>
      <c r="AW31" s="113">
        <v>4621.18</v>
      </c>
      <c r="AX31">
        <f t="shared" si="7"/>
        <v>2310.59</v>
      </c>
      <c r="AY31" s="115" t="b">
        <f t="shared" si="6"/>
        <v>1</v>
      </c>
      <c r="AZ31">
        <v>18682.090000000004</v>
      </c>
      <c r="BA31">
        <v>17936.009999999998</v>
      </c>
      <c r="BB31">
        <v>8719.5300000000007</v>
      </c>
      <c r="BC31">
        <v>0</v>
      </c>
      <c r="BD31" t="s">
        <v>46</v>
      </c>
      <c r="BE31" s="118" t="str">
        <f t="shared" si="8"/>
        <v>P-285/2011</v>
      </c>
      <c r="BF31" s="125" t="str">
        <f t="shared" si="9"/>
        <v>Kohēzijas fonda projekta "Ūdenssaimniecības pakalpojumu attīstība Līgatnē" P-285-/2011</v>
      </c>
      <c r="BG31" s="125" t="str">
        <f t="shared" si="10"/>
        <v>11.08.2011</v>
      </c>
      <c r="BH31" s="125">
        <f t="shared" si="11"/>
        <v>17680</v>
      </c>
      <c r="BI31">
        <f t="shared" si="12"/>
        <v>8840</v>
      </c>
      <c r="BJ31" s="136">
        <f t="shared" si="13"/>
        <v>26520</v>
      </c>
      <c r="BK31">
        <v>18682.090000000004</v>
      </c>
      <c r="BL31">
        <v>17936.009999999998</v>
      </c>
      <c r="BM31">
        <v>8719.5300000000007</v>
      </c>
      <c r="BN31">
        <v>0</v>
      </c>
      <c r="BO31" s="118" t="s">
        <v>47</v>
      </c>
      <c r="BP31">
        <f t="shared" si="14"/>
        <v>0</v>
      </c>
      <c r="BQ31" s="118" t="s">
        <v>47</v>
      </c>
      <c r="BR31">
        <f t="shared" si="15"/>
        <v>0</v>
      </c>
      <c r="BS31" s="118" t="s">
        <v>47</v>
      </c>
      <c r="BT31">
        <f t="shared" si="16"/>
        <v>0</v>
      </c>
      <c r="BW31" t="s">
        <v>47</v>
      </c>
      <c r="BX31">
        <v>0</v>
      </c>
      <c r="BY31">
        <v>0</v>
      </c>
      <c r="BZ31">
        <v>0</v>
      </c>
    </row>
    <row r="32" spans="1:78" ht="20.25" customHeight="1" outlineLevel="1" x14ac:dyDescent="0.25">
      <c r="A32" s="39">
        <v>27</v>
      </c>
      <c r="B32" s="26" t="s">
        <v>48</v>
      </c>
      <c r="C32" s="26" t="s">
        <v>49</v>
      </c>
      <c r="D32" s="28" t="s">
        <v>435</v>
      </c>
      <c r="E32" s="29" t="s">
        <v>428</v>
      </c>
      <c r="F32" s="27">
        <v>4371</v>
      </c>
      <c r="G32" s="128">
        <f t="shared" si="5"/>
        <v>4964.8900000000003</v>
      </c>
      <c r="H32" s="128">
        <f t="shared" si="17"/>
        <v>4820.8499999999995</v>
      </c>
      <c r="I32" s="128">
        <f t="shared" si="24"/>
        <v>4679.76</v>
      </c>
      <c r="J32" s="128">
        <f>VLOOKUP($C32,$AM:$AN,2,0)</f>
        <v>4538.3099999999995</v>
      </c>
      <c r="K32" s="128">
        <f>VLOOKUP($C32,$AQ:$AR,2,0)</f>
        <v>4397.9399999999996</v>
      </c>
      <c r="L32" s="129">
        <f t="shared" si="23"/>
        <v>4255.8865379999997</v>
      </c>
      <c r="M32" s="128">
        <f>VLOOKUP($C32,$AS:$AT,2,0)-4256</f>
        <v>6038.7300000000032</v>
      </c>
      <c r="N32" s="36">
        <f t="shared" si="4"/>
        <v>38067.366538000002</v>
      </c>
      <c r="Q32" t="e">
        <f t="shared" si="2"/>
        <v>#N/A</v>
      </c>
      <c r="R32" t="e">
        <f t="shared" si="3"/>
        <v>#N/A</v>
      </c>
      <c r="U32" s="8" t="s">
        <v>91</v>
      </c>
      <c r="V32" s="9" t="s">
        <v>328</v>
      </c>
      <c r="W32" s="8" t="s">
        <v>91</v>
      </c>
      <c r="X32" s="13" t="s">
        <v>329</v>
      </c>
      <c r="Z32" s="1" t="s">
        <v>52</v>
      </c>
      <c r="AA32" s="1" t="s">
        <v>53</v>
      </c>
      <c r="AB32" s="2">
        <v>58437.61</v>
      </c>
      <c r="AD32" s="1" t="s">
        <v>58</v>
      </c>
      <c r="AE32" s="1" t="s">
        <v>59</v>
      </c>
      <c r="AF32" s="2">
        <v>129515.59</v>
      </c>
      <c r="AH32" s="1" t="s">
        <v>62</v>
      </c>
      <c r="AI32" s="1" t="s">
        <v>63</v>
      </c>
      <c r="AJ32" s="2">
        <v>29340.929999999997</v>
      </c>
      <c r="AL32" s="1" t="s">
        <v>70</v>
      </c>
      <c r="AM32" s="1" t="s">
        <v>71</v>
      </c>
      <c r="AN32" s="2">
        <v>3681.05</v>
      </c>
      <c r="AP32" s="1" t="s">
        <v>82</v>
      </c>
      <c r="AQ32" s="1" t="s">
        <v>83</v>
      </c>
      <c r="AR32" s="2">
        <v>5297.4400000000005</v>
      </c>
      <c r="AS32" s="1" t="s">
        <v>83</v>
      </c>
      <c r="AT32" s="2">
        <v>8854.48</v>
      </c>
      <c r="AV32" s="117" t="s">
        <v>48</v>
      </c>
      <c r="AW32" s="113">
        <v>1222.42</v>
      </c>
      <c r="AX32">
        <f t="shared" si="7"/>
        <v>611.21</v>
      </c>
      <c r="AY32" s="115" t="b">
        <f t="shared" si="6"/>
        <v>1</v>
      </c>
      <c r="AZ32">
        <v>5190.95</v>
      </c>
      <c r="BA32">
        <v>5015.9400000000005</v>
      </c>
      <c r="BB32">
        <v>4844.079999999999</v>
      </c>
      <c r="BC32">
        <v>4671.76</v>
      </c>
      <c r="BD32" t="s">
        <v>48</v>
      </c>
      <c r="BE32" s="118" t="str">
        <f t="shared" si="8"/>
        <v>P-286/2011</v>
      </c>
      <c r="BF32" s="125" t="str">
        <f t="shared" si="9"/>
        <v>Projekta "Siltumtrases nomaiņa Augšlīgatnes ciemā" īstenošanai-ārkārtas situācijas novēršanai P-286/2011</v>
      </c>
      <c r="BG32" s="125" t="str">
        <f t="shared" si="10"/>
        <v>11.08.2011</v>
      </c>
      <c r="BH32" s="125">
        <f t="shared" si="11"/>
        <v>17680</v>
      </c>
      <c r="BI32">
        <f t="shared" si="12"/>
        <v>8840</v>
      </c>
      <c r="BJ32" s="136">
        <f t="shared" si="13"/>
        <v>26520</v>
      </c>
      <c r="BK32">
        <v>5190.95</v>
      </c>
      <c r="BL32">
        <v>5015.9400000000005</v>
      </c>
      <c r="BM32">
        <v>4844.079999999999</v>
      </c>
      <c r="BN32">
        <v>4671.76</v>
      </c>
      <c r="BO32" s="118" t="s">
        <v>49</v>
      </c>
      <c r="BP32">
        <f t="shared" si="14"/>
        <v>4397.9399999999996</v>
      </c>
      <c r="BQ32" s="118" t="s">
        <v>49</v>
      </c>
      <c r="BR32">
        <f t="shared" si="15"/>
        <v>4255.8865379999997</v>
      </c>
      <c r="BS32" s="118" t="s">
        <v>49</v>
      </c>
      <c r="BT32">
        <f t="shared" si="16"/>
        <v>6038.7300000000032</v>
      </c>
      <c r="BW32" t="s">
        <v>49</v>
      </c>
      <c r="BX32">
        <v>4397.9399999999996</v>
      </c>
      <c r="BY32">
        <v>4255.8865379999997</v>
      </c>
      <c r="BZ32">
        <v>6038.7300000000032</v>
      </c>
    </row>
    <row r="33" spans="1:78" ht="20.25" customHeight="1" outlineLevel="1" x14ac:dyDescent="0.25">
      <c r="A33" s="39">
        <v>28</v>
      </c>
      <c r="B33" s="26" t="s">
        <v>50</v>
      </c>
      <c r="C33" s="26" t="s">
        <v>51</v>
      </c>
      <c r="D33" s="34" t="str">
        <f t="shared" ref="D33:D42" si="25">VLOOKUP($C33,$U:$X,2,0)</f>
        <v>P-331/2011 ERAF pr."Satiksmes drošības uzlaboj.pie 3.PII"</v>
      </c>
      <c r="E33" s="34" t="str">
        <f t="shared" ref="E33:E42" si="26">VLOOKUP($C33,$W:$X,2,0)</f>
        <v>08.09.2011</v>
      </c>
      <c r="F33" s="27">
        <v>15780</v>
      </c>
      <c r="G33" s="128">
        <f t="shared" si="5"/>
        <v>16214.11</v>
      </c>
      <c r="H33" s="128">
        <f t="shared" si="17"/>
        <v>15673.03</v>
      </c>
      <c r="I33" s="128">
        <f t="shared" si="24"/>
        <v>7607.45</v>
      </c>
      <c r="J33" s="128">
        <v>0</v>
      </c>
      <c r="K33" s="128">
        <v>0</v>
      </c>
      <c r="L33" s="129">
        <f t="shared" si="23"/>
        <v>0</v>
      </c>
      <c r="M33" s="128">
        <v>0</v>
      </c>
      <c r="N33" s="36">
        <f t="shared" si="4"/>
        <v>55274.59</v>
      </c>
      <c r="Q33" t="str">
        <f t="shared" si="2"/>
        <v>P-331/2011 ERAF pr."Satiksmes drošības uzlaboj.pie 3.PII"</v>
      </c>
      <c r="R33" t="str">
        <f t="shared" si="3"/>
        <v>08.09.2011</v>
      </c>
      <c r="U33" s="8" t="s">
        <v>163</v>
      </c>
      <c r="V33" s="9" t="s">
        <v>330</v>
      </c>
      <c r="W33" s="8" t="s">
        <v>163</v>
      </c>
      <c r="X33" s="13" t="s">
        <v>331</v>
      </c>
      <c r="Z33" s="1" t="s">
        <v>54</v>
      </c>
      <c r="AA33" s="1" t="s">
        <v>55</v>
      </c>
      <c r="AB33" s="2">
        <v>11474.97</v>
      </c>
      <c r="AD33" s="1" t="s">
        <v>60</v>
      </c>
      <c r="AE33" s="1" t="s">
        <v>61</v>
      </c>
      <c r="AF33" s="2">
        <v>66027.789999999994</v>
      </c>
      <c r="AH33" s="1" t="s">
        <v>64</v>
      </c>
      <c r="AI33" s="1" t="s">
        <v>65</v>
      </c>
      <c r="AJ33" s="2">
        <v>57825.909999999996</v>
      </c>
      <c r="AL33" s="1" t="s">
        <v>74</v>
      </c>
      <c r="AM33" s="1" t="s">
        <v>75</v>
      </c>
      <c r="AN33" s="2">
        <v>9.51</v>
      </c>
      <c r="AP33" s="1" t="s">
        <v>84</v>
      </c>
      <c r="AQ33" s="1" t="s">
        <v>85</v>
      </c>
      <c r="AR33" s="2">
        <v>5909.87</v>
      </c>
      <c r="AS33" s="1" t="s">
        <v>85</v>
      </c>
      <c r="AT33" s="2">
        <v>9878.119999999999</v>
      </c>
      <c r="AV33" s="117" t="s">
        <v>50</v>
      </c>
      <c r="AW33" s="113">
        <v>4047.7400000000002</v>
      </c>
      <c r="AX33">
        <f t="shared" si="7"/>
        <v>2023.8700000000001</v>
      </c>
      <c r="AY33" s="115" t="b">
        <f t="shared" si="6"/>
        <v>1</v>
      </c>
      <c r="AZ33">
        <v>16489.759999999998</v>
      </c>
      <c r="BA33">
        <v>15830.550000000001</v>
      </c>
      <c r="BB33">
        <v>7648.66</v>
      </c>
      <c r="BC33">
        <v>0</v>
      </c>
      <c r="BD33" t="s">
        <v>50</v>
      </c>
      <c r="BE33" s="118" t="str">
        <f t="shared" si="8"/>
        <v>P-331/2011</v>
      </c>
      <c r="BF33" s="125" t="str">
        <f t="shared" si="9"/>
        <v>P-331/2011 ERAF pr."Satiksmes drošības uzlaboj.pie 3.PII"</v>
      </c>
      <c r="BG33" s="125" t="str">
        <f t="shared" si="10"/>
        <v>08.09.2011</v>
      </c>
      <c r="BH33" s="125">
        <f t="shared" si="11"/>
        <v>15780</v>
      </c>
      <c r="BI33">
        <f t="shared" si="12"/>
        <v>7890</v>
      </c>
      <c r="BJ33" s="136">
        <f t="shared" si="13"/>
        <v>23670</v>
      </c>
      <c r="BK33">
        <v>16489.759999999998</v>
      </c>
      <c r="BL33">
        <v>15830.550000000001</v>
      </c>
      <c r="BM33">
        <v>7648.66</v>
      </c>
      <c r="BN33">
        <v>0</v>
      </c>
      <c r="BO33" s="118" t="s">
        <v>51</v>
      </c>
      <c r="BP33">
        <f t="shared" si="14"/>
        <v>0</v>
      </c>
      <c r="BQ33" s="118" t="s">
        <v>51</v>
      </c>
      <c r="BR33">
        <f t="shared" si="15"/>
        <v>0</v>
      </c>
      <c r="BS33" s="118" t="s">
        <v>51</v>
      </c>
      <c r="BT33">
        <f t="shared" si="16"/>
        <v>0</v>
      </c>
      <c r="BW33" t="s">
        <v>51</v>
      </c>
      <c r="BX33">
        <v>0</v>
      </c>
      <c r="BY33">
        <v>0</v>
      </c>
      <c r="BZ33">
        <v>0</v>
      </c>
    </row>
    <row r="34" spans="1:78" ht="20.25" customHeight="1" outlineLevel="1" x14ac:dyDescent="0.25">
      <c r="A34" s="39">
        <v>29</v>
      </c>
      <c r="B34" s="26" t="s">
        <v>52</v>
      </c>
      <c r="C34" s="26" t="s">
        <v>53</v>
      </c>
      <c r="D34" s="34" t="str">
        <f t="shared" si="25"/>
        <v xml:space="preserve">P-255/2012 " Cēsu pilsētas maģistrālo ielu rekostrukcija, 2.kārta" </v>
      </c>
      <c r="E34" s="34" t="str">
        <f t="shared" si="26"/>
        <v>31.07.2012</v>
      </c>
      <c r="F34" s="27">
        <v>77604</v>
      </c>
      <c r="G34" s="128">
        <f t="shared" si="5"/>
        <v>58437.61</v>
      </c>
      <c r="H34" s="128">
        <v>0</v>
      </c>
      <c r="I34" s="128">
        <v>0</v>
      </c>
      <c r="J34" s="128">
        <v>0</v>
      </c>
      <c r="K34" s="128">
        <v>0</v>
      </c>
      <c r="L34" s="129">
        <f t="shared" si="23"/>
        <v>0</v>
      </c>
      <c r="M34" s="128">
        <v>0</v>
      </c>
      <c r="N34" s="36">
        <f t="shared" si="4"/>
        <v>136041.60999999999</v>
      </c>
      <c r="Q34" t="str">
        <f t="shared" si="2"/>
        <v xml:space="preserve">P-255/2012 " Cēsu pilsētas maģistrālo ielu rekostrukcija, 2.kārta" </v>
      </c>
      <c r="R34" t="str">
        <f t="shared" si="3"/>
        <v>31.07.2012</v>
      </c>
      <c r="U34" s="8" t="s">
        <v>213</v>
      </c>
      <c r="V34" s="9" t="s">
        <v>332</v>
      </c>
      <c r="W34" s="8" t="s">
        <v>213</v>
      </c>
      <c r="X34" s="14" t="s">
        <v>333</v>
      </c>
      <c r="Z34" s="1" t="s">
        <v>56</v>
      </c>
      <c r="AA34" s="1" t="s">
        <v>57</v>
      </c>
      <c r="AB34" s="2">
        <v>38955.9</v>
      </c>
      <c r="AD34" s="1" t="s">
        <v>62</v>
      </c>
      <c r="AE34" s="1" t="s">
        <v>63</v>
      </c>
      <c r="AF34" s="2">
        <v>30186.48</v>
      </c>
      <c r="AH34" s="1" t="s">
        <v>66</v>
      </c>
      <c r="AI34" s="1" t="s">
        <v>67</v>
      </c>
      <c r="AJ34" s="2">
        <v>33223.619999999995</v>
      </c>
      <c r="AL34" s="1" t="s">
        <v>76</v>
      </c>
      <c r="AM34" s="1" t="s">
        <v>77</v>
      </c>
      <c r="AN34" s="2">
        <v>13283.15</v>
      </c>
      <c r="AP34" s="1" t="s">
        <v>86</v>
      </c>
      <c r="AQ34" s="1" t="s">
        <v>87</v>
      </c>
      <c r="AR34" s="2">
        <v>33362.300000000003</v>
      </c>
      <c r="AS34" s="1" t="s">
        <v>87</v>
      </c>
      <c r="AT34" s="2">
        <v>213960.62</v>
      </c>
      <c r="AV34" s="117" t="s">
        <v>52</v>
      </c>
      <c r="AW34" s="113">
        <v>19840.690000000002</v>
      </c>
      <c r="AX34">
        <f t="shared" si="7"/>
        <v>9920.3450000000012</v>
      </c>
      <c r="AY34" s="115" t="b">
        <f t="shared" si="6"/>
        <v>1</v>
      </c>
      <c r="AZ34">
        <v>58828.020000000004</v>
      </c>
      <c r="BA34">
        <v>0</v>
      </c>
      <c r="BB34">
        <v>0</v>
      </c>
      <c r="BC34">
        <v>0</v>
      </c>
      <c r="BD34" t="s">
        <v>52</v>
      </c>
      <c r="BE34" s="118" t="str">
        <f t="shared" si="8"/>
        <v>P-255/2012</v>
      </c>
      <c r="BF34" s="125" t="str">
        <f t="shared" si="9"/>
        <v xml:space="preserve">P-255/2012 " Cēsu pilsētas maģistrālo ielu rekostrukcija, 2.kārta" </v>
      </c>
      <c r="BG34" s="125" t="str">
        <f t="shared" si="10"/>
        <v>31.07.2012</v>
      </c>
      <c r="BH34" s="125">
        <f t="shared" si="11"/>
        <v>77604</v>
      </c>
      <c r="BI34">
        <f t="shared" si="12"/>
        <v>38802</v>
      </c>
      <c r="BJ34" s="136">
        <f t="shared" si="13"/>
        <v>116406</v>
      </c>
      <c r="BK34">
        <v>58828.020000000004</v>
      </c>
      <c r="BL34">
        <v>0</v>
      </c>
      <c r="BM34">
        <v>0</v>
      </c>
      <c r="BN34">
        <v>0</v>
      </c>
      <c r="BO34" s="118" t="s">
        <v>53</v>
      </c>
      <c r="BP34">
        <f t="shared" si="14"/>
        <v>0</v>
      </c>
      <c r="BQ34" s="118" t="s">
        <v>53</v>
      </c>
      <c r="BR34">
        <f t="shared" si="15"/>
        <v>0</v>
      </c>
      <c r="BS34" s="118" t="s">
        <v>53</v>
      </c>
      <c r="BT34">
        <f t="shared" si="16"/>
        <v>0</v>
      </c>
      <c r="BW34" t="s">
        <v>53</v>
      </c>
      <c r="BX34">
        <v>0</v>
      </c>
      <c r="BY34">
        <v>0</v>
      </c>
      <c r="BZ34">
        <v>0</v>
      </c>
    </row>
    <row r="35" spans="1:78" ht="20.25" customHeight="1" outlineLevel="1" x14ac:dyDescent="0.25">
      <c r="A35" s="39">
        <v>30</v>
      </c>
      <c r="B35" s="26" t="s">
        <v>54</v>
      </c>
      <c r="C35" s="26" t="s">
        <v>55</v>
      </c>
      <c r="D35" s="34" t="str">
        <f t="shared" si="25"/>
        <v>Rozulas ciema ūdensaimniecības attīstībai</v>
      </c>
      <c r="E35" s="34" t="str">
        <f t="shared" si="26"/>
        <v>23.08.2012</v>
      </c>
      <c r="F35" s="27">
        <v>10782</v>
      </c>
      <c r="G35" s="128">
        <f t="shared" si="5"/>
        <v>11474.97</v>
      </c>
      <c r="H35" s="128">
        <f t="shared" ref="H35:H55" si="27">VLOOKUP(C35,$AE:$AF,2,0)</f>
        <v>11106.039999999999</v>
      </c>
      <c r="I35" s="128">
        <f t="shared" ref="I35:I43" si="28">VLOOKUP($C35,$AI:$AJ,2,0)</f>
        <v>10741.14</v>
      </c>
      <c r="J35" s="128">
        <f t="shared" ref="J35:J43" si="29">VLOOKUP($C35,$AM:$AN,2,0)</f>
        <v>7772.16</v>
      </c>
      <c r="K35" s="128">
        <v>0</v>
      </c>
      <c r="L35" s="129">
        <f t="shared" si="23"/>
        <v>0</v>
      </c>
      <c r="M35" s="128">
        <v>0</v>
      </c>
      <c r="N35" s="36">
        <f t="shared" si="4"/>
        <v>51876.31</v>
      </c>
      <c r="Q35" t="str">
        <f t="shared" si="2"/>
        <v>Rozulas ciema ūdensaimniecības attīstībai</v>
      </c>
      <c r="R35" t="str">
        <f t="shared" si="3"/>
        <v>23.08.2012</v>
      </c>
      <c r="U35" s="8" t="s">
        <v>77</v>
      </c>
      <c r="V35" s="9" t="s">
        <v>334</v>
      </c>
      <c r="W35" s="8" t="s">
        <v>77</v>
      </c>
      <c r="X35" s="13" t="s">
        <v>335</v>
      </c>
      <c r="Z35" s="1" t="s">
        <v>58</v>
      </c>
      <c r="AA35" s="1" t="s">
        <v>59</v>
      </c>
      <c r="AB35" s="2">
        <v>133409.32</v>
      </c>
      <c r="AD35" s="1" t="s">
        <v>64</v>
      </c>
      <c r="AE35" s="1" t="s">
        <v>65</v>
      </c>
      <c r="AF35" s="2">
        <v>59841.54</v>
      </c>
      <c r="AH35" s="1" t="s">
        <v>68</v>
      </c>
      <c r="AI35" s="1" t="s">
        <v>69</v>
      </c>
      <c r="AJ35" s="2">
        <v>12686.03</v>
      </c>
      <c r="AL35" s="1" t="s">
        <v>78</v>
      </c>
      <c r="AM35" s="1" t="s">
        <v>79</v>
      </c>
      <c r="AN35" s="2">
        <v>37097.980000000003</v>
      </c>
      <c r="AP35" s="1" t="s">
        <v>88</v>
      </c>
      <c r="AQ35" s="1" t="s">
        <v>89</v>
      </c>
      <c r="AR35" s="2">
        <v>7082.68</v>
      </c>
      <c r="AS35" s="1" t="s">
        <v>89</v>
      </c>
      <c r="AT35" s="2">
        <v>16713.5</v>
      </c>
      <c r="AV35" s="117" t="s">
        <v>54</v>
      </c>
      <c r="AW35" s="113">
        <v>2839.75</v>
      </c>
      <c r="AX35">
        <f t="shared" si="7"/>
        <v>1419.875</v>
      </c>
      <c r="AY35" s="115" t="b">
        <f t="shared" si="6"/>
        <v>1</v>
      </c>
      <c r="AZ35">
        <v>11775.9</v>
      </c>
      <c r="BA35">
        <v>11312.7</v>
      </c>
      <c r="BB35">
        <v>10868.15</v>
      </c>
      <c r="BC35">
        <v>7817.6299999999992</v>
      </c>
      <c r="BD35" t="s">
        <v>54</v>
      </c>
      <c r="BE35" s="118" t="str">
        <f t="shared" si="8"/>
        <v>P-309/2012</v>
      </c>
      <c r="BF35" s="125" t="str">
        <f t="shared" si="9"/>
        <v>Rozulas ciema ūdensaimniecības attīstībai</v>
      </c>
      <c r="BG35" s="125" t="str">
        <f t="shared" si="10"/>
        <v>23.08.2012</v>
      </c>
      <c r="BH35" s="125">
        <f t="shared" si="11"/>
        <v>10782</v>
      </c>
      <c r="BI35">
        <f t="shared" si="12"/>
        <v>5391</v>
      </c>
      <c r="BJ35" s="136">
        <f t="shared" si="13"/>
        <v>16173</v>
      </c>
      <c r="BK35">
        <v>11775.9</v>
      </c>
      <c r="BL35">
        <v>11312.7</v>
      </c>
      <c r="BM35">
        <v>10868.15</v>
      </c>
      <c r="BN35">
        <v>7817.6299999999992</v>
      </c>
      <c r="BO35" s="118" t="s">
        <v>55</v>
      </c>
      <c r="BP35">
        <f t="shared" si="14"/>
        <v>0</v>
      </c>
      <c r="BQ35" s="118" t="s">
        <v>55</v>
      </c>
      <c r="BR35">
        <f t="shared" si="15"/>
        <v>0</v>
      </c>
      <c r="BS35" s="118" t="s">
        <v>55</v>
      </c>
      <c r="BT35">
        <f t="shared" si="16"/>
        <v>0</v>
      </c>
      <c r="BW35" t="s">
        <v>55</v>
      </c>
      <c r="BX35">
        <v>0</v>
      </c>
      <c r="BY35">
        <v>0</v>
      </c>
      <c r="BZ35">
        <v>0</v>
      </c>
    </row>
    <row r="36" spans="1:78" ht="20.25" customHeight="1" outlineLevel="1" x14ac:dyDescent="0.25">
      <c r="A36" s="39">
        <v>31</v>
      </c>
      <c r="B36" s="26" t="s">
        <v>56</v>
      </c>
      <c r="C36" s="26" t="s">
        <v>57</v>
      </c>
      <c r="D36" s="34" t="str">
        <f t="shared" si="25"/>
        <v>P-294/2013 ERAF pr."'Cēsu centrālās bibliotēkas ēkas renovāc.un pieej.nodrošin." īstenošanai</v>
      </c>
      <c r="E36" s="34" t="str">
        <f t="shared" si="26"/>
        <v>16.08.2013</v>
      </c>
      <c r="F36" s="27">
        <v>33036</v>
      </c>
      <c r="G36" s="128">
        <f t="shared" si="5"/>
        <v>38955.9</v>
      </c>
      <c r="H36" s="128">
        <f t="shared" si="27"/>
        <v>37894.420000000006</v>
      </c>
      <c r="I36" s="128">
        <f t="shared" si="28"/>
        <v>36861.94</v>
      </c>
      <c r="J36" s="128">
        <f t="shared" si="29"/>
        <v>35826.649999999994</v>
      </c>
      <c r="K36" s="128">
        <f>VLOOKUP($C36,$AQ:$AR,2,0)</f>
        <v>34806.25</v>
      </c>
      <c r="L36" s="129">
        <f t="shared" si="23"/>
        <v>33682.008125</v>
      </c>
      <c r="M36" s="128">
        <f>VLOOKUP($C36,$AS:$AT,2,0)-33682</f>
        <v>124813.43999999997</v>
      </c>
      <c r="N36" s="36">
        <f t="shared" si="4"/>
        <v>375876.60812499997</v>
      </c>
      <c r="Q36" t="str">
        <f t="shared" si="2"/>
        <v>P-294/2013 ERAF pr."'Cēsu centrālās bibliotēkas ēkas renovāc.un pieej.nodrošin." īstenošanai</v>
      </c>
      <c r="R36" t="str">
        <f t="shared" si="3"/>
        <v>16.08.2013</v>
      </c>
      <c r="U36" s="8" t="s">
        <v>79</v>
      </c>
      <c r="V36" s="9" t="s">
        <v>336</v>
      </c>
      <c r="W36" s="8" t="s">
        <v>79</v>
      </c>
      <c r="X36" s="13" t="s">
        <v>337</v>
      </c>
      <c r="Z36" s="1" t="s">
        <v>60</v>
      </c>
      <c r="AA36" s="1" t="s">
        <v>61</v>
      </c>
      <c r="AB36" s="2">
        <v>67877.420000000013</v>
      </c>
      <c r="AD36" s="1" t="s">
        <v>66</v>
      </c>
      <c r="AE36" s="1" t="s">
        <v>67</v>
      </c>
      <c r="AF36" s="2">
        <v>34297.310000000005</v>
      </c>
      <c r="AH36" s="1" t="s">
        <v>70</v>
      </c>
      <c r="AI36" s="1" t="s">
        <v>71</v>
      </c>
      <c r="AJ36" s="2">
        <v>3800.35</v>
      </c>
      <c r="AL36" s="1" t="s">
        <v>80</v>
      </c>
      <c r="AM36" s="1" t="s">
        <v>81</v>
      </c>
      <c r="AN36" s="2">
        <v>8809.5400000000009</v>
      </c>
      <c r="AP36" s="1" t="s">
        <v>90</v>
      </c>
      <c r="AQ36" s="1" t="s">
        <v>91</v>
      </c>
      <c r="AR36" s="2">
        <v>3039.39</v>
      </c>
      <c r="AS36" s="1" t="s">
        <v>91</v>
      </c>
      <c r="AT36" s="2">
        <v>0</v>
      </c>
      <c r="AV36" s="117" t="s">
        <v>56</v>
      </c>
      <c r="AW36" s="113">
        <v>9472.23</v>
      </c>
      <c r="AX36">
        <f t="shared" si="7"/>
        <v>4736.1149999999998</v>
      </c>
      <c r="AY36" s="115" t="b">
        <f t="shared" si="6"/>
        <v>1</v>
      </c>
      <c r="AZ36">
        <v>41180.25</v>
      </c>
      <c r="BA36">
        <v>39892.03</v>
      </c>
      <c r="BB36">
        <v>38634.15</v>
      </c>
      <c r="BC36">
        <v>37372.85</v>
      </c>
      <c r="BD36" t="s">
        <v>56</v>
      </c>
      <c r="BE36" s="118" t="str">
        <f t="shared" si="8"/>
        <v>P-294/2013</v>
      </c>
      <c r="BF36" s="125" t="str">
        <f t="shared" si="9"/>
        <v>P-294/2013 ERAF pr."'Cēsu centrālās bibliotēkas ēkas renovāc.un pieej.nodrošin." īstenošanai</v>
      </c>
      <c r="BG36" s="125" t="str">
        <f t="shared" si="10"/>
        <v>16.08.2013</v>
      </c>
      <c r="BH36" s="125">
        <f t="shared" si="11"/>
        <v>33036</v>
      </c>
      <c r="BI36">
        <f t="shared" si="12"/>
        <v>16518</v>
      </c>
      <c r="BJ36" s="136">
        <f t="shared" si="13"/>
        <v>49554</v>
      </c>
      <c r="BK36">
        <v>41180.25</v>
      </c>
      <c r="BL36">
        <v>39892.03</v>
      </c>
      <c r="BM36">
        <v>38634.15</v>
      </c>
      <c r="BN36">
        <v>37372.85</v>
      </c>
      <c r="BO36" s="118" t="s">
        <v>57</v>
      </c>
      <c r="BP36">
        <f t="shared" si="14"/>
        <v>34806.25</v>
      </c>
      <c r="BQ36" s="118" t="s">
        <v>57</v>
      </c>
      <c r="BR36">
        <f t="shared" si="15"/>
        <v>33682.008125</v>
      </c>
      <c r="BS36" s="118" t="s">
        <v>57</v>
      </c>
      <c r="BT36">
        <f t="shared" si="16"/>
        <v>124813.43999999997</v>
      </c>
      <c r="BW36" t="s">
        <v>57</v>
      </c>
      <c r="BX36">
        <v>34806.25</v>
      </c>
      <c r="BY36">
        <v>33682.008125</v>
      </c>
      <c r="BZ36">
        <v>124813.43999999997</v>
      </c>
    </row>
    <row r="37" spans="1:78" ht="20.25" customHeight="1" outlineLevel="1" x14ac:dyDescent="0.25">
      <c r="A37" s="39">
        <v>32</v>
      </c>
      <c r="B37" s="26" t="s">
        <v>58</v>
      </c>
      <c r="C37" s="26" t="s">
        <v>59</v>
      </c>
      <c r="D37" s="34" t="str">
        <f t="shared" si="25"/>
        <v>P-292/2013-ERAF pr."Daudzf.centra "Vidzemes mūzikas un kult.centrs" izveide" īstenošanai</v>
      </c>
      <c r="E37" s="34" t="str">
        <f t="shared" si="26"/>
        <v>16.08.2013</v>
      </c>
      <c r="F37" s="27">
        <v>117982</v>
      </c>
      <c r="G37" s="128">
        <f t="shared" si="5"/>
        <v>133409.32</v>
      </c>
      <c r="H37" s="128">
        <f t="shared" si="27"/>
        <v>129515.59</v>
      </c>
      <c r="I37" s="128">
        <f t="shared" si="28"/>
        <v>125700.38</v>
      </c>
      <c r="J37" s="128">
        <f t="shared" si="29"/>
        <v>121874.75</v>
      </c>
      <c r="K37" s="128">
        <f>VLOOKUP($C37,$AQ:$AR,2,0)</f>
        <v>118075.26</v>
      </c>
      <c r="L37" s="129">
        <f t="shared" si="23"/>
        <v>114261.42910199999</v>
      </c>
      <c r="M37" s="128">
        <f>VLOOKUP($C37,$AS:$AT,2,0)-114261</f>
        <v>137560.99000000005</v>
      </c>
      <c r="N37" s="36">
        <f t="shared" si="4"/>
        <v>998379.71910200012</v>
      </c>
      <c r="Q37" t="str">
        <f t="shared" si="2"/>
        <v>P-292/2013-ERAF pr."Daudzf.centra "Vidzemes mūzikas un kult.centrs" izveide" īstenošanai</v>
      </c>
      <c r="R37" t="str">
        <f t="shared" si="3"/>
        <v>16.08.2013</v>
      </c>
      <c r="U37" s="8" t="s">
        <v>125</v>
      </c>
      <c r="V37" s="9" t="s">
        <v>338</v>
      </c>
      <c r="W37" s="8" t="s">
        <v>125</v>
      </c>
      <c r="X37" s="13" t="s">
        <v>339</v>
      </c>
      <c r="Z37" s="1" t="s">
        <v>62</v>
      </c>
      <c r="AA37" s="1" t="s">
        <v>63</v>
      </c>
      <c r="AB37" s="2">
        <v>31053.489999999998</v>
      </c>
      <c r="AD37" s="1" t="s">
        <v>68</v>
      </c>
      <c r="AE37" s="1" t="s">
        <v>69</v>
      </c>
      <c r="AF37" s="2">
        <v>13089.46</v>
      </c>
      <c r="AH37" s="1" t="s">
        <v>74</v>
      </c>
      <c r="AI37" s="1" t="s">
        <v>75</v>
      </c>
      <c r="AJ37" s="2">
        <v>4905.0300000000007</v>
      </c>
      <c r="AL37" s="1" t="s">
        <v>82</v>
      </c>
      <c r="AM37" s="1" t="s">
        <v>83</v>
      </c>
      <c r="AN37" s="2">
        <v>5470.95</v>
      </c>
      <c r="AP37" s="1" t="s">
        <v>92</v>
      </c>
      <c r="AQ37" s="1" t="s">
        <v>93</v>
      </c>
      <c r="AR37" s="2">
        <v>7207.4800000000005</v>
      </c>
      <c r="AS37" s="1" t="s">
        <v>93</v>
      </c>
      <c r="AT37" s="2">
        <v>18632.93</v>
      </c>
      <c r="AV37" s="119" t="s">
        <v>62</v>
      </c>
      <c r="AW37" s="113">
        <v>7578.26</v>
      </c>
      <c r="AX37">
        <f t="shared" si="7"/>
        <v>3789.13</v>
      </c>
      <c r="AY37" s="115" t="b">
        <f t="shared" si="6"/>
        <v>0</v>
      </c>
      <c r="AZ37">
        <v>32690.059999999998</v>
      </c>
      <c r="BA37">
        <v>31637.460000000003</v>
      </c>
      <c r="BB37">
        <v>30607.33</v>
      </c>
      <c r="BC37">
        <v>29574.400000000001</v>
      </c>
      <c r="BD37" t="s">
        <v>62</v>
      </c>
      <c r="BE37" s="118" t="str">
        <f t="shared" si="8"/>
        <v>P-293/2013</v>
      </c>
      <c r="BF37" s="125" t="str">
        <f t="shared" si="9"/>
        <v>P-293/2013-Cēsu pilsētas tranzītielas-Gaujas ielas-rekonstrukcija</v>
      </c>
      <c r="BG37" s="125" t="str">
        <f t="shared" si="10"/>
        <v>16.08.2013</v>
      </c>
      <c r="BH37" s="125">
        <f t="shared" si="11"/>
        <v>33036</v>
      </c>
      <c r="BI37">
        <f t="shared" si="12"/>
        <v>16518</v>
      </c>
      <c r="BJ37" s="136">
        <f t="shared" si="13"/>
        <v>49554</v>
      </c>
      <c r="BK37">
        <v>32690.059999999998</v>
      </c>
      <c r="BL37">
        <v>31637.460000000003</v>
      </c>
      <c r="BM37">
        <v>30607.33</v>
      </c>
      <c r="BN37">
        <v>29574.400000000001</v>
      </c>
      <c r="BO37" s="118" t="s">
        <v>63</v>
      </c>
      <c r="BP37">
        <f t="shared" si="14"/>
        <v>27655.1</v>
      </c>
      <c r="BQ37" s="118" t="s">
        <v>63</v>
      </c>
      <c r="BR37">
        <f t="shared" si="15"/>
        <v>26761.840269999997</v>
      </c>
      <c r="BS37" s="118" t="s">
        <v>63</v>
      </c>
      <c r="BT37">
        <f t="shared" si="16"/>
        <v>75391.98000000001</v>
      </c>
      <c r="BW37" t="s">
        <v>59</v>
      </c>
      <c r="BX37">
        <v>118075.26</v>
      </c>
      <c r="BY37">
        <v>114261.42910199999</v>
      </c>
      <c r="BZ37">
        <v>137560.99000000005</v>
      </c>
    </row>
    <row r="38" spans="1:78" ht="20.25" customHeight="1" outlineLevel="1" x14ac:dyDescent="0.25">
      <c r="A38" s="39">
        <v>33</v>
      </c>
      <c r="B38" s="26" t="s">
        <v>60</v>
      </c>
      <c r="C38" s="26" t="s">
        <v>61</v>
      </c>
      <c r="D38" s="34" t="str">
        <f t="shared" si="25"/>
        <v>P-291/2013-ERAF pr."Daudzf.centra"Vidzemes mūzikas  un kult.centrs" izveide" īstenošanai</v>
      </c>
      <c r="E38" s="34" t="str">
        <f t="shared" si="26"/>
        <v>16.08.2013</v>
      </c>
      <c r="F38" s="27">
        <v>57562</v>
      </c>
      <c r="G38" s="128">
        <f t="shared" si="5"/>
        <v>67877.420000000013</v>
      </c>
      <c r="H38" s="128">
        <f t="shared" si="27"/>
        <v>66027.789999999994</v>
      </c>
      <c r="I38" s="128">
        <f t="shared" si="28"/>
        <v>64228.83</v>
      </c>
      <c r="J38" s="128">
        <f t="shared" si="29"/>
        <v>62424.92</v>
      </c>
      <c r="K38" s="128">
        <f>VLOOKUP($C38,$AQ:$AR,2,0)</f>
        <v>60646.950000000004</v>
      </c>
      <c r="L38" s="129">
        <f t="shared" si="23"/>
        <v>58688.053515000007</v>
      </c>
      <c r="M38" s="128">
        <f>VLOOKUP($C38,$AS:$AT,2,0)-58688</f>
        <v>217476.94</v>
      </c>
      <c r="N38" s="36">
        <f t="shared" si="4"/>
        <v>654932.90351500013</v>
      </c>
      <c r="Q38" t="str">
        <f t="shared" ref="Q38:Q69" si="30">VLOOKUP($C38,$U:$X,2,0)</f>
        <v>P-291/2013-ERAF pr."Daudzf.centra"Vidzemes mūzikas  un kult.centrs" izveide" īstenošanai</v>
      </c>
      <c r="R38" t="str">
        <f t="shared" ref="R38:R69" si="31">VLOOKUP($C38,$W:$X,2,0)</f>
        <v>16.08.2013</v>
      </c>
      <c r="U38" s="8" t="s">
        <v>179</v>
      </c>
      <c r="V38" s="9" t="s">
        <v>340</v>
      </c>
      <c r="W38" s="8" t="s">
        <v>179</v>
      </c>
      <c r="X38" s="13" t="s">
        <v>341</v>
      </c>
      <c r="Z38" s="1" t="s">
        <v>64</v>
      </c>
      <c r="AA38" s="1" t="s">
        <v>65</v>
      </c>
      <c r="AB38" s="2">
        <v>61875.14</v>
      </c>
      <c r="AD38" s="1" t="s">
        <v>70</v>
      </c>
      <c r="AE38" s="1" t="s">
        <v>71</v>
      </c>
      <c r="AF38" s="2">
        <v>3919.31</v>
      </c>
      <c r="AH38" s="1" t="s">
        <v>76</v>
      </c>
      <c r="AI38" s="1" t="s">
        <v>77</v>
      </c>
      <c r="AJ38" s="2">
        <v>13703.41</v>
      </c>
      <c r="AL38" s="1" t="s">
        <v>84</v>
      </c>
      <c r="AM38" s="1" t="s">
        <v>85</v>
      </c>
      <c r="AN38" s="2">
        <v>6103.4400000000005</v>
      </c>
      <c r="AP38" s="1" t="s">
        <v>94</v>
      </c>
      <c r="AQ38" s="1" t="s">
        <v>95</v>
      </c>
      <c r="AR38" s="2">
        <v>6394.1</v>
      </c>
      <c r="AS38" s="1" t="s">
        <v>95</v>
      </c>
      <c r="AT38" s="2">
        <v>16534.349999999999</v>
      </c>
      <c r="AV38" s="119" t="s">
        <v>58</v>
      </c>
      <c r="AW38" s="113">
        <v>32780.379999999997</v>
      </c>
      <c r="AX38">
        <f t="shared" si="7"/>
        <v>16390.189999999999</v>
      </c>
      <c r="AY38" s="115" t="b">
        <f t="shared" si="6"/>
        <v>0</v>
      </c>
      <c r="AZ38">
        <v>139332.51999999999</v>
      </c>
      <c r="BA38">
        <v>134602.11000000002</v>
      </c>
      <c r="BB38">
        <v>129954.03</v>
      </c>
      <c r="BC38">
        <v>125293.2</v>
      </c>
      <c r="BD38" t="s">
        <v>58</v>
      </c>
      <c r="BE38" s="118" t="str">
        <f t="shared" si="8"/>
        <v>P-292/2013</v>
      </c>
      <c r="BF38" s="125" t="str">
        <f t="shared" si="9"/>
        <v>P-292/2013-ERAF pr."Daudzf.centra "Vidzemes mūzikas un kult.centrs" izveide" īstenošanai</v>
      </c>
      <c r="BG38" s="125" t="str">
        <f t="shared" si="10"/>
        <v>16.08.2013</v>
      </c>
      <c r="BH38" s="125">
        <f t="shared" si="11"/>
        <v>33036</v>
      </c>
      <c r="BI38">
        <f t="shared" si="12"/>
        <v>16518</v>
      </c>
      <c r="BJ38" s="136">
        <f t="shared" si="13"/>
        <v>49554</v>
      </c>
      <c r="BK38">
        <v>139332.51999999999</v>
      </c>
      <c r="BL38">
        <v>134602.11000000002</v>
      </c>
      <c r="BM38">
        <v>129954.03</v>
      </c>
      <c r="BN38">
        <v>125293.2</v>
      </c>
      <c r="BO38" s="118" t="s">
        <v>59</v>
      </c>
      <c r="BP38">
        <f t="shared" si="14"/>
        <v>118075.26</v>
      </c>
      <c r="BQ38" s="118" t="s">
        <v>59</v>
      </c>
      <c r="BR38">
        <f t="shared" si="15"/>
        <v>114261.42910199999</v>
      </c>
      <c r="BS38" s="118" t="s">
        <v>59</v>
      </c>
      <c r="BT38">
        <f t="shared" si="16"/>
        <v>137560.99000000005</v>
      </c>
      <c r="BW38" t="s">
        <v>61</v>
      </c>
      <c r="BX38">
        <v>60646.950000000004</v>
      </c>
      <c r="BY38">
        <v>58688.053515000007</v>
      </c>
      <c r="BZ38">
        <v>217476.94</v>
      </c>
    </row>
    <row r="39" spans="1:78" ht="20.25" customHeight="1" outlineLevel="1" x14ac:dyDescent="0.25">
      <c r="A39" s="39">
        <v>34</v>
      </c>
      <c r="B39" s="26" t="s">
        <v>62</v>
      </c>
      <c r="C39" s="26" t="s">
        <v>63</v>
      </c>
      <c r="D39" s="34" t="str">
        <f t="shared" si="25"/>
        <v>P-293/2013-Cēsu pilsētas tranzītielas-Gaujas ielas-rekonstrukcija</v>
      </c>
      <c r="E39" s="34" t="str">
        <f t="shared" si="26"/>
        <v>16.08.2013</v>
      </c>
      <c r="F39" s="27">
        <v>26725</v>
      </c>
      <c r="G39" s="128">
        <f t="shared" si="5"/>
        <v>31053.489999999998</v>
      </c>
      <c r="H39" s="128">
        <f t="shared" si="27"/>
        <v>30186.48</v>
      </c>
      <c r="I39" s="128">
        <f t="shared" si="28"/>
        <v>29340.929999999997</v>
      </c>
      <c r="J39" s="128">
        <f t="shared" si="29"/>
        <v>28493.09</v>
      </c>
      <c r="K39" s="128">
        <f>VLOOKUP($C39,$AQ:$AR,2,0)</f>
        <v>27655.1</v>
      </c>
      <c r="L39" s="129">
        <f t="shared" si="23"/>
        <v>26761.840269999997</v>
      </c>
      <c r="M39" s="128">
        <f>VLOOKUP($C39,$AS:$AT,2,0)-26762</f>
        <v>75391.98000000001</v>
      </c>
      <c r="N39" s="36">
        <f t="shared" si="4"/>
        <v>275607.91026999999</v>
      </c>
      <c r="Q39" t="str">
        <f t="shared" si="30"/>
        <v>P-293/2013-Cēsu pilsētas tranzītielas-Gaujas ielas-rekonstrukcija</v>
      </c>
      <c r="R39" t="str">
        <f t="shared" si="31"/>
        <v>16.08.2013</v>
      </c>
      <c r="U39" s="8" t="s">
        <v>63</v>
      </c>
      <c r="V39" s="9" t="s">
        <v>342</v>
      </c>
      <c r="W39" s="8" t="s">
        <v>63</v>
      </c>
      <c r="X39" s="13" t="s">
        <v>303</v>
      </c>
      <c r="Z39" s="1" t="s">
        <v>66</v>
      </c>
      <c r="AA39" s="1" t="s">
        <v>67</v>
      </c>
      <c r="AB39" s="2">
        <v>35387.24</v>
      </c>
      <c r="AD39" s="1" t="s">
        <v>72</v>
      </c>
      <c r="AE39" s="1" t="s">
        <v>73</v>
      </c>
      <c r="AF39" s="2">
        <v>17.13</v>
      </c>
      <c r="AH39" s="1" t="s">
        <v>78</v>
      </c>
      <c r="AI39" s="1" t="s">
        <v>79</v>
      </c>
      <c r="AJ39" s="2">
        <v>38170.030000000006</v>
      </c>
      <c r="AL39" s="1" t="s">
        <v>86</v>
      </c>
      <c r="AM39" s="1" t="s">
        <v>87</v>
      </c>
      <c r="AN39" s="2">
        <v>34273.200000000004</v>
      </c>
      <c r="AP39" s="1" t="s">
        <v>96</v>
      </c>
      <c r="AQ39" s="1" t="s">
        <v>97</v>
      </c>
      <c r="AR39" s="2">
        <v>44281.23</v>
      </c>
      <c r="AS39" s="1" t="s">
        <v>97</v>
      </c>
      <c r="AT39" s="2">
        <v>362528.89</v>
      </c>
      <c r="AV39" s="119" t="s">
        <v>60</v>
      </c>
      <c r="AW39" s="113">
        <v>16504.57</v>
      </c>
      <c r="AX39">
        <f t="shared" si="7"/>
        <v>8252.2849999999999</v>
      </c>
      <c r="AY39" s="115" t="b">
        <f t="shared" si="6"/>
        <v>0</v>
      </c>
      <c r="AZ39">
        <v>71753.12999999999</v>
      </c>
      <c r="BA39">
        <v>69508.489999999991</v>
      </c>
      <c r="BB39">
        <v>67316.800000000003</v>
      </c>
      <c r="BC39">
        <v>65119.07</v>
      </c>
      <c r="BD39" t="s">
        <v>60</v>
      </c>
      <c r="BE39" s="118" t="str">
        <f t="shared" si="8"/>
        <v>P-291/2013</v>
      </c>
      <c r="BF39" s="125" t="str">
        <f t="shared" si="9"/>
        <v>P-291/2013-ERAF pr."Daudzf.centra"Vidzemes mūzikas  un kult.centrs" izveide" īstenošanai</v>
      </c>
      <c r="BG39" s="125" t="str">
        <f t="shared" si="10"/>
        <v>16.08.2013</v>
      </c>
      <c r="BH39" s="125">
        <f t="shared" si="11"/>
        <v>33036</v>
      </c>
      <c r="BI39">
        <f t="shared" si="12"/>
        <v>16518</v>
      </c>
      <c r="BJ39" s="136">
        <f t="shared" si="13"/>
        <v>49554</v>
      </c>
      <c r="BK39">
        <v>71753.12999999999</v>
      </c>
      <c r="BL39">
        <v>69508.489999999991</v>
      </c>
      <c r="BM39">
        <v>67316.800000000003</v>
      </c>
      <c r="BN39">
        <v>65119.07</v>
      </c>
      <c r="BO39" s="118" t="s">
        <v>61</v>
      </c>
      <c r="BP39">
        <f t="shared" si="14"/>
        <v>60646.950000000004</v>
      </c>
      <c r="BQ39" s="118" t="s">
        <v>61</v>
      </c>
      <c r="BR39">
        <f t="shared" si="15"/>
        <v>58688.053515000007</v>
      </c>
      <c r="BS39" s="118" t="s">
        <v>61</v>
      </c>
      <c r="BT39">
        <f t="shared" si="16"/>
        <v>217476.94</v>
      </c>
      <c r="BW39" t="s">
        <v>63</v>
      </c>
      <c r="BX39">
        <v>27655.1</v>
      </c>
      <c r="BY39">
        <v>26761.840269999997</v>
      </c>
      <c r="BZ39">
        <v>75391.98000000001</v>
      </c>
    </row>
    <row r="40" spans="1:78" ht="20.25" customHeight="1" outlineLevel="1" x14ac:dyDescent="0.25">
      <c r="A40" s="39">
        <v>35</v>
      </c>
      <c r="B40" s="26" t="s">
        <v>64</v>
      </c>
      <c r="C40" s="26" t="s">
        <v>65</v>
      </c>
      <c r="D40" s="34" t="str">
        <f t="shared" si="25"/>
        <v>P-48/2014-ERAF pr."Cēsu Profesionālās vidusskolas kompleksa attīstība" īstenošanai</v>
      </c>
      <c r="E40" s="34" t="str">
        <f t="shared" si="26"/>
        <v>28.02.2014</v>
      </c>
      <c r="F40" s="27">
        <v>60894</v>
      </c>
      <c r="G40" s="128">
        <f t="shared" si="5"/>
        <v>61875.14</v>
      </c>
      <c r="H40" s="128">
        <f t="shared" si="27"/>
        <v>59841.54</v>
      </c>
      <c r="I40" s="128">
        <f t="shared" si="28"/>
        <v>57825.909999999996</v>
      </c>
      <c r="J40" s="128">
        <f t="shared" si="29"/>
        <v>30004.06</v>
      </c>
      <c r="K40" s="128">
        <v>0</v>
      </c>
      <c r="L40" s="129">
        <f t="shared" si="23"/>
        <v>0</v>
      </c>
      <c r="M40" s="128">
        <v>0</v>
      </c>
      <c r="N40" s="36">
        <f t="shared" si="4"/>
        <v>270440.65000000002</v>
      </c>
      <c r="Q40" t="str">
        <f t="shared" si="30"/>
        <v>P-48/2014-ERAF pr."Cēsu Profesionālās vidusskolas kompleksa attīstība" īstenošanai</v>
      </c>
      <c r="R40" t="str">
        <f t="shared" si="31"/>
        <v>28.02.2014</v>
      </c>
      <c r="U40" s="8" t="s">
        <v>183</v>
      </c>
      <c r="V40" s="9" t="s">
        <v>343</v>
      </c>
      <c r="W40" s="8" t="s">
        <v>183</v>
      </c>
      <c r="X40" s="13" t="s">
        <v>344</v>
      </c>
      <c r="Z40" s="1" t="s">
        <v>68</v>
      </c>
      <c r="AA40" s="1" t="s">
        <v>69</v>
      </c>
      <c r="AB40" s="2">
        <v>13499.53</v>
      </c>
      <c r="AD40" s="1" t="s">
        <v>74</v>
      </c>
      <c r="AE40" s="1" t="s">
        <v>75</v>
      </c>
      <c r="AF40" s="2">
        <v>5076.0200000000004</v>
      </c>
      <c r="AH40" s="1" t="s">
        <v>80</v>
      </c>
      <c r="AI40" s="1" t="s">
        <v>81</v>
      </c>
      <c r="AJ40" s="2">
        <v>9090.49</v>
      </c>
      <c r="AL40" s="1" t="s">
        <v>88</v>
      </c>
      <c r="AM40" s="1" t="s">
        <v>89</v>
      </c>
      <c r="AN40" s="2">
        <v>7308.6</v>
      </c>
      <c r="AP40" s="1" t="s">
        <v>98</v>
      </c>
      <c r="AQ40" s="1" t="s">
        <v>99</v>
      </c>
      <c r="AR40" s="2">
        <v>14862.15</v>
      </c>
      <c r="AS40" s="1" t="s">
        <v>99</v>
      </c>
      <c r="AT40" s="2">
        <v>48364.069999999992</v>
      </c>
      <c r="AV40" s="119" t="s">
        <v>66</v>
      </c>
      <c r="AW40" s="113">
        <v>9171.92</v>
      </c>
      <c r="AX40">
        <f t="shared" si="7"/>
        <v>4585.96</v>
      </c>
      <c r="AY40" s="115" t="b">
        <f t="shared" ref="AY40:AY71" si="32">B40=AV40</f>
        <v>0</v>
      </c>
      <c r="AZ40">
        <v>36215.79</v>
      </c>
      <c r="BA40">
        <v>35259.019999999997</v>
      </c>
      <c r="BB40">
        <v>33950.950000000004</v>
      </c>
      <c r="BC40">
        <v>32639.260000000002</v>
      </c>
      <c r="BD40" t="s">
        <v>66</v>
      </c>
      <c r="BE40" s="118" t="str">
        <f t="shared" si="8"/>
        <v>P-130/2014</v>
      </c>
      <c r="BF40" s="125" t="str">
        <f t="shared" si="9"/>
        <v>Stalbes vidusskolas ēkas energoefektivitātes paaugstināšana</v>
      </c>
      <c r="BG40" s="125" t="str">
        <f t="shared" si="10"/>
        <v>10.04.2014</v>
      </c>
      <c r="BH40" s="125">
        <f t="shared" si="11"/>
        <v>33171</v>
      </c>
      <c r="BI40">
        <f t="shared" si="12"/>
        <v>16585.5</v>
      </c>
      <c r="BJ40" s="136">
        <f t="shared" si="13"/>
        <v>49756.5</v>
      </c>
      <c r="BK40">
        <v>36215.79</v>
      </c>
      <c r="BL40">
        <v>35259.019999999997</v>
      </c>
      <c r="BM40">
        <v>33950.950000000004</v>
      </c>
      <c r="BN40">
        <v>32639.260000000002</v>
      </c>
      <c r="BO40" s="118" t="s">
        <v>67</v>
      </c>
      <c r="BP40">
        <f t="shared" si="14"/>
        <v>31071.800000000003</v>
      </c>
      <c r="BQ40" s="118" t="s">
        <v>67</v>
      </c>
      <c r="BR40">
        <f t="shared" si="15"/>
        <v>7657</v>
      </c>
      <c r="BS40" s="118" t="s">
        <v>67</v>
      </c>
      <c r="BT40">
        <f t="shared" si="16"/>
        <v>0</v>
      </c>
      <c r="BW40" t="s">
        <v>65</v>
      </c>
      <c r="BX40">
        <v>0</v>
      </c>
      <c r="BY40">
        <v>0</v>
      </c>
      <c r="BZ40">
        <v>0</v>
      </c>
    </row>
    <row r="41" spans="1:78" ht="20.25" customHeight="1" outlineLevel="1" x14ac:dyDescent="0.25">
      <c r="A41" s="39">
        <v>36</v>
      </c>
      <c r="B41" s="26" t="s">
        <v>66</v>
      </c>
      <c r="C41" s="26" t="s">
        <v>67</v>
      </c>
      <c r="D41" s="34" t="str">
        <f t="shared" si="25"/>
        <v>Stalbes vidusskolas ēkas energoefektivitātes paaugstināšana</v>
      </c>
      <c r="E41" s="34" t="str">
        <f t="shared" si="26"/>
        <v>10.04.2014</v>
      </c>
      <c r="F41" s="27">
        <v>33171</v>
      </c>
      <c r="G41" s="128">
        <f t="shared" si="5"/>
        <v>35387.24</v>
      </c>
      <c r="H41" s="128">
        <f t="shared" si="27"/>
        <v>34297.310000000005</v>
      </c>
      <c r="I41" s="128">
        <f t="shared" si="28"/>
        <v>33223.619999999995</v>
      </c>
      <c r="J41" s="128">
        <f t="shared" si="29"/>
        <v>32146.99</v>
      </c>
      <c r="K41" s="128">
        <f>VLOOKUP($C41,$AQ:$AR,2,0)</f>
        <v>31071.800000000003</v>
      </c>
      <c r="L41" s="129">
        <v>7657</v>
      </c>
      <c r="M41" s="128">
        <v>0</v>
      </c>
      <c r="N41" s="36">
        <f t="shared" si="4"/>
        <v>206954.95999999996</v>
      </c>
      <c r="Q41" t="str">
        <f t="shared" si="30"/>
        <v>Stalbes vidusskolas ēkas energoefektivitātes paaugstināšana</v>
      </c>
      <c r="R41" t="str">
        <f t="shared" si="31"/>
        <v>10.04.2014</v>
      </c>
      <c r="U41" s="8" t="s">
        <v>103</v>
      </c>
      <c r="V41" s="9" t="s">
        <v>345</v>
      </c>
      <c r="W41" s="8" t="s">
        <v>103</v>
      </c>
      <c r="X41" s="13" t="s">
        <v>346</v>
      </c>
      <c r="Z41" s="1" t="s">
        <v>70</v>
      </c>
      <c r="AA41" s="1" t="s">
        <v>71</v>
      </c>
      <c r="AB41" s="2">
        <v>4040.4</v>
      </c>
      <c r="AD41" s="1" t="s">
        <v>76</v>
      </c>
      <c r="AE41" s="1" t="s">
        <v>77</v>
      </c>
      <c r="AF41" s="2">
        <v>14122.5</v>
      </c>
      <c r="AH41" s="1" t="s">
        <v>80</v>
      </c>
      <c r="AI41" s="1" t="s">
        <v>81</v>
      </c>
      <c r="AJ41" s="2">
        <v>6134.49</v>
      </c>
      <c r="AL41" s="1" t="s">
        <v>90</v>
      </c>
      <c r="AM41" s="1" t="s">
        <v>91</v>
      </c>
      <c r="AN41" s="2">
        <v>12365.24</v>
      </c>
      <c r="AP41" s="1" t="s">
        <v>100</v>
      </c>
      <c r="AQ41" s="1" t="s">
        <v>101</v>
      </c>
      <c r="AR41" s="2">
        <v>18660.28</v>
      </c>
      <c r="AS41" s="1" t="s">
        <v>101</v>
      </c>
      <c r="AT41" s="2">
        <v>110315</v>
      </c>
      <c r="AV41" s="119" t="s">
        <v>68</v>
      </c>
      <c r="AW41" s="113">
        <v>3306.7999999999997</v>
      </c>
      <c r="AX41">
        <f t="shared" si="7"/>
        <v>1653.3999999999999</v>
      </c>
      <c r="AY41" s="115" t="b">
        <f t="shared" si="32"/>
        <v>0</v>
      </c>
      <c r="AZ41">
        <v>14017.890000000001</v>
      </c>
      <c r="BA41">
        <v>13494.95</v>
      </c>
      <c r="BB41">
        <v>13003.439999999999</v>
      </c>
      <c r="BC41">
        <v>12510.58</v>
      </c>
      <c r="BD41" t="s">
        <v>68</v>
      </c>
      <c r="BE41" s="118" t="str">
        <f t="shared" si="8"/>
        <v>P-381/2014</v>
      </c>
      <c r="BF41" s="125" t="str">
        <f t="shared" si="9"/>
        <v>Straupes pamatskolas fasādes vienkāršota renovācija un lietus ūdeņa drenāžas izbūve</v>
      </c>
      <c r="BG41" s="125" t="str">
        <f t="shared" si="10"/>
        <v>20.08.2014</v>
      </c>
      <c r="BH41" s="125">
        <f t="shared" si="11"/>
        <v>12207</v>
      </c>
      <c r="BI41">
        <f t="shared" si="12"/>
        <v>6103.5</v>
      </c>
      <c r="BJ41" s="136">
        <f t="shared" si="13"/>
        <v>18310.5</v>
      </c>
      <c r="BK41">
        <v>14017.890000000001</v>
      </c>
      <c r="BL41">
        <v>13494.95</v>
      </c>
      <c r="BM41">
        <v>13003.439999999999</v>
      </c>
      <c r="BN41">
        <v>12510.58</v>
      </c>
      <c r="BO41" s="118" t="s">
        <v>69</v>
      </c>
      <c r="BP41">
        <f t="shared" si="14"/>
        <v>11878.01</v>
      </c>
      <c r="BQ41" s="118" t="s">
        <v>69</v>
      </c>
      <c r="BR41">
        <f t="shared" si="15"/>
        <v>8655</v>
      </c>
      <c r="BS41" s="118" t="s">
        <v>69</v>
      </c>
      <c r="BT41">
        <f t="shared" si="16"/>
        <v>0</v>
      </c>
      <c r="BW41" t="s">
        <v>67</v>
      </c>
      <c r="BX41">
        <v>31071.800000000003</v>
      </c>
      <c r="BY41">
        <v>7657</v>
      </c>
      <c r="BZ41">
        <v>0</v>
      </c>
    </row>
    <row r="42" spans="1:78" ht="20.25" customHeight="1" outlineLevel="1" x14ac:dyDescent="0.25">
      <c r="A42" s="39">
        <v>37</v>
      </c>
      <c r="B42" s="26" t="s">
        <v>68</v>
      </c>
      <c r="C42" s="26" t="s">
        <v>69</v>
      </c>
      <c r="D42" s="34" t="str">
        <f t="shared" si="25"/>
        <v>Straupes pamatskolas fasādes vienkāršota renovācija un lietus ūdeņa drenāžas izbūve</v>
      </c>
      <c r="E42" s="34" t="str">
        <f t="shared" si="26"/>
        <v>20.08.2014</v>
      </c>
      <c r="F42" s="27">
        <v>12207</v>
      </c>
      <c r="G42" s="128">
        <f t="shared" si="5"/>
        <v>13499.53</v>
      </c>
      <c r="H42" s="128">
        <f t="shared" si="27"/>
        <v>13089.46</v>
      </c>
      <c r="I42" s="128">
        <f t="shared" si="28"/>
        <v>12686.03</v>
      </c>
      <c r="J42" s="128">
        <f t="shared" si="29"/>
        <v>12281.46</v>
      </c>
      <c r="K42" s="128">
        <f>VLOOKUP($C42,$AQ:$AR,2,0)</f>
        <v>11878.01</v>
      </c>
      <c r="L42" s="129">
        <v>8655</v>
      </c>
      <c r="M42" s="128">
        <v>0</v>
      </c>
      <c r="N42" s="36">
        <f t="shared" si="4"/>
        <v>84296.489999999991</v>
      </c>
      <c r="Q42" t="str">
        <f t="shared" si="30"/>
        <v>Straupes pamatskolas fasādes vienkāršota renovācija un lietus ūdeņa drenāžas izbūve</v>
      </c>
      <c r="R42" t="str">
        <f t="shared" si="31"/>
        <v>20.08.2014</v>
      </c>
      <c r="U42" s="8" t="s">
        <v>101</v>
      </c>
      <c r="V42" s="9" t="s">
        <v>347</v>
      </c>
      <c r="W42" s="8" t="s">
        <v>101</v>
      </c>
      <c r="X42" s="13" t="s">
        <v>346</v>
      </c>
      <c r="Z42" s="1" t="s">
        <v>72</v>
      </c>
      <c r="AA42" s="1" t="s">
        <v>73</v>
      </c>
      <c r="AB42" s="2">
        <v>8948.380000000001</v>
      </c>
      <c r="AD42" s="1" t="s">
        <v>78</v>
      </c>
      <c r="AE42" s="1" t="s">
        <v>79</v>
      </c>
      <c r="AF42" s="2">
        <v>39239.1</v>
      </c>
      <c r="AH42" s="1" t="s">
        <v>84</v>
      </c>
      <c r="AI42" s="1" t="s">
        <v>85</v>
      </c>
      <c r="AJ42" s="2">
        <v>6298.0700000000006</v>
      </c>
      <c r="AL42" s="1" t="s">
        <v>92</v>
      </c>
      <c r="AM42" s="1" t="s">
        <v>93</v>
      </c>
      <c r="AN42" s="2">
        <v>7435.38</v>
      </c>
      <c r="AP42" s="1" t="s">
        <v>102</v>
      </c>
      <c r="AQ42" s="1" t="s">
        <v>103</v>
      </c>
      <c r="AR42" s="2">
        <v>8045.23</v>
      </c>
      <c r="AS42" s="1" t="s">
        <v>103</v>
      </c>
      <c r="AT42" s="2">
        <v>36635.199999999997</v>
      </c>
      <c r="AV42" s="119" t="s">
        <v>64</v>
      </c>
      <c r="AW42" s="113">
        <v>15928.5</v>
      </c>
      <c r="AX42">
        <f t="shared" si="7"/>
        <v>7964.25</v>
      </c>
      <c r="AY42" s="115" t="b">
        <f t="shared" si="32"/>
        <v>0</v>
      </c>
      <c r="AZ42">
        <v>62779.26</v>
      </c>
      <c r="BA42">
        <v>60654.86</v>
      </c>
      <c r="BB42">
        <v>58199.19</v>
      </c>
      <c r="BC42">
        <v>136.51999999999998</v>
      </c>
      <c r="BD42" t="s">
        <v>64</v>
      </c>
      <c r="BE42" s="118" t="str">
        <f t="shared" si="8"/>
        <v>P-48/2014</v>
      </c>
      <c r="BF42" s="125" t="str">
        <f t="shared" si="9"/>
        <v>P-48/2014-ERAF pr."Cēsu Profesionālās vidusskolas kompleksa attīstība" īstenošanai</v>
      </c>
      <c r="BG42" s="125" t="str">
        <f t="shared" si="10"/>
        <v>28.02.2014</v>
      </c>
      <c r="BH42" s="125">
        <f t="shared" si="11"/>
        <v>60894</v>
      </c>
      <c r="BI42">
        <f t="shared" si="12"/>
        <v>30447</v>
      </c>
      <c r="BJ42" s="136">
        <f t="shared" si="13"/>
        <v>91341</v>
      </c>
      <c r="BK42">
        <v>62779.26</v>
      </c>
      <c r="BL42">
        <v>60654.86</v>
      </c>
      <c r="BM42">
        <v>58199.19</v>
      </c>
      <c r="BN42">
        <v>136.51999999999998</v>
      </c>
      <c r="BO42" s="118" t="s">
        <v>65</v>
      </c>
      <c r="BP42">
        <f t="shared" si="14"/>
        <v>0</v>
      </c>
      <c r="BQ42" s="118" t="s">
        <v>65</v>
      </c>
      <c r="BR42">
        <f t="shared" si="15"/>
        <v>0</v>
      </c>
      <c r="BS42" s="118" t="s">
        <v>65</v>
      </c>
      <c r="BT42">
        <f t="shared" si="16"/>
        <v>0</v>
      </c>
      <c r="BW42" t="s">
        <v>69</v>
      </c>
      <c r="BX42">
        <v>11878.01</v>
      </c>
      <c r="BY42">
        <v>8655</v>
      </c>
      <c r="BZ42">
        <v>0</v>
      </c>
    </row>
    <row r="43" spans="1:78" ht="20.25" customHeight="1" outlineLevel="1" x14ac:dyDescent="0.25">
      <c r="A43" s="39">
        <v>38</v>
      </c>
      <c r="B43" s="26" t="s">
        <v>70</v>
      </c>
      <c r="C43" s="26" t="s">
        <v>71</v>
      </c>
      <c r="D43" s="28" t="s">
        <v>440</v>
      </c>
      <c r="E43" s="29" t="s">
        <v>441</v>
      </c>
      <c r="F43" s="27">
        <v>3740</v>
      </c>
      <c r="G43" s="128">
        <f t="shared" si="5"/>
        <v>4040.4</v>
      </c>
      <c r="H43" s="128">
        <f t="shared" si="27"/>
        <v>3919.31</v>
      </c>
      <c r="I43" s="128">
        <f t="shared" si="28"/>
        <v>3800.35</v>
      </c>
      <c r="J43" s="128">
        <f t="shared" si="29"/>
        <v>3681.05</v>
      </c>
      <c r="K43" s="128">
        <f>VLOOKUP($C43,$AQ:$AR,2,0)</f>
        <v>3562.2599999999998</v>
      </c>
      <c r="L43" s="129">
        <f t="shared" si="23"/>
        <v>3447.1990019999998</v>
      </c>
      <c r="M43" s="128">
        <f>VLOOKUP($C43,$AS:$AT,2,0)-3447</f>
        <v>843.72000000000116</v>
      </c>
      <c r="N43" s="36">
        <f t="shared" si="4"/>
        <v>27034.289002000001</v>
      </c>
      <c r="Q43" t="e">
        <f t="shared" si="30"/>
        <v>#N/A</v>
      </c>
      <c r="R43" t="e">
        <f t="shared" si="31"/>
        <v>#N/A</v>
      </c>
      <c r="U43" s="8" t="s">
        <v>187</v>
      </c>
      <c r="V43" s="9" t="s">
        <v>348</v>
      </c>
      <c r="W43" s="8" t="s">
        <v>187</v>
      </c>
      <c r="X43" s="13" t="s">
        <v>349</v>
      </c>
      <c r="Z43" s="1" t="s">
        <v>74</v>
      </c>
      <c r="AA43" s="1" t="s">
        <v>75</v>
      </c>
      <c r="AB43" s="2">
        <v>5248.51</v>
      </c>
      <c r="AD43" s="1" t="s">
        <v>80</v>
      </c>
      <c r="AE43" s="1" t="s">
        <v>81</v>
      </c>
      <c r="AF43" s="2">
        <v>9370.6500000000015</v>
      </c>
      <c r="AH43" s="1" t="s">
        <v>86</v>
      </c>
      <c r="AI43" s="1" t="s">
        <v>87</v>
      </c>
      <c r="AJ43" s="2">
        <v>35203.129999999997</v>
      </c>
      <c r="AL43" s="1" t="s">
        <v>94</v>
      </c>
      <c r="AM43" s="1" t="s">
        <v>95</v>
      </c>
      <c r="AN43" s="2">
        <v>6596.29</v>
      </c>
      <c r="AP43" s="1" t="s">
        <v>104</v>
      </c>
      <c r="AQ43" s="1" t="s">
        <v>105</v>
      </c>
      <c r="AR43" s="2">
        <v>16236.380000000001</v>
      </c>
      <c r="AS43" s="1" t="s">
        <v>105</v>
      </c>
      <c r="AT43" s="2">
        <v>52857.51999999999</v>
      </c>
      <c r="AV43" s="117" t="s">
        <v>70</v>
      </c>
      <c r="AW43" s="113">
        <v>1049.1500000000001</v>
      </c>
      <c r="AX43">
        <f t="shared" si="7"/>
        <v>524.57500000000005</v>
      </c>
      <c r="AY43" s="115" t="b">
        <f t="shared" si="32"/>
        <v>1</v>
      </c>
      <c r="AZ43">
        <v>4151.0700000000006</v>
      </c>
      <c r="BA43">
        <v>4051.89</v>
      </c>
      <c r="BB43">
        <v>3906.96</v>
      </c>
      <c r="BC43">
        <v>3761.61</v>
      </c>
      <c r="BD43" t="s">
        <v>70</v>
      </c>
      <c r="BE43" s="118" t="str">
        <f t="shared" si="8"/>
        <v>P-86/2015</v>
      </c>
      <c r="BF43" s="125" t="str">
        <f t="shared" si="9"/>
        <v>Prioritārā investīciju projekta "Kanalizācijas tīklu rekonstrukcija Līgatnes pilsētā" P-86/2015</v>
      </c>
      <c r="BG43" s="125" t="str">
        <f t="shared" si="10"/>
        <v>10.04.2015</v>
      </c>
      <c r="BH43" s="125">
        <f t="shared" si="11"/>
        <v>3740</v>
      </c>
      <c r="BI43">
        <f t="shared" si="12"/>
        <v>1870</v>
      </c>
      <c r="BJ43" s="136">
        <f t="shared" si="13"/>
        <v>5610</v>
      </c>
      <c r="BK43">
        <v>4151.0700000000006</v>
      </c>
      <c r="BL43">
        <v>4051.89</v>
      </c>
      <c r="BM43">
        <v>3906.96</v>
      </c>
      <c r="BN43">
        <v>3761.61</v>
      </c>
      <c r="BO43" s="118" t="s">
        <v>71</v>
      </c>
      <c r="BP43">
        <f t="shared" si="14"/>
        <v>3562.2599999999998</v>
      </c>
      <c r="BQ43" s="118" t="s">
        <v>71</v>
      </c>
      <c r="BR43">
        <f t="shared" si="15"/>
        <v>3447.1990019999998</v>
      </c>
      <c r="BS43" s="118" t="s">
        <v>71</v>
      </c>
      <c r="BT43">
        <f t="shared" si="16"/>
        <v>843.72000000000116</v>
      </c>
      <c r="BW43" t="s">
        <v>71</v>
      </c>
      <c r="BX43">
        <v>3562.2599999999998</v>
      </c>
      <c r="BY43">
        <v>3447.1990019999998</v>
      </c>
      <c r="BZ43">
        <v>843.72000000000116</v>
      </c>
    </row>
    <row r="44" spans="1:78" ht="20.25" customHeight="1" outlineLevel="1" x14ac:dyDescent="0.25">
      <c r="A44" s="39">
        <v>39</v>
      </c>
      <c r="B44" s="26" t="s">
        <v>72</v>
      </c>
      <c r="C44" s="26" t="s">
        <v>73</v>
      </c>
      <c r="D44" s="28" t="s">
        <v>433</v>
      </c>
      <c r="E44" s="29" t="s">
        <v>434</v>
      </c>
      <c r="F44" s="27">
        <v>8936</v>
      </c>
      <c r="G44" s="128">
        <f t="shared" si="5"/>
        <v>8948.380000000001</v>
      </c>
      <c r="H44" s="128">
        <f t="shared" si="27"/>
        <v>17.13</v>
      </c>
      <c r="I44" s="128">
        <v>0</v>
      </c>
      <c r="J44" s="128">
        <v>0</v>
      </c>
      <c r="K44" s="128">
        <v>0</v>
      </c>
      <c r="L44" s="129">
        <f t="shared" si="23"/>
        <v>0</v>
      </c>
      <c r="M44" s="128">
        <v>0</v>
      </c>
      <c r="N44" s="36">
        <f t="shared" si="4"/>
        <v>17901.510000000002</v>
      </c>
      <c r="Q44" t="e">
        <f t="shared" si="30"/>
        <v>#N/A</v>
      </c>
      <c r="R44" t="e">
        <f t="shared" si="31"/>
        <v>#N/A</v>
      </c>
      <c r="U44" s="8" t="s">
        <v>133</v>
      </c>
      <c r="V44" s="9" t="s">
        <v>350</v>
      </c>
      <c r="W44" s="8" t="s">
        <v>133</v>
      </c>
      <c r="X44" s="13" t="s">
        <v>351</v>
      </c>
      <c r="Z44" s="1" t="s">
        <v>76</v>
      </c>
      <c r="AA44" s="1" t="s">
        <v>77</v>
      </c>
      <c r="AB44" s="2">
        <v>14549.949999999999</v>
      </c>
      <c r="AD44" s="1" t="s">
        <v>82</v>
      </c>
      <c r="AE44" s="1" t="s">
        <v>83</v>
      </c>
      <c r="AF44" s="2">
        <v>5819.41</v>
      </c>
      <c r="AH44" s="1" t="s">
        <v>88</v>
      </c>
      <c r="AI44" s="1" t="s">
        <v>89</v>
      </c>
      <c r="AJ44" s="2">
        <v>7536.21</v>
      </c>
      <c r="AL44" s="1" t="s">
        <v>96</v>
      </c>
      <c r="AM44" s="1" t="s">
        <v>97</v>
      </c>
      <c r="AN44" s="2">
        <v>45411.590000000004</v>
      </c>
      <c r="AP44" s="1" t="s">
        <v>106</v>
      </c>
      <c r="AQ44" s="1" t="s">
        <v>107</v>
      </c>
      <c r="AR44" s="2">
        <v>26934.149999999998</v>
      </c>
      <c r="AS44" s="1" t="s">
        <v>107</v>
      </c>
      <c r="AT44" s="2">
        <v>87684.19</v>
      </c>
      <c r="AV44" s="117" t="s">
        <v>72</v>
      </c>
      <c r="AW44" s="113">
        <v>2303.96</v>
      </c>
      <c r="AX44">
        <f t="shared" si="7"/>
        <v>1151.98</v>
      </c>
      <c r="AY44" s="115" t="b">
        <f t="shared" si="32"/>
        <v>1</v>
      </c>
      <c r="AZ44">
        <v>8993.09</v>
      </c>
      <c r="BA44">
        <v>20.87</v>
      </c>
      <c r="BB44">
        <v>0</v>
      </c>
      <c r="BC44">
        <v>0</v>
      </c>
      <c r="BD44" t="s">
        <v>72</v>
      </c>
      <c r="BE44" s="118" t="str">
        <f t="shared" si="8"/>
        <v>P-114/2015</v>
      </c>
      <c r="BF44" s="125" t="str">
        <f t="shared" si="9"/>
        <v>KPFI projekta (Nr.KPFI-15.4/31) "Kompleki risinājumi siltumnīcefekta gāzu emisijas samazināšanai Līgatnes pagasta kultūras namā" P-114/2015</v>
      </c>
      <c r="BG44" s="125" t="str">
        <f t="shared" si="10"/>
        <v>22.04.2015</v>
      </c>
      <c r="BH44" s="125">
        <f t="shared" si="11"/>
        <v>8936</v>
      </c>
      <c r="BI44">
        <f t="shared" si="12"/>
        <v>4468</v>
      </c>
      <c r="BJ44" s="136">
        <f t="shared" si="13"/>
        <v>13404</v>
      </c>
      <c r="BK44">
        <v>8993.09</v>
      </c>
      <c r="BL44">
        <v>20.87</v>
      </c>
      <c r="BM44">
        <v>0</v>
      </c>
      <c r="BN44">
        <v>0</v>
      </c>
      <c r="BO44" s="118" t="s">
        <v>73</v>
      </c>
      <c r="BP44">
        <f t="shared" si="14"/>
        <v>0</v>
      </c>
      <c r="BQ44" s="118" t="s">
        <v>73</v>
      </c>
      <c r="BR44">
        <f t="shared" si="15"/>
        <v>0</v>
      </c>
      <c r="BS44" s="118" t="s">
        <v>73</v>
      </c>
      <c r="BT44">
        <f t="shared" si="16"/>
        <v>0</v>
      </c>
      <c r="BW44" t="s">
        <v>73</v>
      </c>
      <c r="BX44">
        <v>0</v>
      </c>
      <c r="BY44">
        <v>0</v>
      </c>
      <c r="BZ44">
        <v>0</v>
      </c>
    </row>
    <row r="45" spans="1:78" ht="20.25" customHeight="1" outlineLevel="1" x14ac:dyDescent="0.25">
      <c r="A45" s="39">
        <v>40</v>
      </c>
      <c r="B45" s="26" t="s">
        <v>74</v>
      </c>
      <c r="C45" s="26" t="s">
        <v>75</v>
      </c>
      <c r="D45" s="28" t="s">
        <v>431</v>
      </c>
      <c r="E45" s="29" t="s">
        <v>432</v>
      </c>
      <c r="F45" s="27">
        <v>5046</v>
      </c>
      <c r="G45" s="128">
        <f t="shared" si="5"/>
        <v>5248.51</v>
      </c>
      <c r="H45" s="128">
        <f t="shared" si="27"/>
        <v>5076.0200000000004</v>
      </c>
      <c r="I45" s="128">
        <f>VLOOKUP($C45,$AI:$AJ,2,0)</f>
        <v>4905.0300000000007</v>
      </c>
      <c r="J45" s="128">
        <f t="shared" ref="J45:J55" si="33">VLOOKUP($C45,$AM:$AN,2,0)</f>
        <v>9.51</v>
      </c>
      <c r="K45" s="128">
        <v>0</v>
      </c>
      <c r="L45" s="129">
        <f t="shared" si="23"/>
        <v>0</v>
      </c>
      <c r="M45" s="128">
        <v>0</v>
      </c>
      <c r="N45" s="36">
        <f t="shared" si="4"/>
        <v>20285.07</v>
      </c>
      <c r="Q45" t="e">
        <f t="shared" si="30"/>
        <v>#N/A</v>
      </c>
      <c r="R45" t="e">
        <f t="shared" si="31"/>
        <v>#N/A</v>
      </c>
      <c r="U45" s="8" t="s">
        <v>111</v>
      </c>
      <c r="V45" s="9" t="s">
        <v>352</v>
      </c>
      <c r="W45" s="8" t="s">
        <v>111</v>
      </c>
      <c r="X45" s="13" t="s">
        <v>353</v>
      </c>
      <c r="Z45" s="1" t="s">
        <v>78</v>
      </c>
      <c r="AA45" s="1" t="s">
        <v>79</v>
      </c>
      <c r="AB45" s="2">
        <v>40338.28</v>
      </c>
      <c r="AD45" s="1" t="s">
        <v>84</v>
      </c>
      <c r="AE45" s="1" t="s">
        <v>85</v>
      </c>
      <c r="AF45" s="2">
        <v>6492.17</v>
      </c>
      <c r="AH45" s="1" t="s">
        <v>90</v>
      </c>
      <c r="AI45" s="1" t="s">
        <v>91</v>
      </c>
      <c r="AJ45" s="2">
        <v>12793.71</v>
      </c>
      <c r="AL45" s="1" t="s">
        <v>98</v>
      </c>
      <c r="AM45" s="1" t="s">
        <v>99</v>
      </c>
      <c r="AN45" s="2">
        <v>15320.15</v>
      </c>
      <c r="AP45" s="1" t="s">
        <v>108</v>
      </c>
      <c r="AQ45" s="1" t="s">
        <v>109</v>
      </c>
      <c r="AR45" s="2">
        <v>32472.77</v>
      </c>
      <c r="AS45" s="1" t="s">
        <v>109</v>
      </c>
      <c r="AT45" s="2">
        <v>105715.11999999998</v>
      </c>
      <c r="AV45" s="117" t="s">
        <v>74</v>
      </c>
      <c r="AW45" s="113">
        <v>1361.26</v>
      </c>
      <c r="AX45">
        <f t="shared" si="7"/>
        <v>680.63</v>
      </c>
      <c r="AY45" s="115" t="b">
        <f t="shared" si="32"/>
        <v>1</v>
      </c>
      <c r="AZ45">
        <v>5330.42</v>
      </c>
      <c r="BA45">
        <v>5145</v>
      </c>
      <c r="BB45">
        <v>4936.72</v>
      </c>
      <c r="BC45">
        <v>11.58</v>
      </c>
      <c r="BD45" t="s">
        <v>74</v>
      </c>
      <c r="BE45" s="118" t="str">
        <f t="shared" si="8"/>
        <v>P-164/2015</v>
      </c>
      <c r="BF45" s="125" t="str">
        <f t="shared" si="9"/>
        <v>KPFI projekta Nr.KPFI-13.3/27 "Pašvaldības publisko teritoriju apgaismojuma infrastruktūras uzlabošana Līgatnē un Augšlīgatnē'' īstenošanai P-164/2015</v>
      </c>
      <c r="BG45" s="125" t="str">
        <f t="shared" si="10"/>
        <v>20.05.2015</v>
      </c>
      <c r="BH45" s="125">
        <f t="shared" si="11"/>
        <v>5046</v>
      </c>
      <c r="BI45">
        <f t="shared" si="12"/>
        <v>2523</v>
      </c>
      <c r="BJ45" s="136">
        <f t="shared" si="13"/>
        <v>7569</v>
      </c>
      <c r="BK45">
        <v>5330.42</v>
      </c>
      <c r="BL45">
        <v>5145</v>
      </c>
      <c r="BM45">
        <v>4936.72</v>
      </c>
      <c r="BN45">
        <v>11.58</v>
      </c>
      <c r="BO45" s="118" t="s">
        <v>75</v>
      </c>
      <c r="BP45">
        <f t="shared" si="14"/>
        <v>0</v>
      </c>
      <c r="BQ45" s="118" t="s">
        <v>75</v>
      </c>
      <c r="BR45">
        <f t="shared" si="15"/>
        <v>0</v>
      </c>
      <c r="BS45" s="118" t="s">
        <v>75</v>
      </c>
      <c r="BT45">
        <f t="shared" si="16"/>
        <v>0</v>
      </c>
      <c r="BW45" t="s">
        <v>75</v>
      </c>
      <c r="BX45">
        <v>0</v>
      </c>
      <c r="BY45">
        <v>0</v>
      </c>
      <c r="BZ45">
        <v>0</v>
      </c>
    </row>
    <row r="46" spans="1:78" ht="20.25" customHeight="1" outlineLevel="1" x14ac:dyDescent="0.25">
      <c r="A46" s="39">
        <v>41</v>
      </c>
      <c r="B46" s="26" t="s">
        <v>76</v>
      </c>
      <c r="C46" s="26" t="s">
        <v>77</v>
      </c>
      <c r="D46" s="34" t="str">
        <f>VLOOKUP($C46,$U:$X,2,0)</f>
        <v>P-229/2015 pr."Cēsu pils.pamatksolas-ēkas telpu vienk.atjaunošana,L.Paegles ielā 1, Cēsīs, Cēsu novadā" īstenošanai</v>
      </c>
      <c r="E46" s="34" t="str">
        <f>VLOOKUP($C46,$W:$X,2,0)</f>
        <v>09.07.2015</v>
      </c>
      <c r="F46" s="27">
        <v>13085</v>
      </c>
      <c r="G46" s="128">
        <f t="shared" si="5"/>
        <v>14549.949999999999</v>
      </c>
      <c r="H46" s="128">
        <f t="shared" si="27"/>
        <v>14122.5</v>
      </c>
      <c r="I46" s="128">
        <f>VLOOKUP($C46,$AI:$AJ,2,0)</f>
        <v>13703.41</v>
      </c>
      <c r="J46" s="128">
        <f t="shared" si="33"/>
        <v>13283.15</v>
      </c>
      <c r="K46" s="128">
        <f t="shared" ref="K46:K55" si="34">VLOOKUP($C46,$AQ:$AR,2,0)</f>
        <v>12865.49</v>
      </c>
      <c r="L46" s="129">
        <f t="shared" si="23"/>
        <v>12449.934673</v>
      </c>
      <c r="M46" s="128">
        <f>VLOOKUP($C46,$AS:$AT,2,0)-12450</f>
        <v>12037.150000000001</v>
      </c>
      <c r="N46" s="36">
        <f t="shared" si="4"/>
        <v>106096.584673</v>
      </c>
      <c r="Q46" t="str">
        <f t="shared" si="30"/>
        <v>P-229/2015 pr."Cēsu pils.pamatksolas-ēkas telpu vienk.atjaunošana,L.Paegles ielā 1, Cēsīs, Cēsu novadā" īstenošanai</v>
      </c>
      <c r="R46" t="str">
        <f t="shared" si="31"/>
        <v>09.07.2015</v>
      </c>
      <c r="U46" s="8" t="s">
        <v>113</v>
      </c>
      <c r="V46" s="9" t="s">
        <v>354</v>
      </c>
      <c r="W46" s="8" t="s">
        <v>113</v>
      </c>
      <c r="X46" s="13" t="s">
        <v>353</v>
      </c>
      <c r="Z46" s="1" t="s">
        <v>80</v>
      </c>
      <c r="AA46" s="1" t="s">
        <v>81</v>
      </c>
      <c r="AB46" s="2">
        <v>9656.1999999999989</v>
      </c>
      <c r="AD46" s="1" t="s">
        <v>86</v>
      </c>
      <c r="AE46" s="1" t="s">
        <v>87</v>
      </c>
      <c r="AF46" s="2">
        <v>36130.6</v>
      </c>
      <c r="AH46" s="1" t="s">
        <v>92</v>
      </c>
      <c r="AI46" s="1" t="s">
        <v>93</v>
      </c>
      <c r="AJ46" s="2">
        <v>7665.17</v>
      </c>
      <c r="AL46" s="1" t="s">
        <v>100</v>
      </c>
      <c r="AM46" s="1" t="s">
        <v>101</v>
      </c>
      <c r="AN46" s="2">
        <v>19179.66</v>
      </c>
      <c r="AP46" s="1" t="s">
        <v>110</v>
      </c>
      <c r="AQ46" s="1" t="s">
        <v>111</v>
      </c>
      <c r="AR46" s="2">
        <v>15168.99</v>
      </c>
      <c r="AS46" s="1" t="s">
        <v>111</v>
      </c>
      <c r="AT46" s="2">
        <v>11053.28</v>
      </c>
      <c r="AV46" s="117" t="s">
        <v>76</v>
      </c>
      <c r="AW46" s="113">
        <v>3848.6899999999996</v>
      </c>
      <c r="AX46">
        <f t="shared" si="7"/>
        <v>1924.3449999999998</v>
      </c>
      <c r="AY46" s="115" t="b">
        <f t="shared" si="32"/>
        <v>1</v>
      </c>
      <c r="AZ46">
        <v>15236.14</v>
      </c>
      <c r="BA46">
        <v>14658.339999999998</v>
      </c>
      <c r="BB46">
        <v>14147.73</v>
      </c>
      <c r="BC46">
        <v>13635.76</v>
      </c>
      <c r="BD46" t="s">
        <v>76</v>
      </c>
      <c r="BE46" s="118" t="str">
        <f t="shared" si="8"/>
        <v>P-229/2015</v>
      </c>
      <c r="BF46" s="125" t="str">
        <f t="shared" si="9"/>
        <v>P-229/2015 pr."Cēsu pils.pamatksolas-ēkas telpu vienk.atjaunošana,L.Paegles ielā 1, Cēsīs, Cēsu novadā" īstenošanai</v>
      </c>
      <c r="BG46" s="125" t="str">
        <f t="shared" si="10"/>
        <v>09.07.2015</v>
      </c>
      <c r="BH46" s="125">
        <f t="shared" si="11"/>
        <v>13085</v>
      </c>
      <c r="BI46">
        <f t="shared" si="12"/>
        <v>6542.5</v>
      </c>
      <c r="BJ46" s="136">
        <f t="shared" si="13"/>
        <v>19627.5</v>
      </c>
      <c r="BK46">
        <v>15236.14</v>
      </c>
      <c r="BL46">
        <v>14658.339999999998</v>
      </c>
      <c r="BM46">
        <v>14147.73</v>
      </c>
      <c r="BN46">
        <v>13635.76</v>
      </c>
      <c r="BO46" s="118" t="s">
        <v>77</v>
      </c>
      <c r="BP46">
        <f t="shared" si="14"/>
        <v>12865.49</v>
      </c>
      <c r="BQ46" s="118" t="s">
        <v>77</v>
      </c>
      <c r="BR46">
        <f t="shared" si="15"/>
        <v>12449.934673</v>
      </c>
      <c r="BS46" s="118" t="s">
        <v>77</v>
      </c>
      <c r="BT46">
        <f t="shared" si="16"/>
        <v>12037.150000000001</v>
      </c>
      <c r="BW46" t="s">
        <v>77</v>
      </c>
      <c r="BX46">
        <v>12865.49</v>
      </c>
      <c r="BY46">
        <v>12449.934673</v>
      </c>
      <c r="BZ46">
        <v>12037.150000000001</v>
      </c>
    </row>
    <row r="47" spans="1:78" ht="20.25" customHeight="1" outlineLevel="1" x14ac:dyDescent="0.25">
      <c r="A47" s="39">
        <v>42</v>
      </c>
      <c r="B47" s="26" t="s">
        <v>78</v>
      </c>
      <c r="C47" s="26" t="s">
        <v>79</v>
      </c>
      <c r="D47" s="34" t="str">
        <f>VLOOKUP($C47,$U:$X,2,0)</f>
        <v>P-237/2015 pr."Raiņa i.posma jaunbūves,Noliktavas,Dzintara i. un Uzvaras bulv.krustojuma rekonstrukcijas ielām pieguļ.laukuma labiek.,Cēsīs, Cēsu nov." īstenošanai</v>
      </c>
      <c r="E47" s="34" t="str">
        <f>VLOOKUP($C47,$W:$X,2,0)</f>
        <v>20.07.2015</v>
      </c>
      <c r="F47" s="27">
        <v>34830</v>
      </c>
      <c r="G47" s="128">
        <f t="shared" si="5"/>
        <v>40338.28</v>
      </c>
      <c r="H47" s="128">
        <f t="shared" si="27"/>
        <v>39239.1</v>
      </c>
      <c r="I47" s="128">
        <f>VLOOKUP($C47,$AI:$AJ,2,0)</f>
        <v>38170.030000000006</v>
      </c>
      <c r="J47" s="128">
        <f t="shared" si="33"/>
        <v>37097.980000000003</v>
      </c>
      <c r="K47" s="128">
        <f t="shared" si="34"/>
        <v>36041.370000000003</v>
      </c>
      <c r="L47" s="129">
        <f t="shared" si="23"/>
        <v>34877.233748999999</v>
      </c>
      <c r="M47" s="128">
        <f>VLOOKUP($C47,$AS:$AT,2,0)-34877</f>
        <v>129242.76000000001</v>
      </c>
      <c r="N47" s="36">
        <f t="shared" si="4"/>
        <v>389836.75374900002</v>
      </c>
      <c r="Q47" t="str">
        <f t="shared" si="30"/>
        <v>P-237/2015 pr."Raiņa i.posma jaunbūves,Noliktavas,Dzintara i. un Uzvaras bulv.krustojuma rekonstrukcijas ielām pieguļ.laukuma labiek.,Cēsīs, Cēsu nov." īstenošanai</v>
      </c>
      <c r="R47" t="str">
        <f t="shared" si="31"/>
        <v>20.07.2015</v>
      </c>
      <c r="U47" s="8" t="s">
        <v>193</v>
      </c>
      <c r="V47" s="9" t="s">
        <v>355</v>
      </c>
      <c r="W47" s="8" t="s">
        <v>193</v>
      </c>
      <c r="X47" s="13" t="s">
        <v>356</v>
      </c>
      <c r="Z47" s="1" t="s">
        <v>82</v>
      </c>
      <c r="AA47" s="1" t="s">
        <v>83</v>
      </c>
      <c r="AB47" s="2">
        <v>5996.74</v>
      </c>
      <c r="AD47" s="1" t="s">
        <v>88</v>
      </c>
      <c r="AE47" s="1" t="s">
        <v>89</v>
      </c>
      <c r="AF47" s="2">
        <v>7763.2300000000005</v>
      </c>
      <c r="AH47" s="1" t="s">
        <v>94</v>
      </c>
      <c r="AI47" s="1" t="s">
        <v>95</v>
      </c>
      <c r="AJ47" s="2">
        <v>6800.14</v>
      </c>
      <c r="AL47" s="1" t="s">
        <v>102</v>
      </c>
      <c r="AM47" s="1" t="s">
        <v>103</v>
      </c>
      <c r="AN47" s="2">
        <v>8281.1200000000008</v>
      </c>
      <c r="AP47" s="1" t="s">
        <v>112</v>
      </c>
      <c r="AQ47" s="1" t="s">
        <v>113</v>
      </c>
      <c r="AR47" s="2">
        <v>114212.12</v>
      </c>
      <c r="AS47" s="1" t="s">
        <v>113</v>
      </c>
      <c r="AT47" s="2">
        <v>1043971.8900000002</v>
      </c>
      <c r="AV47" s="117" t="s">
        <v>78</v>
      </c>
      <c r="AW47" s="113">
        <v>10454.26</v>
      </c>
      <c r="AX47">
        <f t="shared" si="7"/>
        <v>5227.13</v>
      </c>
      <c r="AY47" s="115" t="b">
        <f t="shared" si="32"/>
        <v>1</v>
      </c>
      <c r="AZ47">
        <v>42852.07</v>
      </c>
      <c r="BA47">
        <v>41307.61</v>
      </c>
      <c r="BB47">
        <v>40005.15</v>
      </c>
      <c r="BC47">
        <v>38699.080000000009</v>
      </c>
      <c r="BD47" t="s">
        <v>78</v>
      </c>
      <c r="BE47" s="118" t="str">
        <f t="shared" si="8"/>
        <v>P-237/2015</v>
      </c>
      <c r="BF47" s="125" t="str">
        <f t="shared" si="9"/>
        <v>P-237/2015 pr."Raiņa i.posma jaunbūves,Noliktavas,Dzintara i. un Uzvaras bulv.krustojuma rekonstrukcijas ielām pieguļ.laukuma labiek.,Cēsīs, Cēsu nov." īstenošanai</v>
      </c>
      <c r="BG47" s="125" t="str">
        <f t="shared" si="10"/>
        <v>20.07.2015</v>
      </c>
      <c r="BH47" s="125">
        <f t="shared" si="11"/>
        <v>34830</v>
      </c>
      <c r="BI47">
        <f t="shared" si="12"/>
        <v>17415</v>
      </c>
      <c r="BJ47" s="136">
        <f t="shared" si="13"/>
        <v>52245</v>
      </c>
      <c r="BK47">
        <v>42852.07</v>
      </c>
      <c r="BL47">
        <v>41307.61</v>
      </c>
      <c r="BM47">
        <v>40005.15</v>
      </c>
      <c r="BN47">
        <v>38699.080000000009</v>
      </c>
      <c r="BO47" s="118" t="s">
        <v>79</v>
      </c>
      <c r="BP47">
        <f t="shared" si="14"/>
        <v>36041.370000000003</v>
      </c>
      <c r="BQ47" s="118" t="s">
        <v>79</v>
      </c>
      <c r="BR47">
        <f t="shared" si="15"/>
        <v>34877.233748999999</v>
      </c>
      <c r="BS47" s="118" t="s">
        <v>79</v>
      </c>
      <c r="BT47">
        <f t="shared" si="16"/>
        <v>129242.76000000001</v>
      </c>
      <c r="BW47" t="s">
        <v>79</v>
      </c>
      <c r="BX47">
        <v>36041.370000000003</v>
      </c>
      <c r="BY47">
        <v>34877.233748999999</v>
      </c>
      <c r="BZ47">
        <v>129242.76000000001</v>
      </c>
    </row>
    <row r="48" spans="1:78" ht="20.25" customHeight="1" outlineLevel="1" x14ac:dyDescent="0.25">
      <c r="A48" s="39">
        <v>43</v>
      </c>
      <c r="B48" s="26" t="s">
        <v>80</v>
      </c>
      <c r="C48" s="26" t="s">
        <v>81</v>
      </c>
      <c r="D48" s="28" t="s">
        <v>446</v>
      </c>
      <c r="E48" s="29" t="s">
        <v>447</v>
      </c>
      <c r="F48" s="27">
        <v>8666</v>
      </c>
      <c r="G48" s="128">
        <f t="shared" si="5"/>
        <v>9656.1999999999989</v>
      </c>
      <c r="H48" s="128">
        <f t="shared" si="27"/>
        <v>9370.6500000000015</v>
      </c>
      <c r="I48" s="128">
        <f>VLOOKUP($C48,$AI:$AJ,2,0)</f>
        <v>9090.49</v>
      </c>
      <c r="J48" s="128">
        <f t="shared" si="33"/>
        <v>8809.5400000000009</v>
      </c>
      <c r="K48" s="128">
        <f t="shared" si="34"/>
        <v>8530.14</v>
      </c>
      <c r="L48" s="129">
        <f t="shared" si="23"/>
        <v>8254.6164779999999</v>
      </c>
      <c r="M48" s="128">
        <f>VLOOKUP($C48,$AS:$AT,2,0)-8255</f>
        <v>5997.2800000000025</v>
      </c>
      <c r="N48" s="36">
        <f t="shared" si="4"/>
        <v>68374.916477999999</v>
      </c>
      <c r="Q48" t="e">
        <f t="shared" si="30"/>
        <v>#N/A</v>
      </c>
      <c r="R48" t="e">
        <f t="shared" si="31"/>
        <v>#N/A</v>
      </c>
      <c r="U48" s="8" t="s">
        <v>65</v>
      </c>
      <c r="V48" s="9" t="s">
        <v>357</v>
      </c>
      <c r="W48" s="8" t="s">
        <v>65</v>
      </c>
      <c r="X48" s="13" t="s">
        <v>358</v>
      </c>
      <c r="Z48" s="1" t="s">
        <v>84</v>
      </c>
      <c r="AA48" s="1" t="s">
        <v>85</v>
      </c>
      <c r="AB48" s="2">
        <v>6690.01</v>
      </c>
      <c r="AD48" s="1" t="s">
        <v>90</v>
      </c>
      <c r="AE48" s="1" t="s">
        <v>91</v>
      </c>
      <c r="AF48" s="2">
        <v>13221</v>
      </c>
      <c r="AH48" s="1" t="s">
        <v>96</v>
      </c>
      <c r="AI48" s="1" t="s">
        <v>97</v>
      </c>
      <c r="AJ48" s="2">
        <v>46572.93</v>
      </c>
      <c r="AL48" s="1" t="s">
        <v>104</v>
      </c>
      <c r="AM48" s="1" t="s">
        <v>105</v>
      </c>
      <c r="AN48" s="2">
        <v>16736.75</v>
      </c>
      <c r="AP48" s="1" t="s">
        <v>114</v>
      </c>
      <c r="AQ48" s="1" t="s">
        <v>115</v>
      </c>
      <c r="AR48" s="2">
        <v>58262.950000000004</v>
      </c>
      <c r="AS48" s="1" t="s">
        <v>115</v>
      </c>
      <c r="AT48" s="2">
        <v>110893.20999999999</v>
      </c>
      <c r="AV48" s="117" t="s">
        <v>80</v>
      </c>
      <c r="AW48" s="113">
        <v>2421.77</v>
      </c>
      <c r="AX48">
        <f t="shared" si="7"/>
        <v>1210.885</v>
      </c>
      <c r="AY48" s="115" t="b">
        <f t="shared" si="32"/>
        <v>1</v>
      </c>
      <c r="AZ48">
        <v>10078.83</v>
      </c>
      <c r="BA48">
        <v>9713.5199999999986</v>
      </c>
      <c r="BB48">
        <v>9372.2199999999975</v>
      </c>
      <c r="BC48">
        <v>9029.9400000000023</v>
      </c>
      <c r="BD48" t="s">
        <v>80</v>
      </c>
      <c r="BE48" s="118" t="str">
        <f t="shared" si="8"/>
        <v>P-298/2015</v>
      </c>
      <c r="BF48" s="125" t="str">
        <f t="shared" si="9"/>
        <v>Projekta Līgatnes novada pamatskolas un tās palīgēkas remontdarbi īstenošanai P-298/2015</v>
      </c>
      <c r="BG48" s="125" t="str">
        <f t="shared" si="10"/>
        <v>06.08.2015</v>
      </c>
      <c r="BH48" s="125">
        <f t="shared" si="11"/>
        <v>8666</v>
      </c>
      <c r="BI48">
        <f t="shared" si="12"/>
        <v>4333</v>
      </c>
      <c r="BJ48" s="136">
        <f t="shared" si="13"/>
        <v>12999</v>
      </c>
      <c r="BK48">
        <v>10078.83</v>
      </c>
      <c r="BL48">
        <v>9713.5199999999986</v>
      </c>
      <c r="BM48">
        <v>9372.2199999999975</v>
      </c>
      <c r="BN48">
        <v>9029.9400000000023</v>
      </c>
      <c r="BO48" s="118" t="s">
        <v>81</v>
      </c>
      <c r="BP48">
        <f t="shared" si="14"/>
        <v>8530.14</v>
      </c>
      <c r="BQ48" s="118" t="s">
        <v>81</v>
      </c>
      <c r="BR48">
        <f t="shared" si="15"/>
        <v>8254.6164779999999</v>
      </c>
      <c r="BS48" s="118" t="s">
        <v>81</v>
      </c>
      <c r="BT48">
        <f t="shared" si="16"/>
        <v>5997.2800000000025</v>
      </c>
      <c r="BW48" t="s">
        <v>81</v>
      </c>
      <c r="BX48">
        <v>8530.14</v>
      </c>
      <c r="BY48">
        <v>8254.6164779999999</v>
      </c>
      <c r="BZ48">
        <v>5997.2800000000025</v>
      </c>
    </row>
    <row r="49" spans="1:78" ht="20.25" customHeight="1" outlineLevel="1" x14ac:dyDescent="0.25">
      <c r="A49" s="39">
        <v>44</v>
      </c>
      <c r="B49" s="26" t="s">
        <v>82</v>
      </c>
      <c r="C49" s="26" t="s">
        <v>83</v>
      </c>
      <c r="D49" s="34" t="str">
        <f>VLOOKUP($C49,$U:$X,2,0)</f>
        <v>Siltumtrases, katlu māja - Straupes pamatskola, rekonstrukcija</v>
      </c>
      <c r="E49" s="34" t="str">
        <f>VLOOKUP($C49,$W:$X,2,0)</f>
        <v>20.08.2015</v>
      </c>
      <c r="F49" s="27">
        <v>5444</v>
      </c>
      <c r="G49" s="128">
        <f t="shared" si="5"/>
        <v>5996.74</v>
      </c>
      <c r="H49" s="128">
        <f t="shared" si="27"/>
        <v>5819.41</v>
      </c>
      <c r="I49" s="130">
        <v>5672</v>
      </c>
      <c r="J49" s="128">
        <f t="shared" si="33"/>
        <v>5470.95</v>
      </c>
      <c r="K49" s="128">
        <f t="shared" si="34"/>
        <v>5297.4400000000005</v>
      </c>
      <c r="L49" s="129">
        <f t="shared" si="23"/>
        <v>5126.3326880000004</v>
      </c>
      <c r="M49" s="128">
        <f>VLOOKUP($C49,$AS:$AT,2,0)-5126</f>
        <v>3728.4799999999996</v>
      </c>
      <c r="N49" s="36">
        <f t="shared" si="4"/>
        <v>42555.352687999999</v>
      </c>
      <c r="Q49" t="str">
        <f t="shared" si="30"/>
        <v>Siltumtrases, katlu māja - Straupes pamatskola, rekonstrukcija</v>
      </c>
      <c r="R49" t="str">
        <f t="shared" si="31"/>
        <v>20.08.2015</v>
      </c>
      <c r="U49" s="8" t="s">
        <v>195</v>
      </c>
      <c r="V49" s="9" t="s">
        <v>359</v>
      </c>
      <c r="W49" s="8" t="s">
        <v>195</v>
      </c>
      <c r="X49" s="14" t="s">
        <v>360</v>
      </c>
      <c r="Z49" s="1" t="s">
        <v>86</v>
      </c>
      <c r="AA49" s="1" t="s">
        <v>87</v>
      </c>
      <c r="AB49" s="2">
        <v>37089.82</v>
      </c>
      <c r="AD49" s="1" t="s">
        <v>92</v>
      </c>
      <c r="AE49" s="1" t="s">
        <v>93</v>
      </c>
      <c r="AF49" s="2">
        <v>7894.34</v>
      </c>
      <c r="AH49" s="1" t="s">
        <v>98</v>
      </c>
      <c r="AI49" s="1" t="s">
        <v>99</v>
      </c>
      <c r="AJ49" s="2">
        <v>15782.91</v>
      </c>
      <c r="AL49" s="1" t="s">
        <v>106</v>
      </c>
      <c r="AM49" s="1" t="s">
        <v>107</v>
      </c>
      <c r="AN49" s="2">
        <v>27764.19</v>
      </c>
      <c r="AP49" s="1" t="s">
        <v>116</v>
      </c>
      <c r="AQ49" s="1" t="s">
        <v>117</v>
      </c>
      <c r="AR49" s="2">
        <v>3236.83</v>
      </c>
      <c r="AS49" s="1" t="s">
        <v>117</v>
      </c>
      <c r="AT49" s="2">
        <v>0</v>
      </c>
      <c r="AV49" s="117" t="s">
        <v>82</v>
      </c>
      <c r="AW49" s="113">
        <v>1458.6999999999998</v>
      </c>
      <c r="AX49">
        <f t="shared" si="7"/>
        <v>729.34999999999991</v>
      </c>
      <c r="AY49" s="115" t="b">
        <f t="shared" si="32"/>
        <v>1</v>
      </c>
      <c r="AZ49">
        <v>6248.3899999999994</v>
      </c>
      <c r="BA49">
        <v>6032.35</v>
      </c>
      <c r="BB49">
        <v>5820.37</v>
      </c>
      <c r="BC49">
        <v>5607.8099999999995</v>
      </c>
      <c r="BD49" t="s">
        <v>82</v>
      </c>
      <c r="BE49" s="118" t="str">
        <f t="shared" si="8"/>
        <v>P-346/2015</v>
      </c>
      <c r="BF49" s="125" t="str">
        <f t="shared" si="9"/>
        <v>Siltumtrases, katlu māja - Straupes pamatskola, rekonstrukcija</v>
      </c>
      <c r="BG49" s="125" t="str">
        <f t="shared" si="10"/>
        <v>20.08.2015</v>
      </c>
      <c r="BH49" s="125">
        <f t="shared" si="11"/>
        <v>5444</v>
      </c>
      <c r="BI49">
        <f t="shared" si="12"/>
        <v>2722</v>
      </c>
      <c r="BJ49" s="136">
        <f t="shared" si="13"/>
        <v>8166</v>
      </c>
      <c r="BK49">
        <v>6248.3899999999994</v>
      </c>
      <c r="BL49">
        <v>6032.35</v>
      </c>
      <c r="BM49">
        <v>5820.37</v>
      </c>
      <c r="BN49">
        <v>5607.8099999999995</v>
      </c>
      <c r="BO49" s="118" t="s">
        <v>83</v>
      </c>
      <c r="BP49">
        <f t="shared" si="14"/>
        <v>5297.4400000000005</v>
      </c>
      <c r="BQ49" s="118" t="s">
        <v>83</v>
      </c>
      <c r="BR49">
        <f t="shared" si="15"/>
        <v>5126.3326880000004</v>
      </c>
      <c r="BS49" s="118" t="s">
        <v>83</v>
      </c>
      <c r="BT49">
        <f t="shared" si="16"/>
        <v>3728.4799999999996</v>
      </c>
      <c r="BW49" t="s">
        <v>83</v>
      </c>
      <c r="BX49">
        <v>5297.4400000000005</v>
      </c>
      <c r="BY49">
        <v>5126.3326880000004</v>
      </c>
      <c r="BZ49">
        <v>3728.4799999999996</v>
      </c>
    </row>
    <row r="50" spans="1:78" ht="20.25" customHeight="1" outlineLevel="1" x14ac:dyDescent="0.25">
      <c r="A50" s="39">
        <v>45</v>
      </c>
      <c r="B50" s="26" t="s">
        <v>84</v>
      </c>
      <c r="C50" s="26" t="s">
        <v>85</v>
      </c>
      <c r="D50" s="34" t="str">
        <f>VLOOKUP($C50,$U:$X,2,0)</f>
        <v>Straupes centra publiskāsteritorijas labiekārtošana un vieglo automašīnu stāvlaukuma izbūve pie Straupes pamatskolas</v>
      </c>
      <c r="E50" s="34" t="str">
        <f>VLOOKUP($C50,$W:$X,2,0)</f>
        <v>20.08.2015</v>
      </c>
      <c r="F50" s="27">
        <v>6073</v>
      </c>
      <c r="G50" s="128">
        <f t="shared" si="5"/>
        <v>6690.01</v>
      </c>
      <c r="H50" s="128">
        <f t="shared" si="27"/>
        <v>6492.17</v>
      </c>
      <c r="I50" s="128">
        <f t="shared" ref="I50:I55" si="35">VLOOKUP($C50,$AI:$AJ,2,0)</f>
        <v>6298.0700000000006</v>
      </c>
      <c r="J50" s="128">
        <f t="shared" si="33"/>
        <v>6103.4400000000005</v>
      </c>
      <c r="K50" s="128">
        <f t="shared" si="34"/>
        <v>5909.87</v>
      </c>
      <c r="L50" s="129">
        <f t="shared" si="23"/>
        <v>5718.9811989999998</v>
      </c>
      <c r="M50" s="128">
        <f>VLOOKUP($C50,$AS:$AT,2,0)-5719</f>
        <v>4159.119999999999</v>
      </c>
      <c r="N50" s="36">
        <f t="shared" si="4"/>
        <v>47444.661199000009</v>
      </c>
      <c r="Q50" t="str">
        <f t="shared" si="30"/>
        <v>Straupes centra publiskāsteritorijas labiekārtošana un vieglo automašīnu stāvlaukuma izbūve pie Straupes pamatskolas</v>
      </c>
      <c r="R50" t="str">
        <f t="shared" si="31"/>
        <v>20.08.2015</v>
      </c>
      <c r="U50" s="10" t="s">
        <v>167</v>
      </c>
      <c r="V50" s="9" t="s">
        <v>361</v>
      </c>
      <c r="W50" s="10" t="s">
        <v>167</v>
      </c>
      <c r="X50" s="13" t="s">
        <v>362</v>
      </c>
      <c r="Z50" s="1" t="s">
        <v>88</v>
      </c>
      <c r="AA50" s="1" t="s">
        <v>89</v>
      </c>
      <c r="AB50" s="2">
        <v>7995.0800000000008</v>
      </c>
      <c r="AD50" s="1" t="s">
        <v>94</v>
      </c>
      <c r="AE50" s="1" t="s">
        <v>95</v>
      </c>
      <c r="AF50" s="2">
        <v>7003.4400000000005</v>
      </c>
      <c r="AH50" s="1" t="s">
        <v>100</v>
      </c>
      <c r="AI50" s="1" t="s">
        <v>101</v>
      </c>
      <c r="AJ50" s="2">
        <v>19708.98</v>
      </c>
      <c r="AL50" s="1" t="s">
        <v>108</v>
      </c>
      <c r="AM50" s="1" t="s">
        <v>109</v>
      </c>
      <c r="AN50" s="2">
        <v>33473.47</v>
      </c>
      <c r="AP50" s="1" t="s">
        <v>118</v>
      </c>
      <c r="AQ50" s="1" t="s">
        <v>119</v>
      </c>
      <c r="AR50" s="2">
        <v>22328.649999999998</v>
      </c>
      <c r="AS50" s="1" t="s">
        <v>119</v>
      </c>
      <c r="AT50" s="2">
        <v>26880.45</v>
      </c>
      <c r="AV50" s="117" t="s">
        <v>84</v>
      </c>
      <c r="AW50" s="113">
        <v>1627.3300000000002</v>
      </c>
      <c r="AX50">
        <f t="shared" si="7"/>
        <v>813.66500000000008</v>
      </c>
      <c r="AY50" s="115" t="b">
        <f t="shared" si="32"/>
        <v>1</v>
      </c>
      <c r="AZ50">
        <v>6970.75</v>
      </c>
      <c r="BA50">
        <v>6729.74</v>
      </c>
      <c r="BB50">
        <v>6493.27</v>
      </c>
      <c r="BC50">
        <v>6256.12</v>
      </c>
      <c r="BD50" t="s">
        <v>84</v>
      </c>
      <c r="BE50" s="118" t="str">
        <f t="shared" si="8"/>
        <v>P-347/2015</v>
      </c>
      <c r="BF50" s="125" t="str">
        <f t="shared" si="9"/>
        <v>Straupes centra publiskāsteritorijas labiekārtošana un vieglo automašīnu stāvlaukuma izbūve pie Straupes pamatskolas</v>
      </c>
      <c r="BG50" s="125" t="str">
        <f t="shared" si="10"/>
        <v>20.08.2015</v>
      </c>
      <c r="BH50" s="125">
        <f t="shared" si="11"/>
        <v>5444</v>
      </c>
      <c r="BI50">
        <f t="shared" si="12"/>
        <v>2722</v>
      </c>
      <c r="BJ50" s="136">
        <f t="shared" si="13"/>
        <v>8166</v>
      </c>
      <c r="BK50">
        <v>6970.75</v>
      </c>
      <c r="BL50">
        <v>6729.74</v>
      </c>
      <c r="BM50">
        <v>6493.27</v>
      </c>
      <c r="BN50">
        <v>6256.12</v>
      </c>
      <c r="BO50" s="118" t="s">
        <v>85</v>
      </c>
      <c r="BP50">
        <f t="shared" si="14"/>
        <v>5909.87</v>
      </c>
      <c r="BQ50" s="118" t="s">
        <v>85</v>
      </c>
      <c r="BR50">
        <f t="shared" si="15"/>
        <v>5718.9811989999998</v>
      </c>
      <c r="BS50" s="118" t="s">
        <v>85</v>
      </c>
      <c r="BT50">
        <f t="shared" si="16"/>
        <v>4159.119999999999</v>
      </c>
      <c r="BW50" t="s">
        <v>85</v>
      </c>
      <c r="BX50">
        <v>5909.87</v>
      </c>
      <c r="BY50">
        <v>5718.9811989999998</v>
      </c>
      <c r="BZ50">
        <v>4159.119999999999</v>
      </c>
    </row>
    <row r="51" spans="1:78" ht="20.25" customHeight="1" outlineLevel="1" x14ac:dyDescent="0.25">
      <c r="A51" s="39">
        <v>46</v>
      </c>
      <c r="B51" s="26" t="s">
        <v>86</v>
      </c>
      <c r="C51" s="26" t="s">
        <v>87</v>
      </c>
      <c r="D51" s="34" t="str">
        <f>VLOOKUP($C51,$U:$X,2,0)</f>
        <v>Jaunpiebalgas mākslas skolas rekonstrukcija</v>
      </c>
      <c r="E51" s="34" t="str">
        <f>VLOOKUP($C51,$W:$X,2,0)</f>
        <v>29.01.2016</v>
      </c>
      <c r="F51" s="27">
        <v>34130</v>
      </c>
      <c r="G51" s="128">
        <f t="shared" si="5"/>
        <v>37089.82</v>
      </c>
      <c r="H51" s="128">
        <f t="shared" si="27"/>
        <v>36130.6</v>
      </c>
      <c r="I51" s="128">
        <f t="shared" si="35"/>
        <v>35203.129999999997</v>
      </c>
      <c r="J51" s="128">
        <f t="shared" si="33"/>
        <v>34273.200000000004</v>
      </c>
      <c r="K51" s="128">
        <f t="shared" si="34"/>
        <v>33362.300000000003</v>
      </c>
      <c r="L51" s="129">
        <f t="shared" si="23"/>
        <v>32284.697710000004</v>
      </c>
      <c r="M51" s="128">
        <f>VLOOKUP($C51,$AS:$AT,2,0)-32285</f>
        <v>181675.62</v>
      </c>
      <c r="N51" s="36">
        <f t="shared" si="4"/>
        <v>424149.36771000002</v>
      </c>
      <c r="Q51" t="str">
        <f t="shared" si="30"/>
        <v>Jaunpiebalgas mākslas skolas rekonstrukcija</v>
      </c>
      <c r="R51" t="str">
        <f t="shared" si="31"/>
        <v>29.01.2016</v>
      </c>
      <c r="U51" s="8" t="s">
        <v>165</v>
      </c>
      <c r="V51" s="9" t="s">
        <v>363</v>
      </c>
      <c r="W51" s="8" t="s">
        <v>165</v>
      </c>
      <c r="X51" s="13" t="s">
        <v>362</v>
      </c>
      <c r="Z51" s="1" t="s">
        <v>90</v>
      </c>
      <c r="AA51" s="1" t="s">
        <v>91</v>
      </c>
      <c r="AB51" s="2">
        <v>13653.560000000001</v>
      </c>
      <c r="AD51" s="1" t="s">
        <v>96</v>
      </c>
      <c r="AE51" s="1" t="s">
        <v>97</v>
      </c>
      <c r="AF51" s="2">
        <v>47731.109999999993</v>
      </c>
      <c r="AH51" s="1" t="s">
        <v>102</v>
      </c>
      <c r="AI51" s="1" t="s">
        <v>103</v>
      </c>
      <c r="AJ51" s="2">
        <v>8520.41</v>
      </c>
      <c r="AL51" s="1" t="s">
        <v>110</v>
      </c>
      <c r="AM51" s="1" t="s">
        <v>111</v>
      </c>
      <c r="AN51" s="2">
        <v>15684.19</v>
      </c>
      <c r="AP51" s="1" t="s">
        <v>120</v>
      </c>
      <c r="AQ51" s="1" t="s">
        <v>121</v>
      </c>
      <c r="AR51" s="2">
        <v>19095.29</v>
      </c>
      <c r="AS51" s="1" t="s">
        <v>121</v>
      </c>
      <c r="AT51" s="2">
        <v>78772.149999999994</v>
      </c>
      <c r="AV51" s="119" t="s">
        <v>88</v>
      </c>
      <c r="AW51" s="113">
        <v>2114.73</v>
      </c>
      <c r="AX51">
        <f t="shared" si="7"/>
        <v>1057.365</v>
      </c>
      <c r="AY51" s="115" t="b">
        <f t="shared" si="32"/>
        <v>0</v>
      </c>
      <c r="AZ51">
        <v>8307.07</v>
      </c>
      <c r="BA51">
        <v>8078.28</v>
      </c>
      <c r="BB51">
        <v>7801.7199999999993</v>
      </c>
      <c r="BC51">
        <v>7524.42</v>
      </c>
      <c r="BD51" t="s">
        <v>88</v>
      </c>
      <c r="BE51" s="118" t="str">
        <f t="shared" si="8"/>
        <v>P-72/2016</v>
      </c>
      <c r="BF51" s="125" t="str">
        <f t="shared" si="9"/>
        <v>Darbnīcas ēkas pārbūve par interešu centru</v>
      </c>
      <c r="BG51" s="125" t="str">
        <f t="shared" si="10"/>
        <v>27.05.2016</v>
      </c>
      <c r="BH51" s="125">
        <f t="shared" si="11"/>
        <v>7189</v>
      </c>
      <c r="BI51">
        <f t="shared" si="12"/>
        <v>3594.5</v>
      </c>
      <c r="BJ51" s="136">
        <f t="shared" si="13"/>
        <v>10783.5</v>
      </c>
      <c r="BK51">
        <v>8307.07</v>
      </c>
      <c r="BL51">
        <v>8078.28</v>
      </c>
      <c r="BM51">
        <v>7801.7199999999993</v>
      </c>
      <c r="BN51">
        <v>7524.42</v>
      </c>
      <c r="BO51" s="118" t="s">
        <v>89</v>
      </c>
      <c r="BP51">
        <f t="shared" si="14"/>
        <v>7082.68</v>
      </c>
      <c r="BQ51" s="118" t="s">
        <v>89</v>
      </c>
      <c r="BR51">
        <f t="shared" si="15"/>
        <v>6853.9094359999999</v>
      </c>
      <c r="BS51" s="118" t="s">
        <v>89</v>
      </c>
      <c r="BT51">
        <f t="shared" si="16"/>
        <v>9859.5</v>
      </c>
      <c r="BW51" t="s">
        <v>87</v>
      </c>
      <c r="BX51">
        <v>33362.300000000003</v>
      </c>
      <c r="BY51">
        <v>32284.697710000004</v>
      </c>
      <c r="BZ51">
        <v>181675.62</v>
      </c>
    </row>
    <row r="52" spans="1:78" ht="20.25" customHeight="1" outlineLevel="1" x14ac:dyDescent="0.25">
      <c r="A52" s="39">
        <v>47</v>
      </c>
      <c r="B52" s="26" t="s">
        <v>88</v>
      </c>
      <c r="C52" s="26" t="s">
        <v>89</v>
      </c>
      <c r="D52" s="34" t="str">
        <f>VLOOKUP($C52,$U:$X,2,0)</f>
        <v>Darbnīcas ēkas pārbūve par interešu centru</v>
      </c>
      <c r="E52" s="34" t="str">
        <f>VLOOKUP($C52,$W:$X,2,0)</f>
        <v>27.05.2016</v>
      </c>
      <c r="F52" s="27">
        <v>7189</v>
      </c>
      <c r="G52" s="128">
        <f t="shared" si="5"/>
        <v>7995.0800000000008</v>
      </c>
      <c r="H52" s="128">
        <f t="shared" si="27"/>
        <v>7763.2300000000005</v>
      </c>
      <c r="I52" s="128">
        <f t="shared" si="35"/>
        <v>7536.21</v>
      </c>
      <c r="J52" s="128">
        <f t="shared" si="33"/>
        <v>7308.6</v>
      </c>
      <c r="K52" s="128">
        <f t="shared" si="34"/>
        <v>7082.68</v>
      </c>
      <c r="L52" s="129">
        <f t="shared" si="23"/>
        <v>6853.9094359999999</v>
      </c>
      <c r="M52" s="128">
        <f>VLOOKUP($C52,$AS:$AT,2,0)-6854</f>
        <v>9859.5</v>
      </c>
      <c r="N52" s="36">
        <f t="shared" si="4"/>
        <v>61588.209436000005</v>
      </c>
      <c r="Q52" t="str">
        <f t="shared" si="30"/>
        <v>Darbnīcas ēkas pārbūve par interešu centru</v>
      </c>
      <c r="R52" t="str">
        <f t="shared" si="31"/>
        <v>27.05.2016</v>
      </c>
      <c r="U52" s="8" t="s">
        <v>141</v>
      </c>
      <c r="V52" s="9" t="s">
        <v>364</v>
      </c>
      <c r="W52" s="8" t="s">
        <v>141</v>
      </c>
      <c r="X52" s="13" t="s">
        <v>365</v>
      </c>
      <c r="Z52" s="1" t="s">
        <v>92</v>
      </c>
      <c r="AA52" s="1" t="s">
        <v>93</v>
      </c>
      <c r="AB52" s="2">
        <v>8128.5300000000007</v>
      </c>
      <c r="AD52" s="1" t="s">
        <v>98</v>
      </c>
      <c r="AE52" s="1" t="s">
        <v>99</v>
      </c>
      <c r="AF52" s="2">
        <v>16244.4</v>
      </c>
      <c r="AH52" s="1" t="s">
        <v>104</v>
      </c>
      <c r="AI52" s="1" t="s">
        <v>105</v>
      </c>
      <c r="AJ52" s="2">
        <v>17242.27</v>
      </c>
      <c r="AL52" s="1" t="s">
        <v>112</v>
      </c>
      <c r="AM52" s="1" t="s">
        <v>113</v>
      </c>
      <c r="AN52" s="2">
        <v>117024.92</v>
      </c>
      <c r="AP52" s="1" t="s">
        <v>122</v>
      </c>
      <c r="AQ52" s="1" t="s">
        <v>123</v>
      </c>
      <c r="AR52" s="2">
        <v>6570.26</v>
      </c>
      <c r="AS52" s="1" t="s">
        <v>123</v>
      </c>
      <c r="AT52" s="2">
        <v>27107.879999999997</v>
      </c>
      <c r="AV52" s="119" t="s">
        <v>86</v>
      </c>
      <c r="AW52" s="113">
        <v>9487.49</v>
      </c>
      <c r="AX52">
        <f t="shared" si="7"/>
        <v>4743.7449999999999</v>
      </c>
      <c r="AY52" s="115" t="b">
        <f t="shared" si="32"/>
        <v>0</v>
      </c>
      <c r="AZ52">
        <v>38795.550000000003</v>
      </c>
      <c r="BA52">
        <v>38381.49</v>
      </c>
      <c r="BB52">
        <v>37251.57</v>
      </c>
      <c r="BC52">
        <v>36118.58</v>
      </c>
      <c r="BD52" t="s">
        <v>86</v>
      </c>
      <c r="BE52" s="118" t="str">
        <f t="shared" si="8"/>
        <v>P-8/2016</v>
      </c>
      <c r="BF52" s="125" t="str">
        <f t="shared" si="9"/>
        <v>Jaunpiebalgas mākslas skolas rekonstrukcija</v>
      </c>
      <c r="BG52" s="125" t="str">
        <f t="shared" si="10"/>
        <v>29.01.2016</v>
      </c>
      <c r="BH52" s="125">
        <f t="shared" si="11"/>
        <v>34130</v>
      </c>
      <c r="BI52">
        <f t="shared" si="12"/>
        <v>17065</v>
      </c>
      <c r="BJ52" s="136">
        <f t="shared" si="13"/>
        <v>51195</v>
      </c>
      <c r="BK52">
        <v>38795.550000000003</v>
      </c>
      <c r="BL52">
        <v>38381.49</v>
      </c>
      <c r="BM52">
        <v>37251.57</v>
      </c>
      <c r="BN52">
        <v>36118.58</v>
      </c>
      <c r="BO52" s="118" t="s">
        <v>87</v>
      </c>
      <c r="BP52">
        <f t="shared" si="14"/>
        <v>33362.300000000003</v>
      </c>
      <c r="BQ52" s="118" t="s">
        <v>87</v>
      </c>
      <c r="BR52">
        <f t="shared" si="15"/>
        <v>32284.697710000004</v>
      </c>
      <c r="BS52" s="118" t="s">
        <v>87</v>
      </c>
      <c r="BT52">
        <f t="shared" si="16"/>
        <v>181675.62</v>
      </c>
      <c r="BW52" t="s">
        <v>89</v>
      </c>
      <c r="BX52">
        <v>7082.68</v>
      </c>
      <c r="BY52">
        <v>6853.9094359999999</v>
      </c>
      <c r="BZ52">
        <v>9859.5</v>
      </c>
    </row>
    <row r="53" spans="1:78" ht="20.25" customHeight="1" outlineLevel="1" x14ac:dyDescent="0.25">
      <c r="A53" s="39">
        <v>48</v>
      </c>
      <c r="B53" s="26" t="s">
        <v>90</v>
      </c>
      <c r="C53" s="26" t="s">
        <v>91</v>
      </c>
      <c r="D53" s="34" t="str">
        <f>VLOOKUP($C53,$U:$X,2,0)</f>
        <v>P-196/2016 pr.Raiņa un Piebalgas ielas krustojuma rekonstrukcija, izbūvējot rotācijas apli Cēsīs, Cēsu novadā</v>
      </c>
      <c r="E53" s="34" t="str">
        <f>VLOOKUP($C53,$W:$X,2,0)</f>
        <v>26.07.2016</v>
      </c>
      <c r="F53" s="27">
        <v>12861</v>
      </c>
      <c r="G53" s="128">
        <f t="shared" si="5"/>
        <v>13653.560000000001</v>
      </c>
      <c r="H53" s="128">
        <f t="shared" si="27"/>
        <v>13221</v>
      </c>
      <c r="I53" s="128">
        <f t="shared" si="35"/>
        <v>12793.71</v>
      </c>
      <c r="J53" s="128">
        <f t="shared" si="33"/>
        <v>12365.24</v>
      </c>
      <c r="K53" s="128">
        <f t="shared" si="34"/>
        <v>3039.39</v>
      </c>
      <c r="L53" s="129">
        <v>0</v>
      </c>
      <c r="M53" s="128">
        <f>VLOOKUP($C53,$AS:$AT,2,0)</f>
        <v>0</v>
      </c>
      <c r="N53" s="36">
        <f t="shared" si="4"/>
        <v>67933.899999999994</v>
      </c>
      <c r="Q53" t="str">
        <f t="shared" si="30"/>
        <v>P-196/2016 pr.Raiņa un Piebalgas ielas krustojuma rekonstrukcija, izbūvējot rotācijas apli Cēsīs, Cēsu novadā</v>
      </c>
      <c r="R53" t="str">
        <f t="shared" si="31"/>
        <v>26.07.2016</v>
      </c>
      <c r="U53" s="8" t="s">
        <v>115</v>
      </c>
      <c r="V53" s="9" t="s">
        <v>366</v>
      </c>
      <c r="W53" s="8" t="s">
        <v>115</v>
      </c>
      <c r="X53" s="13" t="s">
        <v>367</v>
      </c>
      <c r="Z53" s="1" t="s">
        <v>94</v>
      </c>
      <c r="AA53" s="1" t="s">
        <v>95</v>
      </c>
      <c r="AB53" s="2">
        <v>7211.21</v>
      </c>
      <c r="AD53" s="1" t="s">
        <v>100</v>
      </c>
      <c r="AE53" s="1" t="s">
        <v>101</v>
      </c>
      <c r="AF53" s="2">
        <v>20236.829999999998</v>
      </c>
      <c r="AH53" s="1" t="s">
        <v>106</v>
      </c>
      <c r="AI53" s="1" t="s">
        <v>107</v>
      </c>
      <c r="AJ53" s="2">
        <v>28602.83</v>
      </c>
      <c r="AL53" s="1" t="s">
        <v>114</v>
      </c>
      <c r="AM53" s="1" t="s">
        <v>115</v>
      </c>
      <c r="AN53" s="2">
        <v>60154.39</v>
      </c>
      <c r="AP53" s="1" t="s">
        <v>124</v>
      </c>
      <c r="AQ53" s="1" t="s">
        <v>125</v>
      </c>
      <c r="AR53" s="2">
        <v>18867.43</v>
      </c>
      <c r="AS53" s="1" t="s">
        <v>125</v>
      </c>
      <c r="AT53" s="2">
        <v>27141.260000000002</v>
      </c>
      <c r="AV53" s="117" t="s">
        <v>90</v>
      </c>
      <c r="AW53" s="113">
        <v>3499.89</v>
      </c>
      <c r="AX53">
        <f t="shared" si="7"/>
        <v>1749.9449999999999</v>
      </c>
      <c r="AY53" s="115" t="b">
        <f t="shared" si="32"/>
        <v>1</v>
      </c>
      <c r="AZ53">
        <v>14072.36</v>
      </c>
      <c r="BA53">
        <v>13510.25</v>
      </c>
      <c r="BB53">
        <v>12989.69</v>
      </c>
      <c r="BC53">
        <v>12467.689999999999</v>
      </c>
      <c r="BD53" s="122" t="s">
        <v>90</v>
      </c>
      <c r="BE53" s="118" t="str">
        <f t="shared" si="8"/>
        <v>P-196/2016</v>
      </c>
      <c r="BF53" s="125" t="str">
        <f t="shared" si="9"/>
        <v>P-196/2016 pr.Raiņa un Piebalgas ielas krustojuma rekonstrukcija, izbūvējot rotācijas apli Cēsīs, Cēsu novadā</v>
      </c>
      <c r="BG53" s="125" t="str">
        <f t="shared" si="10"/>
        <v>26.07.2016</v>
      </c>
      <c r="BH53" s="125">
        <f t="shared" si="11"/>
        <v>12861</v>
      </c>
      <c r="BI53">
        <f t="shared" si="12"/>
        <v>6430.5</v>
      </c>
      <c r="BJ53" s="136">
        <f t="shared" si="13"/>
        <v>19291.5</v>
      </c>
      <c r="BK53">
        <v>14072.36</v>
      </c>
      <c r="BL53">
        <v>13510.25</v>
      </c>
      <c r="BM53">
        <v>12989.69</v>
      </c>
      <c r="BN53">
        <v>12467.689999999999</v>
      </c>
      <c r="BO53" s="118" t="s">
        <v>91</v>
      </c>
      <c r="BP53">
        <f t="shared" si="14"/>
        <v>3039.39</v>
      </c>
      <c r="BQ53" s="118" t="s">
        <v>91</v>
      </c>
      <c r="BR53">
        <f t="shared" si="15"/>
        <v>0</v>
      </c>
      <c r="BS53" s="118" t="s">
        <v>91</v>
      </c>
      <c r="BT53">
        <f t="shared" si="16"/>
        <v>0</v>
      </c>
      <c r="BW53" t="s">
        <v>91</v>
      </c>
      <c r="BX53">
        <v>3039.39</v>
      </c>
      <c r="BY53">
        <v>0</v>
      </c>
      <c r="BZ53">
        <v>0</v>
      </c>
    </row>
    <row r="54" spans="1:78" ht="16.899999999999999" customHeight="1" outlineLevel="1" x14ac:dyDescent="0.25">
      <c r="A54" s="39">
        <v>49</v>
      </c>
      <c r="B54" s="26" t="s">
        <v>92</v>
      </c>
      <c r="C54" s="26" t="s">
        <v>93</v>
      </c>
      <c r="D54" s="28" t="s">
        <v>560</v>
      </c>
      <c r="E54" s="29" t="s">
        <v>445</v>
      </c>
      <c r="F54" s="27">
        <v>7191</v>
      </c>
      <c r="G54" s="128">
        <f t="shared" si="5"/>
        <v>8128.5300000000007</v>
      </c>
      <c r="H54" s="128">
        <f t="shared" si="27"/>
        <v>7894.34</v>
      </c>
      <c r="I54" s="128">
        <f t="shared" si="35"/>
        <v>7665.17</v>
      </c>
      <c r="J54" s="128">
        <f t="shared" si="33"/>
        <v>7435.38</v>
      </c>
      <c r="K54" s="128">
        <f t="shared" si="34"/>
        <v>7207.4800000000005</v>
      </c>
      <c r="L54" s="129">
        <f t="shared" si="23"/>
        <v>6974.6783960000002</v>
      </c>
      <c r="M54" s="128">
        <f>VLOOKUP($C54,$AS:$AT,2,0)-6975</f>
        <v>11657.93</v>
      </c>
      <c r="N54" s="36">
        <f t="shared" si="4"/>
        <v>64154.508396000005</v>
      </c>
      <c r="Q54" t="e">
        <f t="shared" si="30"/>
        <v>#N/A</v>
      </c>
      <c r="R54" t="e">
        <f t="shared" si="31"/>
        <v>#N/A</v>
      </c>
      <c r="U54" s="8" t="s">
        <v>267</v>
      </c>
      <c r="V54" s="9" t="s">
        <v>368</v>
      </c>
      <c r="W54" s="8" t="s">
        <v>267</v>
      </c>
      <c r="X54" s="13" t="s">
        <v>367</v>
      </c>
      <c r="Z54" s="1" t="s">
        <v>96</v>
      </c>
      <c r="AA54" s="1" t="s">
        <v>97</v>
      </c>
      <c r="AB54" s="2">
        <v>48936.19</v>
      </c>
      <c r="AD54" s="1" t="s">
        <v>102</v>
      </c>
      <c r="AE54" s="1" t="s">
        <v>103</v>
      </c>
      <c r="AF54" s="2">
        <v>8759.0400000000009</v>
      </c>
      <c r="AH54" s="1" t="s">
        <v>108</v>
      </c>
      <c r="AI54" s="1" t="s">
        <v>109</v>
      </c>
      <c r="AJ54" s="2">
        <v>34484.57</v>
      </c>
      <c r="AL54" s="1" t="s">
        <v>116</v>
      </c>
      <c r="AM54" s="1" t="s">
        <v>117</v>
      </c>
      <c r="AN54" s="2">
        <v>13209.279999999999</v>
      </c>
      <c r="AP54" s="1" t="s">
        <v>126</v>
      </c>
      <c r="AQ54" s="1" t="s">
        <v>127</v>
      </c>
      <c r="AR54" s="2">
        <v>20937.05</v>
      </c>
      <c r="AS54" s="1" t="s">
        <v>127</v>
      </c>
      <c r="AT54" s="2">
        <v>86396.23</v>
      </c>
      <c r="AV54" s="117" t="s">
        <v>92</v>
      </c>
      <c r="AW54" s="113">
        <v>2021.2</v>
      </c>
      <c r="AX54">
        <f t="shared" si="7"/>
        <v>1010.6</v>
      </c>
      <c r="AY54" s="115" t="b">
        <f t="shared" si="32"/>
        <v>1</v>
      </c>
      <c r="AZ54">
        <v>8526.85</v>
      </c>
      <c r="BA54">
        <v>8224.94</v>
      </c>
      <c r="BB54">
        <v>7945.7300000000014</v>
      </c>
      <c r="BC54">
        <v>7665.76</v>
      </c>
      <c r="BD54" s="122" t="s">
        <v>92</v>
      </c>
      <c r="BE54" s="118" t="str">
        <f t="shared" si="8"/>
        <v>P-212/2016</v>
      </c>
      <c r="BF54" s="125" t="str">
        <f t="shared" si="9"/>
        <v xml:space="preserve">Projekta Ielu seguma atjaunošana dažādos posmos Līgatnes novadā īstenošanai   </v>
      </c>
      <c r="BG54" s="125" t="str">
        <f t="shared" si="10"/>
        <v>09.08.2016</v>
      </c>
      <c r="BH54" s="125">
        <f t="shared" si="11"/>
        <v>7191</v>
      </c>
      <c r="BI54">
        <f t="shared" si="12"/>
        <v>3595.5</v>
      </c>
      <c r="BJ54" s="136">
        <f t="shared" si="13"/>
        <v>10786.5</v>
      </c>
      <c r="BK54">
        <v>8526.85</v>
      </c>
      <c r="BL54">
        <v>8224.94</v>
      </c>
      <c r="BM54">
        <v>7945.7300000000014</v>
      </c>
      <c r="BN54">
        <v>7665.76</v>
      </c>
      <c r="BO54" s="118" t="s">
        <v>93</v>
      </c>
      <c r="BP54">
        <f t="shared" si="14"/>
        <v>7207.4800000000005</v>
      </c>
      <c r="BQ54" s="118" t="s">
        <v>93</v>
      </c>
      <c r="BR54">
        <f t="shared" si="15"/>
        <v>6974.6783960000002</v>
      </c>
      <c r="BS54" s="118" t="s">
        <v>93</v>
      </c>
      <c r="BT54">
        <f t="shared" si="16"/>
        <v>11657.93</v>
      </c>
      <c r="BW54" t="s">
        <v>93</v>
      </c>
      <c r="BX54">
        <v>7207.4800000000005</v>
      </c>
      <c r="BY54">
        <v>6974.6783960000002</v>
      </c>
      <c r="BZ54">
        <v>11657.93</v>
      </c>
    </row>
    <row r="55" spans="1:78" ht="21.6" customHeight="1" outlineLevel="1" x14ac:dyDescent="0.25">
      <c r="A55" s="39">
        <v>50</v>
      </c>
      <c r="B55" s="26" t="s">
        <v>94</v>
      </c>
      <c r="C55" s="26" t="s">
        <v>95</v>
      </c>
      <c r="D55" s="28" t="s">
        <v>561</v>
      </c>
      <c r="E55" s="29" t="s">
        <v>443</v>
      </c>
      <c r="F55" s="27">
        <v>6453</v>
      </c>
      <c r="G55" s="128">
        <f t="shared" si="5"/>
        <v>7211.21</v>
      </c>
      <c r="H55" s="128">
        <f t="shared" si="27"/>
        <v>7003.4400000000005</v>
      </c>
      <c r="I55" s="128">
        <f t="shared" si="35"/>
        <v>6800.14</v>
      </c>
      <c r="J55" s="128">
        <f t="shared" si="33"/>
        <v>6596.29</v>
      </c>
      <c r="K55" s="128">
        <f t="shared" si="34"/>
        <v>6394.1</v>
      </c>
      <c r="L55" s="129">
        <f t="shared" si="23"/>
        <v>6187.5705700000008</v>
      </c>
      <c r="M55" s="128">
        <f>VLOOKUP($C55,$AS:$AT,2,0)-6188</f>
        <v>10346.349999999999</v>
      </c>
      <c r="N55" s="36">
        <f t="shared" si="4"/>
        <v>56992.100570000002</v>
      </c>
      <c r="Q55" t="e">
        <f t="shared" si="30"/>
        <v>#N/A</v>
      </c>
      <c r="R55" t="e">
        <f t="shared" si="31"/>
        <v>#N/A</v>
      </c>
      <c r="U55" s="8" t="s">
        <v>276</v>
      </c>
      <c r="V55" s="9" t="s">
        <v>369</v>
      </c>
      <c r="W55" s="8" t="s">
        <v>276</v>
      </c>
      <c r="X55" s="13" t="s">
        <v>370</v>
      </c>
      <c r="Z55" s="1" t="s">
        <v>98</v>
      </c>
      <c r="AA55" s="1" t="s">
        <v>99</v>
      </c>
      <c r="AB55" s="2">
        <v>16716.97</v>
      </c>
      <c r="AD55" s="1" t="s">
        <v>104</v>
      </c>
      <c r="AE55" s="1" t="s">
        <v>105</v>
      </c>
      <c r="AF55" s="2">
        <v>17746.43</v>
      </c>
      <c r="AH55" s="1" t="s">
        <v>110</v>
      </c>
      <c r="AI55" s="1" t="s">
        <v>111</v>
      </c>
      <c r="AJ55" s="2">
        <v>16200.87</v>
      </c>
      <c r="AL55" s="1" t="s">
        <v>118</v>
      </c>
      <c r="AM55" s="1" t="s">
        <v>119</v>
      </c>
      <c r="AN55" s="2">
        <v>23073.27</v>
      </c>
      <c r="AP55" s="1" t="s">
        <v>128</v>
      </c>
      <c r="AQ55" s="1" t="s">
        <v>129</v>
      </c>
      <c r="AR55" s="2">
        <v>23828.539999999997</v>
      </c>
      <c r="AS55" s="1" t="s">
        <v>129</v>
      </c>
      <c r="AT55" s="2">
        <v>98327.900000000009</v>
      </c>
      <c r="AV55" s="117" t="s">
        <v>94</v>
      </c>
      <c r="AW55" s="113">
        <v>1741.55</v>
      </c>
      <c r="AX55">
        <f t="shared" si="7"/>
        <v>870.77499999999998</v>
      </c>
      <c r="AY55" s="115" t="b">
        <f t="shared" si="32"/>
        <v>1</v>
      </c>
      <c r="AZ55">
        <v>7549.8500000000013</v>
      </c>
      <c r="BA55">
        <v>7296.72</v>
      </c>
      <c r="BB55">
        <v>7049.0400000000009</v>
      </c>
      <c r="BC55">
        <v>6800.6900000000005</v>
      </c>
      <c r="BD55" s="122" t="s">
        <v>94</v>
      </c>
      <c r="BE55" s="118" t="str">
        <f t="shared" si="8"/>
        <v>P-255/2016</v>
      </c>
      <c r="BF55" s="125" t="str">
        <f t="shared" si="9"/>
        <v>Prioritārā investīciju projekta Maģistrālā ūdensvada remontdarbiLīgatnes pilsētā īstenošanai</v>
      </c>
      <c r="BG55" s="125" t="str">
        <f t="shared" si="10"/>
        <v>02.09.2016</v>
      </c>
      <c r="BH55" s="125">
        <f t="shared" si="11"/>
        <v>6453</v>
      </c>
      <c r="BI55">
        <f t="shared" si="12"/>
        <v>3226.5</v>
      </c>
      <c r="BJ55" s="136">
        <f t="shared" si="13"/>
        <v>9679.5</v>
      </c>
      <c r="BK55">
        <v>7549.8500000000013</v>
      </c>
      <c r="BL55">
        <v>7296.72</v>
      </c>
      <c r="BM55">
        <v>7049.0400000000009</v>
      </c>
      <c r="BN55">
        <v>6800.6900000000005</v>
      </c>
      <c r="BO55" s="118" t="s">
        <v>95</v>
      </c>
      <c r="BP55">
        <f t="shared" si="14"/>
        <v>6394.1</v>
      </c>
      <c r="BQ55" s="118" t="s">
        <v>95</v>
      </c>
      <c r="BR55">
        <f t="shared" si="15"/>
        <v>6187.5705700000008</v>
      </c>
      <c r="BS55" s="118" t="s">
        <v>95</v>
      </c>
      <c r="BT55">
        <f t="shared" si="16"/>
        <v>10346.349999999999</v>
      </c>
      <c r="BW55" t="s">
        <v>95</v>
      </c>
      <c r="BX55">
        <v>6394.1</v>
      </c>
      <c r="BY55">
        <v>6187.5705700000008</v>
      </c>
      <c r="BZ55">
        <v>10346.349999999999</v>
      </c>
    </row>
    <row r="56" spans="1:78" ht="20.25" customHeight="1" outlineLevel="1" x14ac:dyDescent="0.25">
      <c r="A56" s="39">
        <v>51</v>
      </c>
      <c r="B56" s="26" t="s">
        <v>264</v>
      </c>
      <c r="C56" s="26" t="s">
        <v>265</v>
      </c>
      <c r="D56" s="34" t="str">
        <f t="shared" ref="D56:D80" si="36">VLOOKUP($C56,$U:$X,2,0)</f>
        <v>Automašīnas iegāde</v>
      </c>
      <c r="E56" s="34" t="str">
        <f t="shared" ref="E56:E80" si="37">VLOOKUP($C56,$W:$X,2,0)</f>
        <v>30.09.2016</v>
      </c>
      <c r="F56" s="27">
        <v>3120</v>
      </c>
      <c r="G56" s="128">
        <v>0</v>
      </c>
      <c r="H56" s="128">
        <v>0</v>
      </c>
      <c r="I56" s="128">
        <v>0</v>
      </c>
      <c r="J56" s="128">
        <v>0</v>
      </c>
      <c r="K56" s="128">
        <v>0</v>
      </c>
      <c r="L56" s="129">
        <f t="shared" si="23"/>
        <v>0</v>
      </c>
      <c r="M56" s="128">
        <v>0</v>
      </c>
      <c r="N56" s="36">
        <f t="shared" si="4"/>
        <v>3120</v>
      </c>
      <c r="Q56" t="str">
        <f t="shared" si="30"/>
        <v>Automašīnas iegāde</v>
      </c>
      <c r="R56" t="str">
        <f t="shared" si="31"/>
        <v>30.09.2016</v>
      </c>
      <c r="U56" s="8" t="s">
        <v>11</v>
      </c>
      <c r="V56" s="9" t="s">
        <v>371</v>
      </c>
      <c r="W56" s="8" t="s">
        <v>11</v>
      </c>
      <c r="X56" s="13" t="s">
        <v>372</v>
      </c>
      <c r="Z56" s="1" t="s">
        <v>100</v>
      </c>
      <c r="AA56" s="1" t="s">
        <v>101</v>
      </c>
      <c r="AB56" s="2">
        <v>20781.93</v>
      </c>
      <c r="AD56" s="1" t="s">
        <v>106</v>
      </c>
      <c r="AE56" s="1" t="s">
        <v>107</v>
      </c>
      <c r="AF56" s="2">
        <v>29439.15</v>
      </c>
      <c r="AH56" s="1" t="s">
        <v>112</v>
      </c>
      <c r="AI56" s="1" t="s">
        <v>113</v>
      </c>
      <c r="AJ56" s="2">
        <v>119925.06999999999</v>
      </c>
      <c r="AL56" s="1" t="s">
        <v>120</v>
      </c>
      <c r="AM56" s="1" t="s">
        <v>121</v>
      </c>
      <c r="AN56" s="2">
        <v>19664.36</v>
      </c>
      <c r="AP56" s="1" t="s">
        <v>130</v>
      </c>
      <c r="AQ56" s="1" t="s">
        <v>131</v>
      </c>
      <c r="AR56" s="2">
        <v>13364.8</v>
      </c>
      <c r="AS56" s="1" t="s">
        <v>131</v>
      </c>
      <c r="AT56" s="2">
        <v>55149.489999999991</v>
      </c>
      <c r="AV56" s="117" t="s">
        <v>264</v>
      </c>
      <c r="AW56" s="113">
        <v>6.64</v>
      </c>
      <c r="AX56">
        <f t="shared" si="7"/>
        <v>3.32</v>
      </c>
      <c r="AY56" s="115" t="b">
        <f t="shared" si="32"/>
        <v>1</v>
      </c>
      <c r="AZ56">
        <v>0</v>
      </c>
      <c r="BA56">
        <v>0</v>
      </c>
      <c r="BB56">
        <v>0</v>
      </c>
      <c r="BC56">
        <v>0</v>
      </c>
      <c r="BD56" s="117" t="s">
        <v>264</v>
      </c>
      <c r="BE56" s="118" t="str">
        <f t="shared" si="8"/>
        <v>P-299/2016</v>
      </c>
      <c r="BF56" s="125" t="str">
        <f t="shared" si="9"/>
        <v>Automašīnas iegāde</v>
      </c>
      <c r="BG56" s="125" t="str">
        <f t="shared" si="10"/>
        <v>30.09.2016</v>
      </c>
      <c r="BH56" s="125">
        <f t="shared" si="11"/>
        <v>3120</v>
      </c>
      <c r="BI56">
        <f t="shared" si="12"/>
        <v>1560</v>
      </c>
      <c r="BJ56" s="136">
        <f t="shared" si="13"/>
        <v>4680</v>
      </c>
      <c r="BK56">
        <v>0</v>
      </c>
      <c r="BL56">
        <v>0</v>
      </c>
      <c r="BM56">
        <v>0</v>
      </c>
      <c r="BN56">
        <v>0</v>
      </c>
      <c r="BO56" s="118" t="s">
        <v>265</v>
      </c>
      <c r="BP56">
        <f t="shared" si="14"/>
        <v>0</v>
      </c>
      <c r="BQ56" s="118" t="s">
        <v>265</v>
      </c>
      <c r="BR56">
        <f t="shared" si="15"/>
        <v>0</v>
      </c>
      <c r="BS56" s="118" t="s">
        <v>265</v>
      </c>
      <c r="BT56">
        <f t="shared" si="16"/>
        <v>0</v>
      </c>
      <c r="BW56" t="s">
        <v>265</v>
      </c>
      <c r="BX56">
        <v>0</v>
      </c>
      <c r="BY56">
        <v>0</v>
      </c>
      <c r="BZ56">
        <v>0</v>
      </c>
    </row>
    <row r="57" spans="1:78" ht="20.25" customHeight="1" outlineLevel="1" x14ac:dyDescent="0.25">
      <c r="A57" s="39">
        <v>52</v>
      </c>
      <c r="B57" s="26" t="s">
        <v>96</v>
      </c>
      <c r="C57" s="26" t="s">
        <v>97</v>
      </c>
      <c r="D57" s="34" t="str">
        <f t="shared" si="36"/>
        <v>P-10/2017-pr."Dzīvojamās mājas atjaunošana, piemērojot dienesta viesnīcai,Saules ielā 23, Cēsīs, Cēsu novadā"</v>
      </c>
      <c r="E57" s="34" t="str">
        <f t="shared" si="37"/>
        <v>01.02.2017</v>
      </c>
      <c r="F57" s="27">
        <v>44264</v>
      </c>
      <c r="G57" s="128">
        <f t="shared" ref="G57:G66" si="38">VLOOKUP(C57,$AA:$AB,2,0)</f>
        <v>48936.19</v>
      </c>
      <c r="H57" s="128">
        <f t="shared" ref="H57:H66" si="39">VLOOKUP(C57,$AE:$AF,2,0)</f>
        <v>47731.109999999993</v>
      </c>
      <c r="I57" s="128">
        <f t="shared" ref="I57:I66" si="40">VLOOKUP($C57,$AI:$AJ,2,0)</f>
        <v>46572.93</v>
      </c>
      <c r="J57" s="128">
        <f t="shared" ref="J57:J66" si="41">VLOOKUP($C57,$AM:$AN,2,0)</f>
        <v>45411.590000000004</v>
      </c>
      <c r="K57" s="128">
        <f t="shared" ref="K57:K66" si="42">VLOOKUP($C57,$AQ:$AR,2,0)</f>
        <v>44281.23</v>
      </c>
      <c r="L57" s="129">
        <f t="shared" si="23"/>
        <v>42850.946271000001</v>
      </c>
      <c r="M57" s="128">
        <f>VLOOKUP($C57,$AS:$AT,2,0)-42851</f>
        <v>319677.89</v>
      </c>
      <c r="N57" s="36">
        <f t="shared" si="4"/>
        <v>639725.88627100002</v>
      </c>
      <c r="Q57" t="str">
        <f t="shared" si="30"/>
        <v>P-10/2017-pr."Dzīvojamās mājas atjaunošana, piemērojot dienesta viesnīcai,Saules ielā 23, Cēsīs, Cēsu novadā"</v>
      </c>
      <c r="R57" t="str">
        <f t="shared" si="31"/>
        <v>01.02.2017</v>
      </c>
      <c r="U57" s="8" t="s">
        <v>13</v>
      </c>
      <c r="V57" s="9" t="s">
        <v>373</v>
      </c>
      <c r="W57" s="8" t="s">
        <v>13</v>
      </c>
      <c r="X57" s="13" t="s">
        <v>374</v>
      </c>
      <c r="Z57" s="1" t="s">
        <v>102</v>
      </c>
      <c r="AA57" s="1" t="s">
        <v>103</v>
      </c>
      <c r="AB57" s="2">
        <v>9004.42</v>
      </c>
      <c r="AD57" s="1" t="s">
        <v>108</v>
      </c>
      <c r="AE57" s="1" t="s">
        <v>109</v>
      </c>
      <c r="AF57" s="2">
        <v>35492.879999999997</v>
      </c>
      <c r="AH57" s="1" t="s">
        <v>114</v>
      </c>
      <c r="AI57" s="1" t="s">
        <v>115</v>
      </c>
      <c r="AJ57" s="2">
        <v>62057.579999999994</v>
      </c>
      <c r="AL57" s="1" t="s">
        <v>122</v>
      </c>
      <c r="AM57" s="1" t="s">
        <v>123</v>
      </c>
      <c r="AN57" s="2">
        <v>6766.06</v>
      </c>
      <c r="AP57" s="1" t="s">
        <v>132</v>
      </c>
      <c r="AQ57" s="1" t="s">
        <v>133</v>
      </c>
      <c r="AR57" s="2">
        <v>85841.04</v>
      </c>
      <c r="AS57" s="1" t="s">
        <v>133</v>
      </c>
      <c r="AT57" s="2">
        <v>831140.34</v>
      </c>
      <c r="AV57" s="119" t="s">
        <v>98</v>
      </c>
      <c r="AW57" s="113">
        <v>4357.1100000000006</v>
      </c>
      <c r="AX57">
        <f t="shared" si="7"/>
        <v>2178.5550000000003</v>
      </c>
      <c r="AY57" s="115" t="b">
        <f t="shared" si="32"/>
        <v>0</v>
      </c>
      <c r="AZ57">
        <v>17303.480000000003</v>
      </c>
      <c r="BA57">
        <v>16985.87</v>
      </c>
      <c r="BB57">
        <v>16423.620000000003</v>
      </c>
      <c r="BC57">
        <v>15859.85</v>
      </c>
      <c r="BD57" s="122" t="s">
        <v>98</v>
      </c>
      <c r="BE57" s="118" t="str">
        <f t="shared" si="8"/>
        <v>P-115/2017</v>
      </c>
      <c r="BF57" s="125" t="str">
        <f t="shared" si="9"/>
        <v>Raiskuma pamatskolas iekšējo inženiertīklu rekonstrukcija</v>
      </c>
      <c r="BG57" s="125" t="str">
        <f t="shared" si="10"/>
        <v>12.04.2017</v>
      </c>
      <c r="BH57" s="125">
        <f t="shared" si="11"/>
        <v>15029</v>
      </c>
      <c r="BI57">
        <f t="shared" si="12"/>
        <v>7514.5</v>
      </c>
      <c r="BJ57" s="136">
        <f t="shared" si="13"/>
        <v>22543.5</v>
      </c>
      <c r="BK57">
        <v>17303.480000000003</v>
      </c>
      <c r="BL57">
        <v>16985.87</v>
      </c>
      <c r="BM57">
        <v>16423.620000000003</v>
      </c>
      <c r="BN57">
        <v>15859.85</v>
      </c>
      <c r="BO57" s="118" t="s">
        <v>99</v>
      </c>
      <c r="BP57">
        <f t="shared" si="14"/>
        <v>14862.15</v>
      </c>
      <c r="BQ57" s="118" t="s">
        <v>99</v>
      </c>
      <c r="BR57">
        <f t="shared" si="15"/>
        <v>14382.102554999999</v>
      </c>
      <c r="BS57" s="118" t="s">
        <v>99</v>
      </c>
      <c r="BT57">
        <f t="shared" si="16"/>
        <v>33982.069999999992</v>
      </c>
      <c r="BW57" t="s">
        <v>97</v>
      </c>
      <c r="BX57">
        <v>44281.23</v>
      </c>
      <c r="BY57">
        <v>42850.946271000001</v>
      </c>
      <c r="BZ57">
        <v>319677.89</v>
      </c>
    </row>
    <row r="58" spans="1:78" ht="20.25" customHeight="1" outlineLevel="1" x14ac:dyDescent="0.25">
      <c r="A58" s="39">
        <v>53</v>
      </c>
      <c r="B58" s="26" t="s">
        <v>98</v>
      </c>
      <c r="C58" s="26" t="s">
        <v>99</v>
      </c>
      <c r="D58" s="34" t="str">
        <f t="shared" si="36"/>
        <v>Raiskuma pamatskolas iekšējo inženiertīklu rekonstrukcija</v>
      </c>
      <c r="E58" s="34" t="str">
        <f t="shared" si="37"/>
        <v>12.04.2017</v>
      </c>
      <c r="F58" s="27">
        <v>15029</v>
      </c>
      <c r="G58" s="128">
        <f t="shared" si="38"/>
        <v>16716.97</v>
      </c>
      <c r="H58" s="128">
        <f t="shared" si="39"/>
        <v>16244.4</v>
      </c>
      <c r="I58" s="128">
        <f t="shared" si="40"/>
        <v>15782.91</v>
      </c>
      <c r="J58" s="128">
        <f t="shared" si="41"/>
        <v>15320.15</v>
      </c>
      <c r="K58" s="128">
        <f t="shared" si="42"/>
        <v>14862.15</v>
      </c>
      <c r="L58" s="129">
        <f t="shared" si="23"/>
        <v>14382.102554999999</v>
      </c>
      <c r="M58" s="128">
        <f>VLOOKUP($C58,$AS:$AT,2,0)-14382</f>
        <v>33982.069999999992</v>
      </c>
      <c r="N58" s="36">
        <f t="shared" si="4"/>
        <v>142319.75255499998</v>
      </c>
      <c r="Q58" t="str">
        <f t="shared" si="30"/>
        <v>Raiskuma pamatskolas iekšējo inženiertīklu rekonstrukcija</v>
      </c>
      <c r="R58" t="str">
        <f t="shared" si="31"/>
        <v>12.04.2017</v>
      </c>
      <c r="U58" s="8" t="s">
        <v>3</v>
      </c>
      <c r="V58" s="9" t="s">
        <v>375</v>
      </c>
      <c r="W58" s="8" t="s">
        <v>3</v>
      </c>
      <c r="X58" s="13" t="s">
        <v>376</v>
      </c>
      <c r="Z58" s="1" t="s">
        <v>104</v>
      </c>
      <c r="AA58" s="1" t="s">
        <v>105</v>
      </c>
      <c r="AB58" s="2">
        <v>18262.710000000003</v>
      </c>
      <c r="AD58" s="1" t="s">
        <v>110</v>
      </c>
      <c r="AE58" s="1" t="s">
        <v>111</v>
      </c>
      <c r="AF58" s="2">
        <v>16716.100000000002</v>
      </c>
      <c r="AH58" s="1" t="s">
        <v>116</v>
      </c>
      <c r="AI58" s="1" t="s">
        <v>117</v>
      </c>
      <c r="AJ58" s="2">
        <v>13666.960000000001</v>
      </c>
      <c r="AL58" s="1" t="s">
        <v>124</v>
      </c>
      <c r="AM58" s="1" t="s">
        <v>125</v>
      </c>
      <c r="AN58" s="2">
        <v>19490.989999999998</v>
      </c>
      <c r="AP58" s="1" t="s">
        <v>134</v>
      </c>
      <c r="AQ58" s="1" t="s">
        <v>135</v>
      </c>
      <c r="AR58" s="2">
        <v>2788.36</v>
      </c>
      <c r="AS58" s="1" t="s">
        <v>135</v>
      </c>
      <c r="AT58" s="2">
        <v>12103.55</v>
      </c>
      <c r="AV58" s="119" t="s">
        <v>100</v>
      </c>
      <c r="AW58" s="113">
        <v>5626.36</v>
      </c>
      <c r="AX58">
        <f t="shared" si="7"/>
        <v>2813.18</v>
      </c>
      <c r="AY58" s="115" t="b">
        <f t="shared" si="32"/>
        <v>0</v>
      </c>
      <c r="AZ58">
        <v>22073.32</v>
      </c>
      <c r="BA58">
        <v>21446.450000000004</v>
      </c>
      <c r="BB58">
        <v>20803.369999999995</v>
      </c>
      <c r="BC58">
        <v>20158.48</v>
      </c>
      <c r="BD58" s="122" t="s">
        <v>100</v>
      </c>
      <c r="BE58" s="118" t="str">
        <f t="shared" si="8"/>
        <v>P-323/2017</v>
      </c>
      <c r="BF58" s="125" t="str">
        <f t="shared" si="9"/>
        <v>P-323/2017-Rīgas ielas posma rekontsrukc.uzņmējd.vides uzlabošanai, Cēsīs</v>
      </c>
      <c r="BG58" s="125" t="str">
        <f t="shared" si="10"/>
        <v>29.06.2017</v>
      </c>
      <c r="BH58" s="125">
        <f t="shared" si="11"/>
        <v>17749</v>
      </c>
      <c r="BI58">
        <f t="shared" si="12"/>
        <v>8874.5</v>
      </c>
      <c r="BJ58" s="136">
        <f t="shared" si="13"/>
        <v>26623.5</v>
      </c>
      <c r="BK58">
        <v>22073.32</v>
      </c>
      <c r="BL58">
        <v>21446.450000000004</v>
      </c>
      <c r="BM58">
        <v>20803.369999999995</v>
      </c>
      <c r="BN58">
        <v>20158.48</v>
      </c>
      <c r="BO58" s="118" t="s">
        <v>101</v>
      </c>
      <c r="BP58">
        <f t="shared" si="14"/>
        <v>18660.28</v>
      </c>
      <c r="BQ58" s="118" t="s">
        <v>101</v>
      </c>
      <c r="BR58">
        <f t="shared" si="15"/>
        <v>18057.552956</v>
      </c>
      <c r="BS58" s="118" t="s">
        <v>101</v>
      </c>
      <c r="BT58">
        <f t="shared" si="16"/>
        <v>92257</v>
      </c>
      <c r="BW58" t="s">
        <v>99</v>
      </c>
      <c r="BX58">
        <v>14862.15</v>
      </c>
      <c r="BY58">
        <v>14382.102554999999</v>
      </c>
      <c r="BZ58">
        <v>33982.069999999992</v>
      </c>
    </row>
    <row r="59" spans="1:78" ht="20.25" customHeight="1" outlineLevel="1" x14ac:dyDescent="0.25">
      <c r="A59" s="39">
        <v>54</v>
      </c>
      <c r="B59" s="26" t="s">
        <v>100</v>
      </c>
      <c r="C59" s="26" t="s">
        <v>101</v>
      </c>
      <c r="D59" s="34" t="str">
        <f t="shared" si="36"/>
        <v>P-323/2017-Rīgas ielas posma rekontsrukc.uzņmējd.vides uzlabošanai, Cēsīs</v>
      </c>
      <c r="E59" s="34" t="str">
        <f t="shared" si="37"/>
        <v>29.06.2017</v>
      </c>
      <c r="F59" s="27">
        <v>17749</v>
      </c>
      <c r="G59" s="128">
        <f t="shared" si="38"/>
        <v>20781.93</v>
      </c>
      <c r="H59" s="128">
        <f t="shared" si="39"/>
        <v>20236.829999999998</v>
      </c>
      <c r="I59" s="128">
        <f t="shared" si="40"/>
        <v>19708.98</v>
      </c>
      <c r="J59" s="128">
        <f t="shared" si="41"/>
        <v>19179.66</v>
      </c>
      <c r="K59" s="128">
        <f t="shared" si="42"/>
        <v>18660.28</v>
      </c>
      <c r="L59" s="129">
        <f t="shared" si="23"/>
        <v>18057.552956</v>
      </c>
      <c r="M59" s="128">
        <f>VLOOKUP($C59,$AS:$AT,2,0)-18058</f>
        <v>92257</v>
      </c>
      <c r="N59" s="36">
        <f t="shared" si="4"/>
        <v>226631.23295599999</v>
      </c>
      <c r="Q59" t="str">
        <f t="shared" si="30"/>
        <v>P-323/2017-Rīgas ielas posma rekontsrukc.uzņmējd.vides uzlabošanai, Cēsīs</v>
      </c>
      <c r="R59" t="str">
        <f t="shared" si="31"/>
        <v>29.06.2017</v>
      </c>
      <c r="U59" s="8" t="s">
        <v>277</v>
      </c>
      <c r="V59" s="9" t="s">
        <v>377</v>
      </c>
      <c r="W59" s="8" t="s">
        <v>277</v>
      </c>
      <c r="X59" s="13" t="s">
        <v>378</v>
      </c>
      <c r="Z59" s="1" t="s">
        <v>106</v>
      </c>
      <c r="AA59" s="1" t="s">
        <v>107</v>
      </c>
      <c r="AB59" s="2">
        <v>30295.599999999999</v>
      </c>
      <c r="AD59" s="1" t="s">
        <v>112</v>
      </c>
      <c r="AE59" s="1" t="s">
        <v>113</v>
      </c>
      <c r="AF59" s="2">
        <v>122817.26999999999</v>
      </c>
      <c r="AH59" s="1" t="s">
        <v>118</v>
      </c>
      <c r="AI59" s="1" t="s">
        <v>119</v>
      </c>
      <c r="AJ59" s="2">
        <v>23821.040000000001</v>
      </c>
      <c r="AL59" s="1" t="s">
        <v>126</v>
      </c>
      <c r="AM59" s="1" t="s">
        <v>127</v>
      </c>
      <c r="AN59" s="2">
        <v>21561.030000000002</v>
      </c>
      <c r="AP59" s="1" t="s">
        <v>136</v>
      </c>
      <c r="AQ59" s="1" t="s">
        <v>137</v>
      </c>
      <c r="AR59" s="2">
        <v>9557.369999999999</v>
      </c>
      <c r="AS59" s="1" t="s">
        <v>137</v>
      </c>
      <c r="AT59" s="2">
        <v>41485.960000000006</v>
      </c>
      <c r="AV59" s="119" t="s">
        <v>102</v>
      </c>
      <c r="AW59" s="113">
        <v>2424.71</v>
      </c>
      <c r="AX59">
        <f t="shared" si="7"/>
        <v>1212.355</v>
      </c>
      <c r="AY59" s="115" t="b">
        <f t="shared" si="32"/>
        <v>0</v>
      </c>
      <c r="AZ59">
        <v>9505.25</v>
      </c>
      <c r="BA59">
        <v>9220.7899999999991</v>
      </c>
      <c r="BB59">
        <v>8930.0499999999993</v>
      </c>
      <c r="BC59">
        <v>8638.5</v>
      </c>
      <c r="BD59" s="122" t="s">
        <v>102</v>
      </c>
      <c r="BE59" s="118" t="str">
        <f t="shared" si="8"/>
        <v>P-321/2017</v>
      </c>
      <c r="BF59" s="125" t="str">
        <f t="shared" si="9"/>
        <v>P-321/2017-Degradēto teritoriju revitalizācija Cēsu novadā 1.kārta</v>
      </c>
      <c r="BG59" s="125" t="str">
        <f t="shared" si="10"/>
        <v>29.06.2017</v>
      </c>
      <c r="BH59" s="125">
        <f t="shared" si="11"/>
        <v>17749</v>
      </c>
      <c r="BI59">
        <f t="shared" si="12"/>
        <v>8874.5</v>
      </c>
      <c r="BJ59" s="136">
        <f t="shared" si="13"/>
        <v>26623.5</v>
      </c>
      <c r="BK59">
        <v>9505.25</v>
      </c>
      <c r="BL59">
        <v>9220.7899999999991</v>
      </c>
      <c r="BM59">
        <v>8930.0499999999993</v>
      </c>
      <c r="BN59">
        <v>8638.5</v>
      </c>
      <c r="BO59" s="118" t="s">
        <v>103</v>
      </c>
      <c r="BP59">
        <f t="shared" si="14"/>
        <v>8045.23</v>
      </c>
      <c r="BQ59" s="118" t="s">
        <v>103</v>
      </c>
      <c r="BR59">
        <f t="shared" si="15"/>
        <v>7785.3690709999992</v>
      </c>
      <c r="BS59" s="118" t="s">
        <v>103</v>
      </c>
      <c r="BT59">
        <f t="shared" si="16"/>
        <v>28850.199999999997</v>
      </c>
      <c r="BW59" t="s">
        <v>101</v>
      </c>
      <c r="BX59">
        <v>18660.28</v>
      </c>
      <c r="BY59">
        <v>18057.552956</v>
      </c>
      <c r="BZ59">
        <v>92257</v>
      </c>
    </row>
    <row r="60" spans="1:78" ht="20.25" customHeight="1" outlineLevel="1" x14ac:dyDescent="0.25">
      <c r="A60" s="39">
        <v>55</v>
      </c>
      <c r="B60" s="26" t="s">
        <v>102</v>
      </c>
      <c r="C60" s="26" t="s">
        <v>103</v>
      </c>
      <c r="D60" s="34" t="str">
        <f t="shared" si="36"/>
        <v>P-321/2017-Degradēto teritoriju revitalizācija Cēsu novadā 1.kārta</v>
      </c>
      <c r="E60" s="34" t="str">
        <f t="shared" si="37"/>
        <v>29.06.2017</v>
      </c>
      <c r="F60" s="27">
        <v>7841</v>
      </c>
      <c r="G60" s="128">
        <f t="shared" si="38"/>
        <v>9004.42</v>
      </c>
      <c r="H60" s="128">
        <f t="shared" si="39"/>
        <v>8759.0400000000009</v>
      </c>
      <c r="I60" s="128">
        <f t="shared" si="40"/>
        <v>8520.41</v>
      </c>
      <c r="J60" s="128">
        <f t="shared" si="41"/>
        <v>8281.1200000000008</v>
      </c>
      <c r="K60" s="128">
        <f t="shared" si="42"/>
        <v>8045.23</v>
      </c>
      <c r="L60" s="129">
        <f t="shared" si="23"/>
        <v>7785.3690709999992</v>
      </c>
      <c r="M60" s="128">
        <f>VLOOKUP($C60,$AS:$AT,2,0)-7785</f>
        <v>28850.199999999997</v>
      </c>
      <c r="N60" s="36">
        <f t="shared" si="4"/>
        <v>87086.789071000007</v>
      </c>
      <c r="Q60" t="str">
        <f t="shared" si="30"/>
        <v>P-321/2017-Degradēto teritoriju revitalizācija Cēsu novadā 1.kārta</v>
      </c>
      <c r="R60" t="str">
        <f t="shared" si="31"/>
        <v>29.06.2017</v>
      </c>
      <c r="U60" s="8" t="s">
        <v>19</v>
      </c>
      <c r="V60" s="9" t="s">
        <v>379</v>
      </c>
      <c r="W60" s="8" t="s">
        <v>19</v>
      </c>
      <c r="X60" s="13" t="s">
        <v>380</v>
      </c>
      <c r="Z60" s="1" t="s">
        <v>108</v>
      </c>
      <c r="AA60" s="1" t="s">
        <v>109</v>
      </c>
      <c r="AB60" s="2">
        <v>36525.43</v>
      </c>
      <c r="AD60" s="1" t="s">
        <v>114</v>
      </c>
      <c r="AE60" s="1" t="s">
        <v>115</v>
      </c>
      <c r="AF60" s="2">
        <v>63955.520000000004</v>
      </c>
      <c r="AH60" s="1" t="s">
        <v>120</v>
      </c>
      <c r="AI60" s="1" t="s">
        <v>121</v>
      </c>
      <c r="AJ60" s="2">
        <v>20240.93</v>
      </c>
      <c r="AL60" s="1" t="s">
        <v>128</v>
      </c>
      <c r="AM60" s="1" t="s">
        <v>129</v>
      </c>
      <c r="AN60" s="2">
        <v>24538.69</v>
      </c>
      <c r="AP60" s="1" t="s">
        <v>138</v>
      </c>
      <c r="AQ60" s="1" t="s">
        <v>139</v>
      </c>
      <c r="AR60" s="2">
        <v>5081.5599999999995</v>
      </c>
      <c r="AS60" s="1" t="s">
        <v>139</v>
      </c>
      <c r="AT60" s="2">
        <v>22057.659999999996</v>
      </c>
      <c r="AV60" s="119" t="s">
        <v>104</v>
      </c>
      <c r="AW60" s="113">
        <v>4891.26</v>
      </c>
      <c r="AX60">
        <f t="shared" si="7"/>
        <v>2445.63</v>
      </c>
      <c r="AY60" s="115" t="b">
        <f t="shared" si="32"/>
        <v>0</v>
      </c>
      <c r="AZ60">
        <v>19159.36</v>
      </c>
      <c r="BA60">
        <v>18556.46</v>
      </c>
      <c r="BB60">
        <v>17942.25</v>
      </c>
      <c r="BC60">
        <v>17326.330000000002</v>
      </c>
      <c r="BD60" s="122" t="s">
        <v>104</v>
      </c>
      <c r="BE60" s="118" t="str">
        <f t="shared" si="8"/>
        <v>P-326/2017</v>
      </c>
      <c r="BF60" s="125" t="str">
        <f t="shared" si="9"/>
        <v>Straupes sporta zāles pārbūve</v>
      </c>
      <c r="BG60" s="125" t="str">
        <f t="shared" si="10"/>
        <v>03.07.2017</v>
      </c>
      <c r="BH60" s="125">
        <f t="shared" si="11"/>
        <v>16182</v>
      </c>
      <c r="BI60">
        <f t="shared" si="12"/>
        <v>8091</v>
      </c>
      <c r="BJ60" s="136">
        <f t="shared" si="13"/>
        <v>24273</v>
      </c>
      <c r="BK60">
        <v>19159.36</v>
      </c>
      <c r="BL60">
        <v>18556.46</v>
      </c>
      <c r="BM60">
        <v>17942.25</v>
      </c>
      <c r="BN60">
        <v>17326.330000000002</v>
      </c>
      <c r="BO60" s="118" t="s">
        <v>105</v>
      </c>
      <c r="BP60">
        <f t="shared" si="14"/>
        <v>16236.380000000001</v>
      </c>
      <c r="BQ60" s="118" t="s">
        <v>105</v>
      </c>
      <c r="BR60">
        <f t="shared" si="15"/>
        <v>15711.944926000002</v>
      </c>
      <c r="BS60" s="118" t="s">
        <v>105</v>
      </c>
      <c r="BT60">
        <f t="shared" si="16"/>
        <v>37145.51999999999</v>
      </c>
      <c r="BW60" t="s">
        <v>103</v>
      </c>
      <c r="BX60">
        <v>8045.23</v>
      </c>
      <c r="BY60">
        <v>7785.3690709999992</v>
      </c>
      <c r="BZ60">
        <v>28850.199999999997</v>
      </c>
    </row>
    <row r="61" spans="1:78" ht="20.25" customHeight="1" outlineLevel="1" x14ac:dyDescent="0.25">
      <c r="A61" s="39">
        <v>56</v>
      </c>
      <c r="B61" s="26" t="s">
        <v>104</v>
      </c>
      <c r="C61" s="26" t="s">
        <v>105</v>
      </c>
      <c r="D61" s="34" t="str">
        <f t="shared" si="36"/>
        <v>Straupes sporta zāles pārbūve</v>
      </c>
      <c r="E61" s="34" t="str">
        <f t="shared" si="37"/>
        <v>03.07.2017</v>
      </c>
      <c r="F61" s="27">
        <v>16182</v>
      </c>
      <c r="G61" s="128">
        <f t="shared" si="38"/>
        <v>18262.710000000003</v>
      </c>
      <c r="H61" s="128">
        <f t="shared" si="39"/>
        <v>17746.43</v>
      </c>
      <c r="I61" s="128">
        <f t="shared" si="40"/>
        <v>17242.27</v>
      </c>
      <c r="J61" s="128">
        <f t="shared" si="41"/>
        <v>16736.75</v>
      </c>
      <c r="K61" s="128">
        <f t="shared" si="42"/>
        <v>16236.380000000001</v>
      </c>
      <c r="L61" s="129">
        <f t="shared" si="23"/>
        <v>15711.944926000002</v>
      </c>
      <c r="M61" s="128">
        <f>VLOOKUP($C61,$AS:$AT,2,0)-15712</f>
        <v>37145.51999999999</v>
      </c>
      <c r="N61" s="36">
        <f t="shared" si="4"/>
        <v>155264.00492599999</v>
      </c>
      <c r="Q61" t="str">
        <f t="shared" si="30"/>
        <v>Straupes sporta zāles pārbūve</v>
      </c>
      <c r="R61" t="str">
        <f t="shared" si="31"/>
        <v>03.07.2017</v>
      </c>
      <c r="U61" s="8" t="s">
        <v>7</v>
      </c>
      <c r="V61" s="9" t="s">
        <v>381</v>
      </c>
      <c r="W61" s="8" t="s">
        <v>7</v>
      </c>
      <c r="X61" s="13" t="s">
        <v>309</v>
      </c>
      <c r="Z61" s="1" t="s">
        <v>110</v>
      </c>
      <c r="AA61" s="1" t="s">
        <v>111</v>
      </c>
      <c r="AB61" s="2">
        <v>17239.789999999997</v>
      </c>
      <c r="AD61" s="1" t="s">
        <v>116</v>
      </c>
      <c r="AE61" s="1" t="s">
        <v>117</v>
      </c>
      <c r="AF61" s="2">
        <v>14123.44</v>
      </c>
      <c r="AH61" s="1" t="s">
        <v>122</v>
      </c>
      <c r="AI61" s="1" t="s">
        <v>123</v>
      </c>
      <c r="AJ61" s="2">
        <v>6964.4699999999993</v>
      </c>
      <c r="AL61" s="1" t="s">
        <v>130</v>
      </c>
      <c r="AM61" s="1" t="s">
        <v>131</v>
      </c>
      <c r="AN61" s="2">
        <v>13763.079999999998</v>
      </c>
      <c r="AP61" s="1" t="s">
        <v>140</v>
      </c>
      <c r="AQ61" s="1" t="s">
        <v>141</v>
      </c>
      <c r="AR61" s="2">
        <v>147144.93000000002</v>
      </c>
      <c r="AS61" s="1" t="s">
        <v>141</v>
      </c>
      <c r="AT61" s="2">
        <v>1482181.0400000003</v>
      </c>
      <c r="AV61" s="119" t="s">
        <v>106</v>
      </c>
      <c r="AW61" s="113">
        <v>8114</v>
      </c>
      <c r="AX61">
        <f t="shared" si="7"/>
        <v>4057</v>
      </c>
      <c r="AY61" s="115" t="b">
        <f t="shared" si="32"/>
        <v>0</v>
      </c>
      <c r="AZ61">
        <v>31783.070000000003</v>
      </c>
      <c r="BA61">
        <v>30782.880000000001</v>
      </c>
      <c r="BB61">
        <v>29763.980000000003</v>
      </c>
      <c r="BC61">
        <v>28742.260000000002</v>
      </c>
      <c r="BD61" s="122" t="s">
        <v>106</v>
      </c>
      <c r="BE61" s="118" t="str">
        <f t="shared" si="8"/>
        <v>P-327/2017</v>
      </c>
      <c r="BF61" s="125" t="str">
        <f t="shared" si="9"/>
        <v>Šķūņa rekonstrukcijas projekts</v>
      </c>
      <c r="BG61" s="125" t="str">
        <f t="shared" si="10"/>
        <v>03.07.2017</v>
      </c>
      <c r="BH61" s="125">
        <f t="shared" si="11"/>
        <v>16182</v>
      </c>
      <c r="BI61">
        <f t="shared" si="12"/>
        <v>8091</v>
      </c>
      <c r="BJ61" s="136">
        <f t="shared" si="13"/>
        <v>24273</v>
      </c>
      <c r="BK61">
        <v>31783.070000000003</v>
      </c>
      <c r="BL61">
        <v>30782.880000000001</v>
      </c>
      <c r="BM61">
        <v>29763.980000000003</v>
      </c>
      <c r="BN61">
        <v>28742.260000000002</v>
      </c>
      <c r="BO61" s="118" t="s">
        <v>107</v>
      </c>
      <c r="BP61">
        <f t="shared" si="14"/>
        <v>26934.149999999998</v>
      </c>
      <c r="BQ61" s="118" t="s">
        <v>107</v>
      </c>
      <c r="BR61">
        <f t="shared" si="15"/>
        <v>26064.176954999999</v>
      </c>
      <c r="BS61" s="118" t="s">
        <v>107</v>
      </c>
      <c r="BT61">
        <f t="shared" si="16"/>
        <v>61620.19</v>
      </c>
      <c r="BW61" t="s">
        <v>105</v>
      </c>
      <c r="BX61">
        <v>16236.380000000001</v>
      </c>
      <c r="BY61">
        <v>15711.944926000002</v>
      </c>
      <c r="BZ61">
        <v>37145.51999999999</v>
      </c>
    </row>
    <row r="62" spans="1:78" ht="20.25" customHeight="1" outlineLevel="1" x14ac:dyDescent="0.25">
      <c r="A62" s="39">
        <v>57</v>
      </c>
      <c r="B62" s="26" t="s">
        <v>106</v>
      </c>
      <c r="C62" s="26" t="s">
        <v>107</v>
      </c>
      <c r="D62" s="34" t="str">
        <f t="shared" si="36"/>
        <v>Šķūņa rekonstrukcijas projekts</v>
      </c>
      <c r="E62" s="34" t="str">
        <f t="shared" si="37"/>
        <v>03.07.2017</v>
      </c>
      <c r="F62" s="27">
        <v>26843</v>
      </c>
      <c r="G62" s="128">
        <f t="shared" si="38"/>
        <v>30295.599999999999</v>
      </c>
      <c r="H62" s="128">
        <f t="shared" si="39"/>
        <v>29439.15</v>
      </c>
      <c r="I62" s="128">
        <f t="shared" si="40"/>
        <v>28602.83</v>
      </c>
      <c r="J62" s="128">
        <f t="shared" si="41"/>
        <v>27764.19</v>
      </c>
      <c r="K62" s="128">
        <f t="shared" si="42"/>
        <v>26934.149999999998</v>
      </c>
      <c r="L62" s="129">
        <f t="shared" si="23"/>
        <v>26064.176954999999</v>
      </c>
      <c r="M62" s="128">
        <f>VLOOKUP($C62,$AS:$AT,2,0)-26064</f>
        <v>61620.19</v>
      </c>
      <c r="N62" s="36">
        <f t="shared" si="4"/>
        <v>257563.28695499999</v>
      </c>
      <c r="Q62" t="str">
        <f t="shared" si="30"/>
        <v>Šķūņa rekonstrukcijas projekts</v>
      </c>
      <c r="R62" t="str">
        <f t="shared" si="31"/>
        <v>03.07.2017</v>
      </c>
      <c r="U62" s="8" t="s">
        <v>29</v>
      </c>
      <c r="V62" s="9" t="s">
        <v>382</v>
      </c>
      <c r="W62" s="8" t="s">
        <v>29</v>
      </c>
      <c r="X62" s="13" t="s">
        <v>383</v>
      </c>
      <c r="Z62" s="1" t="s">
        <v>112</v>
      </c>
      <c r="AA62" s="1" t="s">
        <v>113</v>
      </c>
      <c r="AB62" s="2">
        <v>125836.52</v>
      </c>
      <c r="AD62" s="1" t="s">
        <v>118</v>
      </c>
      <c r="AE62" s="1" t="s">
        <v>119</v>
      </c>
      <c r="AF62" s="2">
        <v>24566.710000000003</v>
      </c>
      <c r="AH62" s="1" t="s">
        <v>124</v>
      </c>
      <c r="AI62" s="1" t="s">
        <v>125</v>
      </c>
      <c r="AJ62" s="2">
        <v>20117.550000000003</v>
      </c>
      <c r="AL62" s="1" t="s">
        <v>132</v>
      </c>
      <c r="AM62" s="1" t="s">
        <v>133</v>
      </c>
      <c r="AN62" s="2">
        <v>88123.73000000001</v>
      </c>
      <c r="AP62" s="1" t="s">
        <v>142</v>
      </c>
      <c r="AQ62" s="1" t="s">
        <v>143</v>
      </c>
      <c r="AR62" s="2">
        <v>15426.91</v>
      </c>
      <c r="AS62" s="1" t="s">
        <v>143</v>
      </c>
      <c r="AT62" s="2">
        <v>70239.719999999987</v>
      </c>
      <c r="AV62" s="119" t="s">
        <v>108</v>
      </c>
      <c r="AW62" s="120">
        <v>9727.0299999999988</v>
      </c>
      <c r="AX62">
        <f t="shared" si="7"/>
        <v>4863.5149999999994</v>
      </c>
      <c r="AY62" s="115" t="b">
        <f t="shared" si="32"/>
        <v>0</v>
      </c>
      <c r="AZ62">
        <v>38451.880000000005</v>
      </c>
      <c r="BA62">
        <v>37112.92</v>
      </c>
      <c r="BB62">
        <v>35884.490000000005</v>
      </c>
      <c r="BC62">
        <v>34652.660000000003</v>
      </c>
      <c r="BD62" s="122" t="s">
        <v>108</v>
      </c>
      <c r="BE62" s="118" t="str">
        <f t="shared" si="8"/>
        <v>P-334/2017</v>
      </c>
      <c r="BF62" s="125" t="str">
        <f t="shared" si="9"/>
        <v>Gājēju ceļa pārbūve</v>
      </c>
      <c r="BG62" s="125" t="str">
        <f t="shared" si="10"/>
        <v>06.07.2017</v>
      </c>
      <c r="BH62" s="125">
        <f t="shared" si="11"/>
        <v>32285</v>
      </c>
      <c r="BI62">
        <f t="shared" si="12"/>
        <v>16142.5</v>
      </c>
      <c r="BJ62" s="136">
        <f t="shared" si="13"/>
        <v>48427.5</v>
      </c>
      <c r="BK62">
        <v>38451.880000000005</v>
      </c>
      <c r="BL62">
        <v>37112.92</v>
      </c>
      <c r="BM62">
        <v>35884.490000000005</v>
      </c>
      <c r="BN62">
        <v>34652.660000000003</v>
      </c>
      <c r="BO62" s="118" t="s">
        <v>109</v>
      </c>
      <c r="BP62">
        <f t="shared" si="14"/>
        <v>32472.77</v>
      </c>
      <c r="BQ62" s="118" t="s">
        <v>109</v>
      </c>
      <c r="BR62">
        <f t="shared" si="15"/>
        <v>31423.899529000002</v>
      </c>
      <c r="BS62" s="118" t="s">
        <v>109</v>
      </c>
      <c r="BT62">
        <f t="shared" si="16"/>
        <v>74291.119999999981</v>
      </c>
      <c r="BW62" t="s">
        <v>107</v>
      </c>
      <c r="BX62">
        <v>26934.149999999998</v>
      </c>
      <c r="BY62">
        <v>26064.176954999999</v>
      </c>
      <c r="BZ62">
        <v>61620.19</v>
      </c>
    </row>
    <row r="63" spans="1:78" ht="20.25" customHeight="1" outlineLevel="1" x14ac:dyDescent="0.25">
      <c r="A63" s="39">
        <v>58</v>
      </c>
      <c r="B63" s="26" t="s">
        <v>108</v>
      </c>
      <c r="C63" s="26" t="s">
        <v>109</v>
      </c>
      <c r="D63" s="34" t="str">
        <f t="shared" si="36"/>
        <v>Gājēju ceļa pārbūve</v>
      </c>
      <c r="E63" s="34" t="str">
        <f t="shared" si="37"/>
        <v>06.07.2017</v>
      </c>
      <c r="F63" s="27">
        <v>32285</v>
      </c>
      <c r="G63" s="128">
        <f t="shared" si="38"/>
        <v>36525.43</v>
      </c>
      <c r="H63" s="128">
        <f t="shared" si="39"/>
        <v>35492.879999999997</v>
      </c>
      <c r="I63" s="128">
        <f t="shared" si="40"/>
        <v>34484.57</v>
      </c>
      <c r="J63" s="128">
        <f t="shared" si="41"/>
        <v>33473.47</v>
      </c>
      <c r="K63" s="128">
        <f t="shared" si="42"/>
        <v>32472.77</v>
      </c>
      <c r="L63" s="129">
        <f t="shared" si="23"/>
        <v>31423.899529000002</v>
      </c>
      <c r="M63" s="128">
        <f>VLOOKUP($C63,$AS:$AT,2,0)-31424</f>
        <v>74291.119999999981</v>
      </c>
      <c r="N63" s="36">
        <f t="shared" si="4"/>
        <v>310449.13952899998</v>
      </c>
      <c r="Q63" t="str">
        <f t="shared" si="30"/>
        <v>Gājēju ceļa pārbūve</v>
      </c>
      <c r="R63" t="str">
        <f t="shared" si="31"/>
        <v>06.07.2017</v>
      </c>
      <c r="U63" s="8" t="s">
        <v>263</v>
      </c>
      <c r="V63" s="9" t="s">
        <v>384</v>
      </c>
      <c r="W63" s="8" t="s">
        <v>263</v>
      </c>
      <c r="X63" s="13" t="s">
        <v>385</v>
      </c>
      <c r="Z63" s="1" t="s">
        <v>114</v>
      </c>
      <c r="AA63" s="1" t="s">
        <v>115</v>
      </c>
      <c r="AB63" s="2">
        <v>65615.039999999994</v>
      </c>
      <c r="AD63" s="1" t="s">
        <v>120</v>
      </c>
      <c r="AE63" s="1" t="s">
        <v>121</v>
      </c>
      <c r="AF63" s="2">
        <v>20815.900000000001</v>
      </c>
      <c r="AH63" s="1" t="s">
        <v>126</v>
      </c>
      <c r="AI63" s="1" t="s">
        <v>127</v>
      </c>
      <c r="AJ63" s="2">
        <v>22193.200000000001</v>
      </c>
      <c r="AL63" s="1" t="s">
        <v>134</v>
      </c>
      <c r="AM63" s="1" t="s">
        <v>135</v>
      </c>
      <c r="AN63" s="2">
        <v>2870.79</v>
      </c>
      <c r="AP63" s="1" t="s">
        <v>144</v>
      </c>
      <c r="AQ63" s="1" t="s">
        <v>145</v>
      </c>
      <c r="AR63" s="2">
        <v>3890.94</v>
      </c>
      <c r="AS63" s="1" t="s">
        <v>145</v>
      </c>
      <c r="AT63" s="2">
        <v>4.6599999999998545</v>
      </c>
      <c r="AV63" s="119" t="s">
        <v>96</v>
      </c>
      <c r="AW63" s="113">
        <v>12509.21</v>
      </c>
      <c r="AX63">
        <f t="shared" si="7"/>
        <v>6254.6049999999996</v>
      </c>
      <c r="AY63" s="115" t="b">
        <f t="shared" si="32"/>
        <v>0</v>
      </c>
      <c r="AZ63">
        <v>51428.18</v>
      </c>
      <c r="BA63">
        <v>51112.090000000004</v>
      </c>
      <c r="BB63">
        <v>49701.09</v>
      </c>
      <c r="BC63">
        <v>48286.19</v>
      </c>
      <c r="BD63" s="122" t="s">
        <v>96</v>
      </c>
      <c r="BE63" s="118" t="str">
        <f t="shared" si="8"/>
        <v>P-10/2017</v>
      </c>
      <c r="BF63" s="125" t="str">
        <f t="shared" si="9"/>
        <v>P-10/2017-pr."Dzīvojamās mājas atjaunošana, piemērojot dienesta viesnīcai,Saules ielā 23, Cēsīs, Cēsu novadā"</v>
      </c>
      <c r="BG63" s="125" t="str">
        <f t="shared" si="10"/>
        <v>01.02.2017</v>
      </c>
      <c r="BH63" s="125">
        <f t="shared" si="11"/>
        <v>44264</v>
      </c>
      <c r="BI63">
        <f t="shared" si="12"/>
        <v>22132</v>
      </c>
      <c r="BJ63" s="136">
        <f t="shared" si="13"/>
        <v>66396</v>
      </c>
      <c r="BK63">
        <v>51428.18</v>
      </c>
      <c r="BL63">
        <v>51112.090000000004</v>
      </c>
      <c r="BM63">
        <v>49701.09</v>
      </c>
      <c r="BN63">
        <v>48286.19</v>
      </c>
      <c r="BO63" s="118" t="s">
        <v>97</v>
      </c>
      <c r="BP63">
        <f t="shared" si="14"/>
        <v>44281.23</v>
      </c>
      <c r="BQ63" s="118" t="s">
        <v>97</v>
      </c>
      <c r="BR63">
        <f t="shared" si="15"/>
        <v>42850.946271000001</v>
      </c>
      <c r="BS63" s="118" t="s">
        <v>97</v>
      </c>
      <c r="BT63">
        <f t="shared" si="16"/>
        <v>319677.89</v>
      </c>
      <c r="BW63" t="s">
        <v>109</v>
      </c>
      <c r="BX63">
        <v>32472.77</v>
      </c>
      <c r="BY63">
        <v>31423.899529000002</v>
      </c>
      <c r="BZ63">
        <v>74291.119999999981</v>
      </c>
    </row>
    <row r="64" spans="1:78" ht="20.25" customHeight="1" outlineLevel="1" x14ac:dyDescent="0.25">
      <c r="A64" s="39">
        <v>59</v>
      </c>
      <c r="B64" s="26" t="s">
        <v>110</v>
      </c>
      <c r="C64" s="26" t="s">
        <v>111</v>
      </c>
      <c r="D64" s="34" t="str">
        <f t="shared" si="36"/>
        <v>P-466/2017-pr."Līvu pamatskolas centrālapkures izbūve"īstenošanai</v>
      </c>
      <c r="E64" s="34" t="str">
        <f t="shared" si="37"/>
        <v>25.08.2017</v>
      </c>
      <c r="F64" s="27">
        <v>15657</v>
      </c>
      <c r="G64" s="128">
        <f t="shared" si="38"/>
        <v>17239.789999999997</v>
      </c>
      <c r="H64" s="128">
        <f t="shared" si="39"/>
        <v>16716.100000000002</v>
      </c>
      <c r="I64" s="128">
        <f t="shared" si="40"/>
        <v>16200.87</v>
      </c>
      <c r="J64" s="128">
        <f t="shared" si="41"/>
        <v>15684.19</v>
      </c>
      <c r="K64" s="128">
        <f t="shared" si="42"/>
        <v>15168.99</v>
      </c>
      <c r="L64" s="129">
        <v>11053</v>
      </c>
      <c r="M64" s="128">
        <v>0</v>
      </c>
      <c r="N64" s="36">
        <f t="shared" si="4"/>
        <v>107719.94</v>
      </c>
      <c r="Q64" t="str">
        <f t="shared" si="30"/>
        <v>P-466/2017-pr."Līvu pamatskolas centrālapkures izbūve"īstenošanai</v>
      </c>
      <c r="R64" t="str">
        <f t="shared" si="31"/>
        <v>25.08.2017</v>
      </c>
      <c r="U64" s="8" t="s">
        <v>261</v>
      </c>
      <c r="V64" s="9" t="s">
        <v>386</v>
      </c>
      <c r="W64" s="8" t="s">
        <v>261</v>
      </c>
      <c r="X64" s="13" t="s">
        <v>387</v>
      </c>
      <c r="Z64" s="1" t="s">
        <v>116</v>
      </c>
      <c r="AA64" s="1" t="s">
        <v>117</v>
      </c>
      <c r="AB64" s="2">
        <v>14585.55</v>
      </c>
      <c r="AD64" s="1" t="s">
        <v>122</v>
      </c>
      <c r="AE64" s="1" t="s">
        <v>123</v>
      </c>
      <c r="AF64" s="2">
        <v>7162.3200000000006</v>
      </c>
      <c r="AH64" s="1" t="s">
        <v>128</v>
      </c>
      <c r="AI64" s="1" t="s">
        <v>129</v>
      </c>
      <c r="AJ64" s="2">
        <v>25258.170000000002</v>
      </c>
      <c r="AL64" s="1" t="s">
        <v>136</v>
      </c>
      <c r="AM64" s="1" t="s">
        <v>137</v>
      </c>
      <c r="AN64" s="2">
        <v>9839.84</v>
      </c>
      <c r="AP64" s="1" t="s">
        <v>146</v>
      </c>
      <c r="AQ64" s="1" t="s">
        <v>147</v>
      </c>
      <c r="AR64" s="2">
        <v>4909.05</v>
      </c>
      <c r="AS64" s="1" t="s">
        <v>147</v>
      </c>
      <c r="AT64" s="2">
        <v>5.8699999999998909</v>
      </c>
      <c r="AV64" s="119" t="s">
        <v>112</v>
      </c>
      <c r="AW64" s="113">
        <v>29164.97</v>
      </c>
      <c r="AX64">
        <f t="shared" si="7"/>
        <v>14582.485000000001</v>
      </c>
      <c r="AY64" s="115" t="b">
        <f t="shared" si="32"/>
        <v>0</v>
      </c>
      <c r="AZ64">
        <v>136235.96</v>
      </c>
      <c r="BA64">
        <v>132051.18</v>
      </c>
      <c r="BB64">
        <v>128527.57</v>
      </c>
      <c r="BC64">
        <v>124994.31</v>
      </c>
      <c r="BD64" s="122" t="s">
        <v>112</v>
      </c>
      <c r="BE64" s="118" t="str">
        <f t="shared" si="8"/>
        <v>P-467/2017</v>
      </c>
      <c r="BF64" s="125" t="str">
        <f t="shared" si="9"/>
        <v>P-467/2017-pr."Cēsu pilsētas stadiona rekonstrukcija"īstenošanai</v>
      </c>
      <c r="BG64" s="125" t="str">
        <f t="shared" si="10"/>
        <v>25.08.2017</v>
      </c>
      <c r="BH64" s="125">
        <f t="shared" si="11"/>
        <v>15657</v>
      </c>
      <c r="BI64">
        <f t="shared" si="12"/>
        <v>7828.5</v>
      </c>
      <c r="BJ64" s="136">
        <f t="shared" si="13"/>
        <v>23485.5</v>
      </c>
      <c r="BK64">
        <v>136235.96</v>
      </c>
      <c r="BL64">
        <v>132051.18</v>
      </c>
      <c r="BM64">
        <v>128527.57</v>
      </c>
      <c r="BN64">
        <v>124994.31</v>
      </c>
      <c r="BO64" s="118" t="s">
        <v>113</v>
      </c>
      <c r="BP64">
        <f t="shared" si="14"/>
        <v>114212.12</v>
      </c>
      <c r="BQ64" s="118" t="s">
        <v>113</v>
      </c>
      <c r="BR64">
        <f t="shared" si="15"/>
        <v>110523.068524</v>
      </c>
      <c r="BS64" s="118" t="s">
        <v>113</v>
      </c>
      <c r="BT64">
        <f t="shared" si="16"/>
        <v>933448.89000000025</v>
      </c>
      <c r="BW64" t="s">
        <v>111</v>
      </c>
      <c r="BX64">
        <v>15168.99</v>
      </c>
      <c r="BY64">
        <v>11053</v>
      </c>
      <c r="BZ64">
        <v>0</v>
      </c>
    </row>
    <row r="65" spans="1:78" ht="20.25" customHeight="1" outlineLevel="1" x14ac:dyDescent="0.25">
      <c r="A65" s="39">
        <v>60</v>
      </c>
      <c r="B65" s="26" t="s">
        <v>112</v>
      </c>
      <c r="C65" s="26" t="s">
        <v>113</v>
      </c>
      <c r="D65" s="34" t="str">
        <f t="shared" si="36"/>
        <v>P-467/2017-pr."Cēsu pilsētas stadiona rekonstrukcija"īstenošanai</v>
      </c>
      <c r="E65" s="34" t="str">
        <f t="shared" si="37"/>
        <v>25.08.2017</v>
      </c>
      <c r="F65" s="27">
        <v>99368</v>
      </c>
      <c r="G65" s="128">
        <f t="shared" si="38"/>
        <v>125836.52</v>
      </c>
      <c r="H65" s="128">
        <f t="shared" si="39"/>
        <v>122817.26999999999</v>
      </c>
      <c r="I65" s="128">
        <f t="shared" si="40"/>
        <v>119925.06999999999</v>
      </c>
      <c r="J65" s="128">
        <f t="shared" si="41"/>
        <v>117024.92</v>
      </c>
      <c r="K65" s="128">
        <f t="shared" si="42"/>
        <v>114212.12</v>
      </c>
      <c r="L65" s="129">
        <f t="shared" si="23"/>
        <v>110523.068524</v>
      </c>
      <c r="M65" s="128">
        <f>VLOOKUP($C65,$AS:$AT,2,0)-110523</f>
        <v>933448.89000000025</v>
      </c>
      <c r="N65" s="36">
        <f t="shared" si="4"/>
        <v>1743155.8585240003</v>
      </c>
      <c r="Q65" t="str">
        <f t="shared" si="30"/>
        <v>P-467/2017-pr."Cēsu pilsētas stadiona rekonstrukcija"īstenošanai</v>
      </c>
      <c r="R65" t="str">
        <f t="shared" si="31"/>
        <v>25.08.2017</v>
      </c>
      <c r="U65" s="8" t="s">
        <v>223</v>
      </c>
      <c r="V65" s="9" t="s">
        <v>388</v>
      </c>
      <c r="W65" s="8" t="s">
        <v>223</v>
      </c>
      <c r="X65" s="14" t="s">
        <v>389</v>
      </c>
      <c r="Z65" s="1" t="s">
        <v>118</v>
      </c>
      <c r="AA65" s="1" t="s">
        <v>119</v>
      </c>
      <c r="AB65" s="2">
        <v>25325.699999999997</v>
      </c>
      <c r="AD65" s="1" t="s">
        <v>124</v>
      </c>
      <c r="AE65" s="1" t="s">
        <v>125</v>
      </c>
      <c r="AF65" s="2">
        <v>20742.38</v>
      </c>
      <c r="AH65" s="1" t="s">
        <v>130</v>
      </c>
      <c r="AI65" s="1" t="s">
        <v>131</v>
      </c>
      <c r="AJ65" s="2">
        <v>14166.63</v>
      </c>
      <c r="AL65" s="1" t="s">
        <v>138</v>
      </c>
      <c r="AM65" s="1" t="s">
        <v>139</v>
      </c>
      <c r="AN65" s="2">
        <v>5231.7699999999995</v>
      </c>
      <c r="AP65" s="1" t="s">
        <v>148</v>
      </c>
      <c r="AQ65" s="1" t="s">
        <v>149</v>
      </c>
      <c r="AR65" s="2">
        <v>20134.920000000002</v>
      </c>
      <c r="AS65" s="1" t="s">
        <v>149</v>
      </c>
      <c r="AT65" s="2">
        <v>24.089999999996508</v>
      </c>
      <c r="AV65" s="119" t="s">
        <v>110</v>
      </c>
      <c r="AW65" s="113">
        <v>4202.09</v>
      </c>
      <c r="AX65">
        <f t="shared" si="7"/>
        <v>2101.0450000000001</v>
      </c>
      <c r="AY65" s="115" t="b">
        <f t="shared" si="32"/>
        <v>0</v>
      </c>
      <c r="AZ65">
        <v>17904.48</v>
      </c>
      <c r="BA65">
        <v>17233.95</v>
      </c>
      <c r="BB65">
        <v>16606.23</v>
      </c>
      <c r="BC65">
        <v>15976.789999999999</v>
      </c>
      <c r="BD65" s="122" t="s">
        <v>110</v>
      </c>
      <c r="BE65" s="118" t="str">
        <f t="shared" si="8"/>
        <v>P-466/2017</v>
      </c>
      <c r="BF65" s="125" t="str">
        <f t="shared" si="9"/>
        <v>P-466/2017-pr."Līvu pamatskolas centrālapkures izbūve"īstenošanai</v>
      </c>
      <c r="BG65" s="125" t="str">
        <f t="shared" si="10"/>
        <v>25.08.2017</v>
      </c>
      <c r="BH65" s="125">
        <f t="shared" si="11"/>
        <v>15657</v>
      </c>
      <c r="BI65">
        <f t="shared" si="12"/>
        <v>7828.5</v>
      </c>
      <c r="BJ65" s="136">
        <f t="shared" si="13"/>
        <v>23485.5</v>
      </c>
      <c r="BK65">
        <v>17904.48</v>
      </c>
      <c r="BL65">
        <v>17233.95</v>
      </c>
      <c r="BM65">
        <v>16606.23</v>
      </c>
      <c r="BN65">
        <v>15976.789999999999</v>
      </c>
      <c r="BO65" s="118" t="s">
        <v>111</v>
      </c>
      <c r="BP65">
        <f t="shared" si="14"/>
        <v>15168.99</v>
      </c>
      <c r="BQ65" s="118" t="s">
        <v>111</v>
      </c>
      <c r="BR65">
        <f t="shared" si="15"/>
        <v>11053</v>
      </c>
      <c r="BS65" s="118" t="s">
        <v>111</v>
      </c>
      <c r="BT65">
        <f t="shared" si="16"/>
        <v>0</v>
      </c>
      <c r="BW65" t="s">
        <v>113</v>
      </c>
      <c r="BX65">
        <v>114212.12</v>
      </c>
      <c r="BY65">
        <v>110523.068524</v>
      </c>
      <c r="BZ65">
        <v>933448.89000000025</v>
      </c>
    </row>
    <row r="66" spans="1:78" ht="20.25" customHeight="1" outlineLevel="1" x14ac:dyDescent="0.25">
      <c r="A66" s="39">
        <v>61</v>
      </c>
      <c r="B66" s="26" t="s">
        <v>114</v>
      </c>
      <c r="C66" s="26" t="s">
        <v>115</v>
      </c>
      <c r="D66" s="34" t="str">
        <f t="shared" si="36"/>
        <v>P-657/2017-ERAF pr.Nr.5.5.1.0/17/I/004"Kultūra,vēsture,arhitektūra Gaujas un laiku lokos"'</v>
      </c>
      <c r="E66" s="34" t="str">
        <f t="shared" si="37"/>
        <v>05.12.2017</v>
      </c>
      <c r="F66" s="27">
        <v>62457</v>
      </c>
      <c r="G66" s="128">
        <f t="shared" si="38"/>
        <v>65615.039999999994</v>
      </c>
      <c r="H66" s="128">
        <f t="shared" si="39"/>
        <v>63955.520000000004</v>
      </c>
      <c r="I66" s="128">
        <f t="shared" si="40"/>
        <v>62057.579999999994</v>
      </c>
      <c r="J66" s="128">
        <f t="shared" si="41"/>
        <v>60154.39</v>
      </c>
      <c r="K66" s="128">
        <f t="shared" si="42"/>
        <v>58262.950000000004</v>
      </c>
      <c r="L66" s="129">
        <f t="shared" si="23"/>
        <v>56381.056715000006</v>
      </c>
      <c r="M66" s="128">
        <f>VLOOKUP($C66,$AS:$AT,2,0)-56381</f>
        <v>54512.209999999992</v>
      </c>
      <c r="N66" s="36">
        <f t="shared" si="4"/>
        <v>483395.74671500002</v>
      </c>
      <c r="Q66" t="str">
        <f t="shared" si="30"/>
        <v>P-657/2017-ERAF pr.Nr.5.5.1.0/17/I/004"Kultūra,vēsture,arhitektūra Gaujas un laiku lokos"'</v>
      </c>
      <c r="R66" t="str">
        <f t="shared" si="31"/>
        <v>05.12.2017</v>
      </c>
      <c r="U66" s="8" t="s">
        <v>225</v>
      </c>
      <c r="V66" s="9" t="s">
        <v>390</v>
      </c>
      <c r="W66" s="8" t="s">
        <v>225</v>
      </c>
      <c r="X66" s="14" t="s">
        <v>391</v>
      </c>
      <c r="Z66" s="1" t="s">
        <v>120</v>
      </c>
      <c r="AA66" s="1" t="s">
        <v>121</v>
      </c>
      <c r="AB66" s="2">
        <v>21406.29</v>
      </c>
      <c r="AD66" s="1" t="s">
        <v>126</v>
      </c>
      <c r="AE66" s="1" t="s">
        <v>127</v>
      </c>
      <c r="AF66" s="2">
        <v>22823.640000000003</v>
      </c>
      <c r="AH66" s="1" t="s">
        <v>132</v>
      </c>
      <c r="AI66" s="1" t="s">
        <v>133</v>
      </c>
      <c r="AJ66" s="2">
        <v>90483.96</v>
      </c>
      <c r="AL66" s="1" t="s">
        <v>140</v>
      </c>
      <c r="AM66" s="1" t="s">
        <v>141</v>
      </c>
      <c r="AN66" s="2">
        <v>150644.71</v>
      </c>
      <c r="AP66" s="1" t="s">
        <v>150</v>
      </c>
      <c r="AQ66" s="1" t="s">
        <v>151</v>
      </c>
      <c r="AR66" s="2">
        <v>1472.11</v>
      </c>
      <c r="AS66" s="1" t="s">
        <v>151</v>
      </c>
      <c r="AT66" s="2">
        <v>717.62000000000012</v>
      </c>
      <c r="AV66" s="117" t="s">
        <v>114</v>
      </c>
      <c r="AW66" s="113">
        <v>16347.15</v>
      </c>
      <c r="AX66">
        <f t="shared" si="7"/>
        <v>8173.5749999999998</v>
      </c>
      <c r="AY66" s="115" t="b">
        <f t="shared" si="32"/>
        <v>1</v>
      </c>
      <c r="AZ66">
        <v>67977.7</v>
      </c>
      <c r="BA66">
        <v>66382.17</v>
      </c>
      <c r="BB66">
        <v>64069.869999999995</v>
      </c>
      <c r="BC66">
        <v>61751.199999999997</v>
      </c>
      <c r="BD66" s="122" t="s">
        <v>114</v>
      </c>
      <c r="BE66" s="118" t="str">
        <f t="shared" si="8"/>
        <v>P-657/2017</v>
      </c>
      <c r="BF66" s="125" t="str">
        <f t="shared" si="9"/>
        <v>P-657/2017-ERAF pr.Nr.5.5.1.0/17/I/004"Kultūra,vēsture,arhitektūra Gaujas un laiku lokos"'</v>
      </c>
      <c r="BG66" s="125" t="str">
        <f t="shared" si="10"/>
        <v>05.12.2017</v>
      </c>
      <c r="BH66" s="125">
        <f t="shared" si="11"/>
        <v>62457</v>
      </c>
      <c r="BI66">
        <f t="shared" si="12"/>
        <v>31228.5</v>
      </c>
      <c r="BJ66" s="136">
        <f t="shared" si="13"/>
        <v>93685.5</v>
      </c>
      <c r="BK66">
        <v>67977.7</v>
      </c>
      <c r="BL66">
        <v>66382.17</v>
      </c>
      <c r="BM66">
        <v>64069.869999999995</v>
      </c>
      <c r="BN66">
        <v>61751.199999999997</v>
      </c>
      <c r="BO66" s="118" t="s">
        <v>115</v>
      </c>
      <c r="BP66">
        <f t="shared" si="14"/>
        <v>58262.950000000004</v>
      </c>
      <c r="BQ66" s="118" t="s">
        <v>115</v>
      </c>
      <c r="BR66">
        <f t="shared" si="15"/>
        <v>56381.056715000006</v>
      </c>
      <c r="BS66" s="118" t="s">
        <v>115</v>
      </c>
      <c r="BT66">
        <f t="shared" si="16"/>
        <v>54512.209999999992</v>
      </c>
      <c r="BW66" t="s">
        <v>115</v>
      </c>
      <c r="BX66">
        <v>58262.950000000004</v>
      </c>
      <c r="BY66">
        <v>56381.056715000006</v>
      </c>
      <c r="BZ66">
        <v>54512.209999999992</v>
      </c>
    </row>
    <row r="67" spans="1:78" ht="20.25" customHeight="1" outlineLevel="1" x14ac:dyDescent="0.25">
      <c r="A67" s="39">
        <v>62</v>
      </c>
      <c r="B67" s="26" t="s">
        <v>266</v>
      </c>
      <c r="C67" s="26" t="s">
        <v>267</v>
      </c>
      <c r="D67" s="34" t="str">
        <f t="shared" si="36"/>
        <v>P-658/2017-pr."Cēsu pils.Pastariņa sākumskolas ēkas atjaunošana par zema enerģijas patēriņa  ēku,Raunas 7, Cēsīs"</v>
      </c>
      <c r="E67" s="34" t="str">
        <f t="shared" si="37"/>
        <v>05.12.2017</v>
      </c>
      <c r="F67" s="27">
        <v>10500</v>
      </c>
      <c r="G67" s="128">
        <v>0</v>
      </c>
      <c r="H67" s="128">
        <v>0</v>
      </c>
      <c r="I67" s="128">
        <v>0</v>
      </c>
      <c r="J67" s="128">
        <v>0</v>
      </c>
      <c r="K67" s="128">
        <v>0</v>
      </c>
      <c r="L67" s="129">
        <f t="shared" si="23"/>
        <v>0</v>
      </c>
      <c r="M67" s="128">
        <v>0</v>
      </c>
      <c r="N67" s="36">
        <f t="shared" si="4"/>
        <v>10500</v>
      </c>
      <c r="Q67" t="str">
        <f t="shared" si="30"/>
        <v>P-658/2017-pr."Cēsu pils.Pastariņa sākumskolas ēkas atjaunošana par zema enerģijas patēriņa  ēku,Raunas 7, Cēsīs"</v>
      </c>
      <c r="R67" t="str">
        <f t="shared" si="31"/>
        <v>05.12.2017</v>
      </c>
      <c r="U67" s="8" t="s">
        <v>221</v>
      </c>
      <c r="V67" s="15" t="s">
        <v>392</v>
      </c>
      <c r="W67" s="8" t="s">
        <v>221</v>
      </c>
      <c r="X67" s="14" t="s">
        <v>391</v>
      </c>
      <c r="Z67" s="1" t="s">
        <v>122</v>
      </c>
      <c r="AA67" s="1" t="s">
        <v>123</v>
      </c>
      <c r="AB67" s="2">
        <v>7365.46</v>
      </c>
      <c r="AD67" s="1" t="s">
        <v>128</v>
      </c>
      <c r="AE67" s="1" t="s">
        <v>129</v>
      </c>
      <c r="AF67" s="2">
        <v>25975.69</v>
      </c>
      <c r="AH67" s="1" t="s">
        <v>134</v>
      </c>
      <c r="AI67" s="1" t="s">
        <v>135</v>
      </c>
      <c r="AJ67" s="2">
        <v>2954.36</v>
      </c>
      <c r="AL67" s="1" t="s">
        <v>142</v>
      </c>
      <c r="AM67" s="1" t="s">
        <v>143</v>
      </c>
      <c r="AN67" s="2">
        <v>15879.18</v>
      </c>
      <c r="AP67" s="1" t="s">
        <v>152</v>
      </c>
      <c r="AQ67" s="1" t="s">
        <v>153</v>
      </c>
      <c r="AR67" s="2">
        <v>608.12</v>
      </c>
      <c r="AS67" s="1" t="s">
        <v>153</v>
      </c>
      <c r="AT67" s="2">
        <v>296.88</v>
      </c>
      <c r="AV67" s="119" t="s">
        <v>120</v>
      </c>
      <c r="AW67" s="113">
        <v>5677.5300000000007</v>
      </c>
      <c r="AX67">
        <f t="shared" si="7"/>
        <v>2838.7650000000003</v>
      </c>
      <c r="AY67" s="115" t="b">
        <f t="shared" si="32"/>
        <v>0</v>
      </c>
      <c r="AZ67">
        <v>22380.61</v>
      </c>
      <c r="BA67">
        <v>21865.540000000005</v>
      </c>
      <c r="BB67">
        <v>21165.020000000004</v>
      </c>
      <c r="BC67">
        <v>20462.579999999998</v>
      </c>
      <c r="BD67" s="122" t="s">
        <v>120</v>
      </c>
      <c r="BE67" s="118" t="str">
        <f t="shared" si="8"/>
        <v>P-188/2018</v>
      </c>
      <c r="BF67" s="125" t="str">
        <f t="shared" si="9"/>
        <v>Pārgaujas novada pašvaldības grants ceļu pārbūvei</v>
      </c>
      <c r="BG67" s="125" t="str">
        <f t="shared" si="10"/>
        <v>16.05.2018</v>
      </c>
      <c r="BH67" s="125">
        <f t="shared" si="11"/>
        <v>18746</v>
      </c>
      <c r="BI67">
        <f t="shared" si="12"/>
        <v>9373</v>
      </c>
      <c r="BJ67" s="136">
        <f t="shared" si="13"/>
        <v>28119</v>
      </c>
      <c r="BK67">
        <v>22380.61</v>
      </c>
      <c r="BL67">
        <v>21865.540000000005</v>
      </c>
      <c r="BM67">
        <v>21165.020000000004</v>
      </c>
      <c r="BN67">
        <v>20462.579999999998</v>
      </c>
      <c r="BO67" s="118" t="s">
        <v>121</v>
      </c>
      <c r="BP67">
        <f t="shared" si="14"/>
        <v>19095.29</v>
      </c>
      <c r="BQ67" s="118" t="s">
        <v>121</v>
      </c>
      <c r="BR67">
        <f t="shared" si="15"/>
        <v>18478.512133</v>
      </c>
      <c r="BS67" s="118" t="s">
        <v>121</v>
      </c>
      <c r="BT67">
        <f t="shared" si="16"/>
        <v>60293.149999999994</v>
      </c>
      <c r="BW67" t="s">
        <v>267</v>
      </c>
      <c r="BX67">
        <v>0</v>
      </c>
      <c r="BY67">
        <v>0</v>
      </c>
      <c r="BZ67">
        <v>0</v>
      </c>
    </row>
    <row r="68" spans="1:78" ht="20.25" customHeight="1" outlineLevel="1" x14ac:dyDescent="0.25">
      <c r="A68" s="39">
        <v>63</v>
      </c>
      <c r="B68" s="26" t="s">
        <v>116</v>
      </c>
      <c r="C68" s="26" t="s">
        <v>117</v>
      </c>
      <c r="D68" s="34" t="str">
        <f t="shared" si="36"/>
        <v>P-12/2018-pr."Līvu sākumskolas  siltumapgādes sistēmas izbūve" īstenošanai</v>
      </c>
      <c r="E68" s="34" t="str">
        <f t="shared" si="37"/>
        <v>31.01.2018</v>
      </c>
      <c r="F68" s="27">
        <v>14257</v>
      </c>
      <c r="G68" s="128">
        <f t="shared" ref="G68:G98" si="43">VLOOKUP(C68,$AA:$AB,2,0)</f>
        <v>14585.55</v>
      </c>
      <c r="H68" s="128">
        <f t="shared" ref="H68:H92" si="44">VLOOKUP(C68,$AE:$AF,2,0)</f>
        <v>14123.44</v>
      </c>
      <c r="I68" s="128">
        <f t="shared" ref="I68:I92" si="45">VLOOKUP($C68,$AI:$AJ,2,0)</f>
        <v>13666.960000000001</v>
      </c>
      <c r="J68" s="128">
        <f t="shared" ref="J68:J92" si="46">VLOOKUP($C68,$AM:$AN,2,0)</f>
        <v>13209.279999999999</v>
      </c>
      <c r="K68" s="128">
        <f t="shared" ref="K68:K92" si="47">VLOOKUP($C68,$AQ:$AR,2,0)</f>
        <v>3236.83</v>
      </c>
      <c r="L68" s="129">
        <v>0</v>
      </c>
      <c r="M68" s="128">
        <f>VLOOKUP($C68,$AS:$AT,2,0)</f>
        <v>0</v>
      </c>
      <c r="N68" s="36">
        <f t="shared" si="4"/>
        <v>73079.06</v>
      </c>
      <c r="Q68" t="str">
        <f t="shared" si="30"/>
        <v>P-12/2018-pr."Līvu sākumskolas  siltumapgādes sistēmas izbūve" īstenošanai</v>
      </c>
      <c r="R68" t="str">
        <f t="shared" si="31"/>
        <v>31.01.2018</v>
      </c>
      <c r="U68" s="8" t="s">
        <v>233</v>
      </c>
      <c r="V68" s="9" t="s">
        <v>393</v>
      </c>
      <c r="W68" s="8" t="s">
        <v>233</v>
      </c>
      <c r="X68" s="14" t="s">
        <v>394</v>
      </c>
      <c r="Z68" s="1" t="s">
        <v>124</v>
      </c>
      <c r="AA68" s="1" t="s">
        <v>125</v>
      </c>
      <c r="AB68" s="2">
        <v>21378.81</v>
      </c>
      <c r="AD68" s="1" t="s">
        <v>130</v>
      </c>
      <c r="AE68" s="1" t="s">
        <v>131</v>
      </c>
      <c r="AF68" s="2">
        <v>14569.07</v>
      </c>
      <c r="AH68" s="1" t="s">
        <v>136</v>
      </c>
      <c r="AI68" s="1" t="s">
        <v>137</v>
      </c>
      <c r="AJ68" s="2">
        <v>10126.26</v>
      </c>
      <c r="AL68" s="1" t="s">
        <v>144</v>
      </c>
      <c r="AM68" s="1" t="s">
        <v>145</v>
      </c>
      <c r="AN68" s="2">
        <v>4026.8799999999997</v>
      </c>
      <c r="AP68" s="1" t="s">
        <v>154</v>
      </c>
      <c r="AQ68" s="1" t="s">
        <v>155</v>
      </c>
      <c r="AR68" s="2">
        <v>39503.380000000005</v>
      </c>
      <c r="AS68" s="1" t="s">
        <v>155</v>
      </c>
      <c r="AT68" s="2">
        <v>196528.44</v>
      </c>
      <c r="AV68" s="117" t="s">
        <v>116</v>
      </c>
      <c r="AW68" s="113">
        <v>3730.83</v>
      </c>
      <c r="AX68">
        <f t="shared" si="7"/>
        <v>1865.415</v>
      </c>
      <c r="AY68" s="115" t="b">
        <f t="shared" si="32"/>
        <v>1</v>
      </c>
      <c r="AZ68">
        <v>14861.150000000001</v>
      </c>
      <c r="BA68">
        <v>14432.43</v>
      </c>
      <c r="BB68">
        <v>13876.33</v>
      </c>
      <c r="BC68">
        <v>13318.69</v>
      </c>
      <c r="BD68" s="122" t="s">
        <v>116</v>
      </c>
      <c r="BE68" s="118" t="str">
        <f t="shared" si="8"/>
        <v>P-12/2018</v>
      </c>
      <c r="BF68" s="125" t="str">
        <f t="shared" si="9"/>
        <v>P-12/2018-pr."Līvu sākumskolas  siltumapgādes sistēmas izbūve" īstenošanai</v>
      </c>
      <c r="BG68" s="125" t="str">
        <f t="shared" si="10"/>
        <v>31.01.2018</v>
      </c>
      <c r="BH68" s="125">
        <f t="shared" si="11"/>
        <v>14257</v>
      </c>
      <c r="BI68">
        <f t="shared" si="12"/>
        <v>7128.5</v>
      </c>
      <c r="BJ68" s="136">
        <f t="shared" si="13"/>
        <v>21385.5</v>
      </c>
      <c r="BK68">
        <v>14861.150000000001</v>
      </c>
      <c r="BL68">
        <v>14432.43</v>
      </c>
      <c r="BM68">
        <v>13876.33</v>
      </c>
      <c r="BN68">
        <v>13318.69</v>
      </c>
      <c r="BO68" s="118" t="s">
        <v>117</v>
      </c>
      <c r="BP68">
        <f t="shared" si="14"/>
        <v>3236.83</v>
      </c>
      <c r="BQ68" s="118" t="s">
        <v>117</v>
      </c>
      <c r="BR68">
        <f t="shared" si="15"/>
        <v>0</v>
      </c>
      <c r="BS68" s="118" t="s">
        <v>117</v>
      </c>
      <c r="BT68">
        <f t="shared" si="16"/>
        <v>0</v>
      </c>
      <c r="BW68" t="s">
        <v>117</v>
      </c>
      <c r="BX68">
        <v>3236.83</v>
      </c>
      <c r="BY68">
        <v>0</v>
      </c>
      <c r="BZ68">
        <v>0</v>
      </c>
    </row>
    <row r="69" spans="1:78" ht="20.25" customHeight="1" outlineLevel="1" x14ac:dyDescent="0.25">
      <c r="A69" s="39">
        <v>64</v>
      </c>
      <c r="B69" s="26" t="s">
        <v>118</v>
      </c>
      <c r="C69" s="26" t="s">
        <v>119</v>
      </c>
      <c r="D69" s="34" t="str">
        <f t="shared" si="36"/>
        <v>P-63/2018 Telpu grupas vienkāršota atjaunošana Amatas novada Drabešu Jaunajā pamatskolā</v>
      </c>
      <c r="E69" s="34" t="str">
        <f t="shared" si="37"/>
        <v>07.03.2018</v>
      </c>
      <c r="F69" s="27">
        <v>23954</v>
      </c>
      <c r="G69" s="128">
        <f t="shared" si="43"/>
        <v>25325.699999999997</v>
      </c>
      <c r="H69" s="128">
        <f t="shared" si="44"/>
        <v>24566.710000000003</v>
      </c>
      <c r="I69" s="128">
        <f t="shared" si="45"/>
        <v>23821.040000000001</v>
      </c>
      <c r="J69" s="128">
        <f t="shared" si="46"/>
        <v>23073.27</v>
      </c>
      <c r="K69" s="128">
        <f t="shared" si="47"/>
        <v>22328.649999999998</v>
      </c>
      <c r="L69" s="129">
        <f t="shared" si="23"/>
        <v>21607.434604999999</v>
      </c>
      <c r="M69" s="128">
        <f>VLOOKUP($C69,$AS:$AT,2,0)-21607</f>
        <v>5273.4500000000007</v>
      </c>
      <c r="N69" s="36">
        <f t="shared" si="4"/>
        <v>169950.25460500002</v>
      </c>
      <c r="Q69" t="str">
        <f t="shared" si="30"/>
        <v>P-63/2018 Telpu grupas vienkāršota atjaunošana Amatas novada Drabešu Jaunajā pamatskolā</v>
      </c>
      <c r="R69" t="str">
        <f t="shared" si="31"/>
        <v>07.03.2018</v>
      </c>
      <c r="U69" s="8" t="s">
        <v>239</v>
      </c>
      <c r="V69" s="16" t="s">
        <v>395</v>
      </c>
      <c r="W69" s="8" t="s">
        <v>239</v>
      </c>
      <c r="X69" s="14" t="s">
        <v>396</v>
      </c>
      <c r="Z69" s="1" t="s">
        <v>126</v>
      </c>
      <c r="AA69" s="1" t="s">
        <v>127</v>
      </c>
      <c r="AB69" s="2">
        <v>23470.98</v>
      </c>
      <c r="AD69" s="1" t="s">
        <v>132</v>
      </c>
      <c r="AE69" s="1" t="s">
        <v>133</v>
      </c>
      <c r="AF69" s="2">
        <v>92837.77</v>
      </c>
      <c r="AH69" s="1" t="s">
        <v>138</v>
      </c>
      <c r="AI69" s="1" t="s">
        <v>139</v>
      </c>
      <c r="AJ69" s="2">
        <v>5384.05</v>
      </c>
      <c r="AL69" s="1" t="s">
        <v>146</v>
      </c>
      <c r="AM69" s="1" t="s">
        <v>147</v>
      </c>
      <c r="AN69" s="2">
        <v>5080.51</v>
      </c>
      <c r="AP69" s="1" t="s">
        <v>156</v>
      </c>
      <c r="AQ69" s="1" t="s">
        <v>157</v>
      </c>
      <c r="AR69" s="2">
        <v>31698.010000000002</v>
      </c>
      <c r="AS69" s="1" t="s">
        <v>157</v>
      </c>
      <c r="AT69" s="2">
        <v>15475.239999999998</v>
      </c>
      <c r="AV69" s="119" t="s">
        <v>122</v>
      </c>
      <c r="AW69" s="113">
        <v>1959.96</v>
      </c>
      <c r="AX69">
        <f t="shared" si="7"/>
        <v>979.98</v>
      </c>
      <c r="AY69" s="115" t="b">
        <f t="shared" si="32"/>
        <v>0</v>
      </c>
      <c r="AZ69">
        <v>7710.97</v>
      </c>
      <c r="BA69">
        <v>7523.4599999999991</v>
      </c>
      <c r="BB69">
        <v>7282.42</v>
      </c>
      <c r="BC69">
        <v>7040.71</v>
      </c>
      <c r="BD69" s="122" t="s">
        <v>122</v>
      </c>
      <c r="BE69" s="118" t="str">
        <f t="shared" si="8"/>
        <v>P-227/2018</v>
      </c>
      <c r="BF69" s="125" t="str">
        <f t="shared" si="9"/>
        <v>Infrastruktūras un komunikāciju sakārtošanai Jaunpiebalgā</v>
      </c>
      <c r="BG69" s="125" t="str">
        <f t="shared" si="10"/>
        <v>31.05.2018</v>
      </c>
      <c r="BH69" s="125">
        <f t="shared" si="11"/>
        <v>6439</v>
      </c>
      <c r="BI69">
        <f t="shared" si="12"/>
        <v>3219.5</v>
      </c>
      <c r="BJ69" s="136">
        <f t="shared" si="13"/>
        <v>9658.5</v>
      </c>
      <c r="BK69">
        <v>7710.97</v>
      </c>
      <c r="BL69">
        <v>7523.4599999999991</v>
      </c>
      <c r="BM69">
        <v>7282.42</v>
      </c>
      <c r="BN69">
        <v>7040.71</v>
      </c>
      <c r="BO69" s="118" t="s">
        <v>123</v>
      </c>
      <c r="BP69">
        <f t="shared" si="14"/>
        <v>6570.26</v>
      </c>
      <c r="BQ69" s="118" t="s">
        <v>123</v>
      </c>
      <c r="BR69">
        <f t="shared" si="15"/>
        <v>6358.040602</v>
      </c>
      <c r="BS69" s="118" t="s">
        <v>123</v>
      </c>
      <c r="BT69">
        <f t="shared" si="16"/>
        <v>20749.879999999997</v>
      </c>
      <c r="BW69" t="s">
        <v>119</v>
      </c>
      <c r="BX69">
        <v>22328.649999999998</v>
      </c>
      <c r="BY69">
        <v>21607.434604999999</v>
      </c>
      <c r="BZ69">
        <v>5273.4500000000007</v>
      </c>
    </row>
    <row r="70" spans="1:78" ht="20.25" customHeight="1" outlineLevel="1" x14ac:dyDescent="0.25">
      <c r="A70" s="39">
        <v>65</v>
      </c>
      <c r="B70" s="26" t="s">
        <v>120</v>
      </c>
      <c r="C70" s="26" t="s">
        <v>121</v>
      </c>
      <c r="D70" s="34" t="str">
        <f t="shared" si="36"/>
        <v>Pārgaujas novada pašvaldības grants ceļu pārbūvei</v>
      </c>
      <c r="E70" s="34" t="str">
        <f t="shared" si="37"/>
        <v>16.05.2018</v>
      </c>
      <c r="F70" s="27">
        <v>18746</v>
      </c>
      <c r="G70" s="128">
        <f t="shared" si="43"/>
        <v>21406.29</v>
      </c>
      <c r="H70" s="128">
        <f t="shared" si="44"/>
        <v>20815.900000000001</v>
      </c>
      <c r="I70" s="128">
        <f t="shared" si="45"/>
        <v>20240.93</v>
      </c>
      <c r="J70" s="128">
        <f t="shared" si="46"/>
        <v>19664.36</v>
      </c>
      <c r="K70" s="128">
        <f t="shared" si="47"/>
        <v>19095.29</v>
      </c>
      <c r="L70" s="129">
        <f t="shared" si="23"/>
        <v>18478.512133</v>
      </c>
      <c r="M70" s="128">
        <f>VLOOKUP($C70,$AS:$AT,2,0)-18479</f>
        <v>60293.149999999994</v>
      </c>
      <c r="N70" s="36">
        <f t="shared" si="4"/>
        <v>198740.43213299999</v>
      </c>
      <c r="Q70" t="str">
        <f t="shared" ref="Q70:Q101" si="48">VLOOKUP($C70,$U:$X,2,0)</f>
        <v>Pārgaujas novada pašvaldības grants ceļu pārbūvei</v>
      </c>
      <c r="R70" t="str">
        <f t="shared" ref="R70:R101" si="49">VLOOKUP($C70,$W:$X,2,0)</f>
        <v>16.05.2018</v>
      </c>
      <c r="U70" s="8" t="s">
        <v>278</v>
      </c>
      <c r="V70" s="17" t="s">
        <v>397</v>
      </c>
      <c r="W70" s="8" t="s">
        <v>278</v>
      </c>
      <c r="X70" s="14" t="s">
        <v>398</v>
      </c>
      <c r="Z70" s="1" t="s">
        <v>128</v>
      </c>
      <c r="AA70" s="1" t="s">
        <v>129</v>
      </c>
      <c r="AB70" s="2">
        <v>26712.41</v>
      </c>
      <c r="AD70" s="1" t="s">
        <v>134</v>
      </c>
      <c r="AE70" s="1" t="s">
        <v>135</v>
      </c>
      <c r="AF70" s="2">
        <v>3037.67</v>
      </c>
      <c r="AH70" s="1" t="s">
        <v>140</v>
      </c>
      <c r="AI70" s="1" t="s">
        <v>141</v>
      </c>
      <c r="AJ70" s="2">
        <v>154265.92000000001</v>
      </c>
      <c r="AL70" s="1" t="s">
        <v>148</v>
      </c>
      <c r="AM70" s="1" t="s">
        <v>149</v>
      </c>
      <c r="AN70" s="2">
        <v>20838.25</v>
      </c>
      <c r="AP70" s="1" t="s">
        <v>158</v>
      </c>
      <c r="AQ70" s="1" t="s">
        <v>159</v>
      </c>
      <c r="AR70" s="2">
        <v>29961.82</v>
      </c>
      <c r="AS70" s="1" t="s">
        <v>159</v>
      </c>
      <c r="AT70" s="2">
        <v>149059.37</v>
      </c>
      <c r="AV70" s="119" t="s">
        <v>124</v>
      </c>
      <c r="AW70" s="113">
        <v>5636.1900000000005</v>
      </c>
      <c r="AX70">
        <f t="shared" si="7"/>
        <v>2818.0950000000003</v>
      </c>
      <c r="AY70" s="115" t="b">
        <f t="shared" si="32"/>
        <v>0</v>
      </c>
      <c r="AZ70">
        <v>22117.11</v>
      </c>
      <c r="BA70">
        <v>21472.929999999997</v>
      </c>
      <c r="BB70">
        <v>20711.670000000006</v>
      </c>
      <c r="BC70">
        <v>19948.330000000002</v>
      </c>
      <c r="BD70" s="122" t="s">
        <v>124</v>
      </c>
      <c r="BE70" s="118" t="str">
        <f t="shared" si="8"/>
        <v>P-261/2018</v>
      </c>
      <c r="BF70" s="125" t="str">
        <f t="shared" si="9"/>
        <v>P-261/2018-ERAF pr."Degradēto teritoriju revitalizācija Cēsu novadā 3.kārta"īstenošanai</v>
      </c>
      <c r="BG70" s="125" t="str">
        <f t="shared" si="10"/>
        <v>01.06.2018</v>
      </c>
      <c r="BH70" s="125">
        <f t="shared" si="11"/>
        <v>19434</v>
      </c>
      <c r="BI70">
        <f t="shared" si="12"/>
        <v>9717</v>
      </c>
      <c r="BJ70" s="136">
        <f t="shared" si="13"/>
        <v>29151</v>
      </c>
      <c r="BK70">
        <v>22117.11</v>
      </c>
      <c r="BL70">
        <v>21472.929999999997</v>
      </c>
      <c r="BM70">
        <v>20711.670000000006</v>
      </c>
      <c r="BN70">
        <v>19948.330000000002</v>
      </c>
      <c r="BO70" s="118" t="s">
        <v>125</v>
      </c>
      <c r="BP70">
        <f t="shared" si="14"/>
        <v>18867.43</v>
      </c>
      <c r="BQ70" s="118" t="s">
        <v>125</v>
      </c>
      <c r="BR70">
        <f t="shared" si="15"/>
        <v>18258.012010999999</v>
      </c>
      <c r="BS70" s="118" t="s">
        <v>125</v>
      </c>
      <c r="BT70">
        <f t="shared" si="16"/>
        <v>8883.260000000002</v>
      </c>
      <c r="BW70" t="s">
        <v>121</v>
      </c>
      <c r="BX70">
        <v>19095.29</v>
      </c>
      <c r="BY70">
        <v>18478.512133</v>
      </c>
      <c r="BZ70">
        <v>60293.149999999994</v>
      </c>
    </row>
    <row r="71" spans="1:78" ht="20.25" customHeight="1" outlineLevel="1" x14ac:dyDescent="0.25">
      <c r="A71" s="39">
        <v>66</v>
      </c>
      <c r="B71" s="26" t="s">
        <v>122</v>
      </c>
      <c r="C71" s="26" t="s">
        <v>123</v>
      </c>
      <c r="D71" s="34" t="str">
        <f t="shared" si="36"/>
        <v>Infrastruktūras un komunikāciju sakārtošanai Jaunpiebalgā</v>
      </c>
      <c r="E71" s="34" t="str">
        <f t="shared" si="37"/>
        <v>31.05.2018</v>
      </c>
      <c r="F71" s="27">
        <v>6439</v>
      </c>
      <c r="G71" s="128">
        <f t="shared" si="43"/>
        <v>7365.46</v>
      </c>
      <c r="H71" s="128">
        <f t="shared" si="44"/>
        <v>7162.3200000000006</v>
      </c>
      <c r="I71" s="128">
        <f t="shared" si="45"/>
        <v>6964.4699999999993</v>
      </c>
      <c r="J71" s="128">
        <f t="shared" si="46"/>
        <v>6766.06</v>
      </c>
      <c r="K71" s="128">
        <f t="shared" si="47"/>
        <v>6570.26</v>
      </c>
      <c r="L71" s="129">
        <f t="shared" si="23"/>
        <v>6358.040602</v>
      </c>
      <c r="M71" s="128">
        <f>VLOOKUP($C71,$AS:$AT,2,0)-6358</f>
        <v>20749.879999999997</v>
      </c>
      <c r="N71" s="36">
        <f t="shared" ref="N71:N134" si="50">SUM(F71:M71)</f>
        <v>68375.490602000005</v>
      </c>
      <c r="Q71" t="str">
        <f t="shared" si="48"/>
        <v>Infrastruktūras un komunikāciju sakārtošanai Jaunpiebalgā</v>
      </c>
      <c r="R71" t="str">
        <f t="shared" si="49"/>
        <v>31.05.2018</v>
      </c>
      <c r="U71" s="9" t="s">
        <v>1</v>
      </c>
      <c r="V71" s="9" t="s">
        <v>399</v>
      </c>
      <c r="W71" s="9" t="s">
        <v>1</v>
      </c>
      <c r="X71" s="13" t="s">
        <v>400</v>
      </c>
      <c r="Z71" s="1" t="s">
        <v>130</v>
      </c>
      <c r="AA71" s="1" t="s">
        <v>131</v>
      </c>
      <c r="AB71" s="2">
        <v>14982.28</v>
      </c>
      <c r="AD71" s="1" t="s">
        <v>136</v>
      </c>
      <c r="AE71" s="1" t="s">
        <v>137</v>
      </c>
      <c r="AF71" s="2">
        <v>10411.89</v>
      </c>
      <c r="AH71" s="1" t="s">
        <v>142</v>
      </c>
      <c r="AI71" s="1" t="s">
        <v>143</v>
      </c>
      <c r="AJ71" s="2">
        <v>16338.07</v>
      </c>
      <c r="AL71" s="1" t="s">
        <v>150</v>
      </c>
      <c r="AM71" s="1" t="s">
        <v>151</v>
      </c>
      <c r="AN71" s="2">
        <v>1522.57</v>
      </c>
      <c r="AP71" s="1" t="s">
        <v>160</v>
      </c>
      <c r="AQ71" s="1" t="s">
        <v>161</v>
      </c>
      <c r="AR71" s="2">
        <v>16954.609999999997</v>
      </c>
      <c r="AS71" s="1" t="s">
        <v>161</v>
      </c>
      <c r="AT71" s="2">
        <v>84358.62</v>
      </c>
      <c r="AV71" s="119" t="s">
        <v>126</v>
      </c>
      <c r="AW71" s="113">
        <v>6263.59</v>
      </c>
      <c r="AX71">
        <f t="shared" si="7"/>
        <v>3131.7950000000001</v>
      </c>
      <c r="AY71" s="115" t="b">
        <f t="shared" si="32"/>
        <v>0</v>
      </c>
      <c r="AZ71">
        <v>24604.359999999997</v>
      </c>
      <c r="BA71">
        <v>23974.500000000004</v>
      </c>
      <c r="BB71">
        <v>23206.42</v>
      </c>
      <c r="BC71">
        <v>22436.23</v>
      </c>
      <c r="BD71" s="122" t="s">
        <v>126</v>
      </c>
      <c r="BE71" s="118" t="str">
        <f t="shared" si="8"/>
        <v>P-290/2018</v>
      </c>
      <c r="BF71" s="125" t="str">
        <f t="shared" si="9"/>
        <v>Grants ceļa "Mazaiskrogs -Irbēni"pārbūvei</v>
      </c>
      <c r="BG71" s="125" t="str">
        <f t="shared" si="10"/>
        <v>21.06.2018</v>
      </c>
      <c r="BH71" s="125">
        <f t="shared" si="11"/>
        <v>20840</v>
      </c>
      <c r="BI71">
        <f t="shared" si="12"/>
        <v>10420</v>
      </c>
      <c r="BJ71" s="136">
        <f t="shared" si="13"/>
        <v>31260</v>
      </c>
      <c r="BK71">
        <v>24604.359999999997</v>
      </c>
      <c r="BL71">
        <v>23974.500000000004</v>
      </c>
      <c r="BM71">
        <v>23206.42</v>
      </c>
      <c r="BN71">
        <v>22436.23</v>
      </c>
      <c r="BO71" s="118" t="s">
        <v>127</v>
      </c>
      <c r="BP71">
        <f t="shared" si="14"/>
        <v>20937.05</v>
      </c>
      <c r="BQ71" s="118" t="s">
        <v>127</v>
      </c>
      <c r="BR71">
        <f t="shared" si="15"/>
        <v>20260.783284999998</v>
      </c>
      <c r="BS71" s="118" t="s">
        <v>127</v>
      </c>
      <c r="BT71">
        <f t="shared" si="16"/>
        <v>66135.23</v>
      </c>
      <c r="BW71" t="s">
        <v>123</v>
      </c>
      <c r="BX71">
        <v>6570.26</v>
      </c>
      <c r="BY71">
        <v>6358.040602</v>
      </c>
      <c r="BZ71">
        <v>20749.879999999997</v>
      </c>
    </row>
    <row r="72" spans="1:78" ht="20.25" customHeight="1" outlineLevel="1" x14ac:dyDescent="0.25">
      <c r="A72" s="39">
        <v>67</v>
      </c>
      <c r="B72" s="26" t="s">
        <v>124</v>
      </c>
      <c r="C72" s="26" t="s">
        <v>125</v>
      </c>
      <c r="D72" s="34" t="str">
        <f t="shared" si="36"/>
        <v>P-261/2018-ERAF pr."Degradēto teritoriju revitalizācija Cēsu novadā 3.kārta"īstenošanai</v>
      </c>
      <c r="E72" s="34" t="str">
        <f t="shared" si="37"/>
        <v>01.06.2018</v>
      </c>
      <c r="F72" s="27">
        <v>19434</v>
      </c>
      <c r="G72" s="128">
        <f t="shared" si="43"/>
        <v>21378.81</v>
      </c>
      <c r="H72" s="128">
        <f t="shared" si="44"/>
        <v>20742.38</v>
      </c>
      <c r="I72" s="128">
        <f t="shared" si="45"/>
        <v>20117.550000000003</v>
      </c>
      <c r="J72" s="128">
        <f t="shared" si="46"/>
        <v>19490.989999999998</v>
      </c>
      <c r="K72" s="128">
        <f t="shared" si="47"/>
        <v>18867.43</v>
      </c>
      <c r="L72" s="129">
        <f t="shared" si="23"/>
        <v>18258.012010999999</v>
      </c>
      <c r="M72" s="128">
        <f>VLOOKUP($C72,$AS:$AT,2,0)-18258</f>
        <v>8883.260000000002</v>
      </c>
      <c r="N72" s="36">
        <f t="shared" si="50"/>
        <v>147172.432011</v>
      </c>
      <c r="Q72" t="str">
        <f t="shared" si="48"/>
        <v>P-261/2018-ERAF pr."Degradēto teritoriju revitalizācija Cēsu novadā 3.kārta"īstenošanai</v>
      </c>
      <c r="R72" t="str">
        <f t="shared" si="49"/>
        <v>01.06.2018</v>
      </c>
      <c r="U72" s="9" t="s">
        <v>5</v>
      </c>
      <c r="V72" s="9" t="s">
        <v>399</v>
      </c>
      <c r="W72" s="9" t="s">
        <v>5</v>
      </c>
      <c r="X72" s="13" t="s">
        <v>401</v>
      </c>
      <c r="Z72" s="1" t="s">
        <v>132</v>
      </c>
      <c r="AA72" s="1" t="s">
        <v>133</v>
      </c>
      <c r="AB72" s="2">
        <v>95301.409999999989</v>
      </c>
      <c r="AD72" s="1" t="s">
        <v>138</v>
      </c>
      <c r="AE72" s="1" t="s">
        <v>139</v>
      </c>
      <c r="AF72" s="2">
        <v>5535.89</v>
      </c>
      <c r="AH72" s="1" t="s">
        <v>144</v>
      </c>
      <c r="AI72" s="1" t="s">
        <v>145</v>
      </c>
      <c r="AJ72" s="2">
        <v>4162.8900000000003</v>
      </c>
      <c r="AL72" s="1" t="s">
        <v>152</v>
      </c>
      <c r="AM72" s="1" t="s">
        <v>153</v>
      </c>
      <c r="AN72" s="2">
        <v>628.96</v>
      </c>
      <c r="AP72" s="1" t="s">
        <v>162</v>
      </c>
      <c r="AQ72" s="1" t="s">
        <v>163</v>
      </c>
      <c r="AR72" s="2">
        <v>79912.429999999993</v>
      </c>
      <c r="AS72" s="1" t="s">
        <v>163</v>
      </c>
      <c r="AT72" s="2">
        <v>845532.75</v>
      </c>
      <c r="AV72" s="119" t="s">
        <v>130</v>
      </c>
      <c r="AW72" s="113">
        <v>4012.65</v>
      </c>
      <c r="AX72">
        <f t="shared" si="7"/>
        <v>2006.325</v>
      </c>
      <c r="AY72" s="115" t="b">
        <f t="shared" ref="AY72:AY103" si="51">B72=AV72</f>
        <v>0</v>
      </c>
      <c r="AZ72">
        <v>15843.119999999999</v>
      </c>
      <c r="BA72">
        <v>15303.69</v>
      </c>
      <c r="BB72">
        <v>14813.41</v>
      </c>
      <c r="BC72">
        <v>14321.75</v>
      </c>
      <c r="BD72" s="122" t="s">
        <v>130</v>
      </c>
      <c r="BE72" s="118" t="str">
        <f t="shared" si="8"/>
        <v>P-366/2018</v>
      </c>
      <c r="BF72" s="125" t="str">
        <f t="shared" si="9"/>
        <v>Straupes ciema ūdenstorņa atjaunošana</v>
      </c>
      <c r="BG72" s="125" t="str">
        <f t="shared" si="10"/>
        <v>05.07.2018</v>
      </c>
      <c r="BH72" s="125">
        <f t="shared" si="11"/>
        <v>23383</v>
      </c>
      <c r="BI72">
        <f t="shared" si="12"/>
        <v>11691.5</v>
      </c>
      <c r="BJ72" s="136">
        <f t="shared" si="13"/>
        <v>35074.5</v>
      </c>
      <c r="BK72">
        <v>15843.119999999999</v>
      </c>
      <c r="BL72">
        <v>15303.69</v>
      </c>
      <c r="BM72">
        <v>14813.41</v>
      </c>
      <c r="BN72">
        <v>14321.75</v>
      </c>
      <c r="BO72" s="118" t="s">
        <v>131</v>
      </c>
      <c r="BP72">
        <f t="shared" si="14"/>
        <v>13364.8</v>
      </c>
      <c r="BQ72" s="118" t="s">
        <v>131</v>
      </c>
      <c r="BR72">
        <f t="shared" si="15"/>
        <v>12933.116959999999</v>
      </c>
      <c r="BS72" s="118" t="s">
        <v>131</v>
      </c>
      <c r="BT72">
        <f t="shared" si="16"/>
        <v>42216.489999999991</v>
      </c>
      <c r="BW72" t="s">
        <v>125</v>
      </c>
      <c r="BX72">
        <v>18867.43</v>
      </c>
      <c r="BY72">
        <v>18258.012010999999</v>
      </c>
      <c r="BZ72">
        <v>8883.260000000002</v>
      </c>
    </row>
    <row r="73" spans="1:78" ht="20.25" customHeight="1" outlineLevel="1" x14ac:dyDescent="0.25">
      <c r="A73" s="39">
        <v>68</v>
      </c>
      <c r="B73" s="26" t="s">
        <v>126</v>
      </c>
      <c r="C73" s="26" t="s">
        <v>127</v>
      </c>
      <c r="D73" s="34" t="str">
        <f t="shared" si="36"/>
        <v>Grants ceļa "Mazaiskrogs -Irbēni"pārbūvei</v>
      </c>
      <c r="E73" s="34" t="str">
        <f t="shared" si="37"/>
        <v>21.06.2018</v>
      </c>
      <c r="F73" s="27">
        <v>20840</v>
      </c>
      <c r="G73" s="128">
        <f t="shared" si="43"/>
        <v>23470.98</v>
      </c>
      <c r="H73" s="128">
        <f t="shared" si="44"/>
        <v>22823.640000000003</v>
      </c>
      <c r="I73" s="128">
        <f t="shared" si="45"/>
        <v>22193.200000000001</v>
      </c>
      <c r="J73" s="128">
        <f t="shared" si="46"/>
        <v>21561.030000000002</v>
      </c>
      <c r="K73" s="128">
        <f t="shared" si="47"/>
        <v>20937.05</v>
      </c>
      <c r="L73" s="129">
        <f t="shared" si="23"/>
        <v>20260.783284999998</v>
      </c>
      <c r="M73" s="128">
        <f>VLOOKUP($C73,$AS:$AT,2,0)-20261</f>
        <v>66135.23</v>
      </c>
      <c r="N73" s="36">
        <f t="shared" si="50"/>
        <v>218221.91328499996</v>
      </c>
      <c r="Q73" t="str">
        <f t="shared" si="48"/>
        <v>Grants ceļa "Mazaiskrogs -Irbēni"pārbūvei</v>
      </c>
      <c r="R73" t="str">
        <f t="shared" si="49"/>
        <v>21.06.2018</v>
      </c>
      <c r="U73" s="9" t="s">
        <v>279</v>
      </c>
      <c r="V73" s="9" t="s">
        <v>402</v>
      </c>
      <c r="W73" s="9" t="s">
        <v>279</v>
      </c>
      <c r="X73" s="13" t="s">
        <v>403</v>
      </c>
      <c r="Z73" s="1" t="s">
        <v>134</v>
      </c>
      <c r="AA73" s="1" t="s">
        <v>135</v>
      </c>
      <c r="AB73" s="2">
        <v>3122.87</v>
      </c>
      <c r="AD73" s="1" t="s">
        <v>140</v>
      </c>
      <c r="AE73" s="1" t="s">
        <v>141</v>
      </c>
      <c r="AF73" s="2">
        <v>157877.25</v>
      </c>
      <c r="AH73" s="1" t="s">
        <v>146</v>
      </c>
      <c r="AI73" s="1" t="s">
        <v>147</v>
      </c>
      <c r="AJ73" s="2">
        <v>5252.0999999999995</v>
      </c>
      <c r="AL73" s="1" t="s">
        <v>154</v>
      </c>
      <c r="AM73" s="1" t="s">
        <v>155</v>
      </c>
      <c r="AN73" s="2">
        <v>40642.909999999996</v>
      </c>
      <c r="AP73" s="1" t="s">
        <v>164</v>
      </c>
      <c r="AQ73" s="1" t="s">
        <v>165</v>
      </c>
      <c r="AR73" s="2">
        <v>165507.29999999999</v>
      </c>
      <c r="AS73" s="1" t="s">
        <v>165</v>
      </c>
      <c r="AT73" s="2">
        <v>2454971.7000000002</v>
      </c>
      <c r="AV73" s="119" t="s">
        <v>128</v>
      </c>
      <c r="AW73" s="113">
        <v>7154.3099999999995</v>
      </c>
      <c r="AX73">
        <f t="shared" ref="AX73:AX136" si="52">AW73/2</f>
        <v>3577.1549999999997</v>
      </c>
      <c r="AY73" s="115" t="b">
        <f t="shared" si="51"/>
        <v>0</v>
      </c>
      <c r="AZ73">
        <v>28247.24</v>
      </c>
      <c r="BA73">
        <v>27285.49</v>
      </c>
      <c r="BB73">
        <v>26411.309999999998</v>
      </c>
      <c r="BC73">
        <v>25534.76</v>
      </c>
      <c r="BD73" s="122" t="s">
        <v>128</v>
      </c>
      <c r="BE73" s="118" t="str">
        <f t="shared" ref="BE73:BE136" si="53">VLOOKUP(BD73,$B$8:$C$150,2,0)</f>
        <v>P-365/2018</v>
      </c>
      <c r="BF73" s="125" t="str">
        <f t="shared" ref="BF73:BF136" si="54">VLOOKUP(BE73,$C$8:$D$150,2,0)</f>
        <v>Stalbes vidusskolas struktūrvienības Raiskuma pamatskolas ēkas energoefektivitātes palielināšana - ēkas fasādes un jumta atjaunošana</v>
      </c>
      <c r="BG73" s="125" t="str">
        <f t="shared" ref="BG73:BG136" si="55">VLOOKUP(BF73,$D$8:$E$150,2,0)</f>
        <v>05.07.2018</v>
      </c>
      <c r="BH73" s="125">
        <f t="shared" ref="BH73:BH136" si="56">VLOOKUP(BG73,$E$8:$F$150,2,0)</f>
        <v>23383</v>
      </c>
      <c r="BI73">
        <f t="shared" ref="BI73:BI136" si="57">BH73/2</f>
        <v>11691.5</v>
      </c>
      <c r="BJ73" s="136">
        <f t="shared" ref="BJ73:BJ136" si="58">BH73+BI73</f>
        <v>35074.5</v>
      </c>
      <c r="BK73">
        <v>28247.24</v>
      </c>
      <c r="BL73">
        <v>27285.49</v>
      </c>
      <c r="BM73">
        <v>26411.309999999998</v>
      </c>
      <c r="BN73">
        <v>25534.76</v>
      </c>
      <c r="BO73" s="118" t="s">
        <v>129</v>
      </c>
      <c r="BP73">
        <f t="shared" ref="BP73:BP136" si="59">VLOOKUP(BO73,$BW$8:$BX$150,2,0)</f>
        <v>23828.539999999997</v>
      </c>
      <c r="BQ73" s="118" t="s">
        <v>129</v>
      </c>
      <c r="BR73">
        <f t="shared" ref="BR73:BR136" si="60">VLOOKUP(BQ73,BW:BY,3,0)</f>
        <v>23058.878157999996</v>
      </c>
      <c r="BS73" s="118" t="s">
        <v>129</v>
      </c>
      <c r="BT73">
        <f t="shared" ref="BT73:BT136" si="61">VLOOKUP(BS73,BW:BZ,4,0)</f>
        <v>75268.900000000009</v>
      </c>
      <c r="BW73" t="s">
        <v>127</v>
      </c>
      <c r="BX73">
        <v>20937.05</v>
      </c>
      <c r="BY73">
        <v>20260.783284999998</v>
      </c>
      <c r="BZ73">
        <v>66135.23</v>
      </c>
    </row>
    <row r="74" spans="1:78" ht="20.25" customHeight="1" outlineLevel="1" x14ac:dyDescent="0.25">
      <c r="A74" s="39">
        <v>69</v>
      </c>
      <c r="B74" s="26" t="s">
        <v>128</v>
      </c>
      <c r="C74" s="26" t="s">
        <v>129</v>
      </c>
      <c r="D74" s="34" t="str">
        <f t="shared" si="36"/>
        <v>Stalbes vidusskolas struktūrvienības Raiskuma pamatskolas ēkas energoefektivitātes palielināšana - ēkas fasādes un jumta atjaunošana</v>
      </c>
      <c r="E74" s="34" t="str">
        <f t="shared" si="37"/>
        <v>05.07.2018</v>
      </c>
      <c r="F74" s="27">
        <v>23383</v>
      </c>
      <c r="G74" s="128">
        <f t="shared" si="43"/>
        <v>26712.41</v>
      </c>
      <c r="H74" s="128">
        <f t="shared" si="44"/>
        <v>25975.69</v>
      </c>
      <c r="I74" s="128">
        <f t="shared" si="45"/>
        <v>25258.170000000002</v>
      </c>
      <c r="J74" s="128">
        <f t="shared" si="46"/>
        <v>24538.69</v>
      </c>
      <c r="K74" s="128">
        <f t="shared" si="47"/>
        <v>23828.539999999997</v>
      </c>
      <c r="L74" s="129">
        <f t="shared" si="23"/>
        <v>23058.878157999996</v>
      </c>
      <c r="M74" s="128">
        <f>VLOOKUP($C74,$AS:$AT,2,0)-23059</f>
        <v>75268.900000000009</v>
      </c>
      <c r="N74" s="36">
        <f t="shared" si="50"/>
        <v>248024.27815800003</v>
      </c>
      <c r="Q74" t="str">
        <f t="shared" si="48"/>
        <v>Stalbes vidusskolas struktūrvienības Raiskuma pamatskolas ēkas energoefektivitātes palielināšana - ēkas fasādes un jumta atjaunošana</v>
      </c>
      <c r="R74" t="str">
        <f t="shared" si="49"/>
        <v>05.07.2018</v>
      </c>
      <c r="U74" s="9" t="s">
        <v>87</v>
      </c>
      <c r="V74" s="9" t="s">
        <v>404</v>
      </c>
      <c r="W74" s="9" t="s">
        <v>87</v>
      </c>
      <c r="X74" s="13" t="s">
        <v>405</v>
      </c>
      <c r="Z74" s="1" t="s">
        <v>136</v>
      </c>
      <c r="AA74" s="1" t="s">
        <v>137</v>
      </c>
      <c r="AB74" s="2">
        <v>10703.88</v>
      </c>
      <c r="AD74" s="1" t="s">
        <v>142</v>
      </c>
      <c r="AE74" s="1" t="s">
        <v>143</v>
      </c>
      <c r="AF74" s="2">
        <v>16795.68</v>
      </c>
      <c r="AH74" s="1" t="s">
        <v>148</v>
      </c>
      <c r="AI74" s="1" t="s">
        <v>149</v>
      </c>
      <c r="AJ74" s="2">
        <v>21542.01</v>
      </c>
      <c r="AL74" s="1" t="s">
        <v>156</v>
      </c>
      <c r="AM74" s="1" t="s">
        <v>157</v>
      </c>
      <c r="AN74" s="2">
        <v>32784.660000000003</v>
      </c>
      <c r="AP74" s="1" t="s">
        <v>168</v>
      </c>
      <c r="AQ74" s="1" t="s">
        <v>169</v>
      </c>
      <c r="AR74" s="2">
        <v>1866.88</v>
      </c>
      <c r="AS74" s="1" t="s">
        <v>169</v>
      </c>
      <c r="AT74" s="2">
        <v>2238.46</v>
      </c>
      <c r="AV74" s="119" t="s">
        <v>132</v>
      </c>
      <c r="AW74" s="113">
        <v>24658.25</v>
      </c>
      <c r="AX74">
        <f t="shared" si="52"/>
        <v>12329.125</v>
      </c>
      <c r="AY74" s="115" t="b">
        <f t="shared" si="51"/>
        <v>0</v>
      </c>
      <c r="AZ74">
        <v>103286.15000000001</v>
      </c>
      <c r="BA74">
        <v>99706.650000000009</v>
      </c>
      <c r="BB74">
        <v>96913.279999999999</v>
      </c>
      <c r="BC74">
        <v>94112.310000000012</v>
      </c>
      <c r="BD74" s="122" t="s">
        <v>132</v>
      </c>
      <c r="BE74" s="118" t="str">
        <f t="shared" si="53"/>
        <v>P-397/2018</v>
      </c>
      <c r="BF74" s="125" t="str">
        <f t="shared" si="54"/>
        <v>P-397/2018-Aizs.infrastruktūras att.proj,"Daudzstāvu daudzdzīv. dzīv.ēkas-nep.jaunbūves A.Kronvalda ielā 56, Cēsīs pārbūve"īstenošanai</v>
      </c>
      <c r="BG74" s="125" t="str">
        <f t="shared" si="55"/>
        <v>25.07.2018</v>
      </c>
      <c r="BH74" s="125">
        <f t="shared" si="56"/>
        <v>88304</v>
      </c>
      <c r="BI74">
        <f t="shared" si="57"/>
        <v>44152</v>
      </c>
      <c r="BJ74" s="136">
        <f t="shared" si="58"/>
        <v>132456</v>
      </c>
      <c r="BK74">
        <v>103286.15000000001</v>
      </c>
      <c r="BL74">
        <v>99706.650000000009</v>
      </c>
      <c r="BM74">
        <v>96913.279999999999</v>
      </c>
      <c r="BN74">
        <v>94112.310000000012</v>
      </c>
      <c r="BO74" s="118" t="s">
        <v>133</v>
      </c>
      <c r="BP74">
        <f t="shared" si="59"/>
        <v>85841.04</v>
      </c>
      <c r="BQ74" s="118" t="s">
        <v>133</v>
      </c>
      <c r="BR74">
        <f t="shared" si="60"/>
        <v>83068.374407999989</v>
      </c>
      <c r="BS74" s="118" t="s">
        <v>133</v>
      </c>
      <c r="BT74">
        <f t="shared" si="61"/>
        <v>748072.34</v>
      </c>
      <c r="BW74" t="s">
        <v>129</v>
      </c>
      <c r="BX74">
        <v>23828.539999999997</v>
      </c>
      <c r="BY74">
        <v>23058.878157999996</v>
      </c>
      <c r="BZ74">
        <v>75268.900000000009</v>
      </c>
    </row>
    <row r="75" spans="1:78" ht="20.25" customHeight="1" outlineLevel="1" x14ac:dyDescent="0.25">
      <c r="A75" s="39">
        <v>70</v>
      </c>
      <c r="B75" s="26" t="s">
        <v>130</v>
      </c>
      <c r="C75" s="26" t="s">
        <v>131</v>
      </c>
      <c r="D75" s="34" t="str">
        <f t="shared" si="36"/>
        <v>Straupes ciema ūdenstorņa atjaunošana</v>
      </c>
      <c r="E75" s="34" t="str">
        <f t="shared" si="37"/>
        <v>05.07.2018</v>
      </c>
      <c r="F75" s="27">
        <v>13115</v>
      </c>
      <c r="G75" s="128">
        <f t="shared" si="43"/>
        <v>14982.28</v>
      </c>
      <c r="H75" s="128">
        <f t="shared" si="44"/>
        <v>14569.07</v>
      </c>
      <c r="I75" s="128">
        <f t="shared" si="45"/>
        <v>14166.63</v>
      </c>
      <c r="J75" s="128">
        <f t="shared" si="46"/>
        <v>13763.079999999998</v>
      </c>
      <c r="K75" s="128">
        <f t="shared" si="47"/>
        <v>13364.8</v>
      </c>
      <c r="L75" s="129">
        <f t="shared" si="23"/>
        <v>12933.116959999999</v>
      </c>
      <c r="M75" s="128">
        <f>VLOOKUP($C75,$AS:$AT,2,0)-12933</f>
        <v>42216.489999999991</v>
      </c>
      <c r="N75" s="36">
        <f t="shared" si="50"/>
        <v>139110.46695999999</v>
      </c>
      <c r="Q75" t="str">
        <f t="shared" si="48"/>
        <v>Straupes ciema ūdenstorņa atjaunošana</v>
      </c>
      <c r="R75" t="str">
        <f t="shared" si="49"/>
        <v>05.07.2018</v>
      </c>
      <c r="U75" s="9" t="s">
        <v>109</v>
      </c>
      <c r="V75" s="9" t="s">
        <v>406</v>
      </c>
      <c r="W75" s="9" t="s">
        <v>109</v>
      </c>
      <c r="X75" s="13" t="s">
        <v>407</v>
      </c>
      <c r="Z75" s="1" t="s">
        <v>138</v>
      </c>
      <c r="AA75" s="1" t="s">
        <v>139</v>
      </c>
      <c r="AB75" s="2">
        <v>5691.15</v>
      </c>
      <c r="AD75" s="1" t="s">
        <v>144</v>
      </c>
      <c r="AE75" s="1" t="s">
        <v>145</v>
      </c>
      <c r="AF75" s="2">
        <v>4298.5200000000004</v>
      </c>
      <c r="AH75" s="1" t="s">
        <v>150</v>
      </c>
      <c r="AI75" s="1" t="s">
        <v>151</v>
      </c>
      <c r="AJ75" s="2">
        <v>1573.1200000000001</v>
      </c>
      <c r="AL75" s="1" t="s">
        <v>158</v>
      </c>
      <c r="AM75" s="1" t="s">
        <v>159</v>
      </c>
      <c r="AN75" s="2">
        <v>30826.1</v>
      </c>
      <c r="AP75" s="1" t="s">
        <v>170</v>
      </c>
      <c r="AQ75" s="1" t="s">
        <v>171</v>
      </c>
      <c r="AR75" s="2">
        <v>35862.129999999997</v>
      </c>
      <c r="AS75" s="1" t="s">
        <v>171</v>
      </c>
      <c r="AT75" s="2">
        <v>44409.159999999996</v>
      </c>
      <c r="AV75" s="119" t="s">
        <v>136</v>
      </c>
      <c r="AW75" s="113">
        <v>2584.27</v>
      </c>
      <c r="AX75">
        <f t="shared" si="52"/>
        <v>1292.135</v>
      </c>
      <c r="AY75" s="115" t="b">
        <f t="shared" si="51"/>
        <v>0</v>
      </c>
      <c r="AZ75">
        <v>11303.25</v>
      </c>
      <c r="BA75">
        <v>10948.910000000002</v>
      </c>
      <c r="BB75">
        <v>10600.93</v>
      </c>
      <c r="BC75">
        <v>10251.990000000002</v>
      </c>
      <c r="BD75" s="122" t="s">
        <v>136</v>
      </c>
      <c r="BE75" s="118" t="str">
        <f t="shared" si="53"/>
        <v>P-564/2018</v>
      </c>
      <c r="BF75" s="125" t="str">
        <f t="shared" si="54"/>
        <v>Siltummezglu, siltumtrases un kanalizācijas tīklu izbūve</v>
      </c>
      <c r="BG75" s="125" t="str">
        <f t="shared" si="55"/>
        <v>03.10.2018</v>
      </c>
      <c r="BH75" s="125">
        <f t="shared" si="56"/>
        <v>2849</v>
      </c>
      <c r="BI75">
        <f t="shared" si="57"/>
        <v>1424.5</v>
      </c>
      <c r="BJ75" s="136">
        <f t="shared" si="58"/>
        <v>4273.5</v>
      </c>
      <c r="BK75">
        <v>11303.25</v>
      </c>
      <c r="BL75">
        <v>10948.910000000002</v>
      </c>
      <c r="BM75">
        <v>10600.93</v>
      </c>
      <c r="BN75">
        <v>10251.990000000002</v>
      </c>
      <c r="BO75" s="118" t="s">
        <v>137</v>
      </c>
      <c r="BP75">
        <f t="shared" si="59"/>
        <v>9557.369999999999</v>
      </c>
      <c r="BQ75" s="118" t="s">
        <v>137</v>
      </c>
      <c r="BR75">
        <f t="shared" si="60"/>
        <v>9248.6669489999986</v>
      </c>
      <c r="BS75" s="118" t="s">
        <v>137</v>
      </c>
      <c r="BT75">
        <f t="shared" si="61"/>
        <v>32236.960000000006</v>
      </c>
      <c r="BW75" t="s">
        <v>131</v>
      </c>
      <c r="BX75">
        <v>13364.8</v>
      </c>
      <c r="BY75">
        <v>12933.116959999999</v>
      </c>
      <c r="BZ75">
        <v>42216.489999999991</v>
      </c>
    </row>
    <row r="76" spans="1:78" ht="20.25" customHeight="1" outlineLevel="1" x14ac:dyDescent="0.25">
      <c r="A76" s="39">
        <v>71</v>
      </c>
      <c r="B76" s="26" t="s">
        <v>132</v>
      </c>
      <c r="C76" s="26" t="s">
        <v>133</v>
      </c>
      <c r="D76" s="34" t="str">
        <f t="shared" si="36"/>
        <v>P-397/2018-Aizs.infrastruktūras att.proj,"Daudzstāvu daudzdzīv. dzīv.ēkas-nep.jaunbūves A.Kronvalda ielā 56, Cēsīs pārbūve"īstenošanai</v>
      </c>
      <c r="E76" s="34" t="str">
        <f t="shared" si="37"/>
        <v>25.07.2018</v>
      </c>
      <c r="F76" s="27">
        <v>88304</v>
      </c>
      <c r="G76" s="128">
        <f t="shared" si="43"/>
        <v>95301.409999999989</v>
      </c>
      <c r="H76" s="128">
        <f t="shared" si="44"/>
        <v>92837.77</v>
      </c>
      <c r="I76" s="128">
        <f t="shared" si="45"/>
        <v>90483.96</v>
      </c>
      <c r="J76" s="128">
        <f t="shared" si="46"/>
        <v>88123.73000000001</v>
      </c>
      <c r="K76" s="128">
        <f t="shared" si="47"/>
        <v>85841.04</v>
      </c>
      <c r="L76" s="129">
        <f t="shared" si="23"/>
        <v>83068.374407999989</v>
      </c>
      <c r="M76" s="128">
        <f>VLOOKUP($C76,$AS:$AT,2,0)-83068</f>
        <v>748072.34</v>
      </c>
      <c r="N76" s="36">
        <f t="shared" si="50"/>
        <v>1372032.6244080001</v>
      </c>
      <c r="Q76" t="str">
        <f t="shared" si="48"/>
        <v>P-397/2018-Aizs.infrastruktūras att.proj,"Daudzstāvu daudzdzīv. dzīv.ēkas-nep.jaunbūves A.Kronvalda ielā 56, Cēsīs pārbūve"īstenošanai</v>
      </c>
      <c r="R76" t="str">
        <f t="shared" si="49"/>
        <v>25.07.2018</v>
      </c>
      <c r="U76" s="9" t="s">
        <v>123</v>
      </c>
      <c r="V76" s="9" t="s">
        <v>408</v>
      </c>
      <c r="W76" s="9" t="s">
        <v>123</v>
      </c>
      <c r="X76" s="13" t="s">
        <v>409</v>
      </c>
      <c r="Z76" s="1" t="s">
        <v>140</v>
      </c>
      <c r="AA76" s="1" t="s">
        <v>141</v>
      </c>
      <c r="AB76" s="2">
        <v>161028.27000000002</v>
      </c>
      <c r="AD76" s="1" t="s">
        <v>146</v>
      </c>
      <c r="AE76" s="1" t="s">
        <v>147</v>
      </c>
      <c r="AF76" s="2">
        <v>5423.22</v>
      </c>
      <c r="AH76" s="1" t="s">
        <v>152</v>
      </c>
      <c r="AI76" s="1" t="s">
        <v>153</v>
      </c>
      <c r="AJ76" s="2">
        <v>649.86</v>
      </c>
      <c r="AL76" s="1" t="s">
        <v>160</v>
      </c>
      <c r="AM76" s="1" t="s">
        <v>161</v>
      </c>
      <c r="AN76" s="2">
        <v>17443.669999999998</v>
      </c>
      <c r="AP76" s="1" t="s">
        <v>172</v>
      </c>
      <c r="AQ76" s="1" t="s">
        <v>173</v>
      </c>
      <c r="AR76" s="2">
        <v>722.85</v>
      </c>
      <c r="AS76" s="1" t="s">
        <v>173</v>
      </c>
      <c r="AT76" s="2">
        <v>1035.3200000000002</v>
      </c>
      <c r="AV76" s="119" t="s">
        <v>134</v>
      </c>
      <c r="AW76" s="113">
        <v>753.97</v>
      </c>
      <c r="AX76">
        <f t="shared" si="52"/>
        <v>376.98500000000001</v>
      </c>
      <c r="AY76" s="115" t="b">
        <f t="shared" si="51"/>
        <v>0</v>
      </c>
      <c r="AZ76">
        <v>3297.7399999999993</v>
      </c>
      <c r="BA76">
        <v>3194.35</v>
      </c>
      <c r="BB76">
        <v>3092.84</v>
      </c>
      <c r="BC76">
        <v>2991.0299999999997</v>
      </c>
      <c r="BD76" s="122" t="s">
        <v>134</v>
      </c>
      <c r="BE76" s="118" t="str">
        <f t="shared" si="53"/>
        <v>P-565/2018</v>
      </c>
      <c r="BF76" s="125" t="str">
        <f t="shared" si="54"/>
        <v>Skatu torņa būvniecība</v>
      </c>
      <c r="BG76" s="125" t="str">
        <f t="shared" si="55"/>
        <v>03.10.2018</v>
      </c>
      <c r="BH76" s="125">
        <f t="shared" si="56"/>
        <v>2849</v>
      </c>
      <c r="BI76">
        <f t="shared" si="57"/>
        <v>1424.5</v>
      </c>
      <c r="BJ76" s="136">
        <f t="shared" si="58"/>
        <v>4273.5</v>
      </c>
      <c r="BK76">
        <v>3297.7399999999993</v>
      </c>
      <c r="BL76">
        <v>3194.35</v>
      </c>
      <c r="BM76">
        <v>3092.84</v>
      </c>
      <c r="BN76">
        <v>2991.0299999999997</v>
      </c>
      <c r="BO76" s="118" t="s">
        <v>135</v>
      </c>
      <c r="BP76">
        <f t="shared" si="59"/>
        <v>2788.36</v>
      </c>
      <c r="BQ76" s="118" t="s">
        <v>135</v>
      </c>
      <c r="BR76">
        <f t="shared" si="60"/>
        <v>2698.2959720000003</v>
      </c>
      <c r="BS76" s="118" t="s">
        <v>135</v>
      </c>
      <c r="BT76">
        <f t="shared" si="61"/>
        <v>9405.5499999999993</v>
      </c>
      <c r="BW76" t="s">
        <v>133</v>
      </c>
      <c r="BX76">
        <v>85841.04</v>
      </c>
      <c r="BY76">
        <v>83068.374407999989</v>
      </c>
      <c r="BZ76">
        <v>748072.34</v>
      </c>
    </row>
    <row r="77" spans="1:78" ht="20.25" customHeight="1" outlineLevel="1" x14ac:dyDescent="0.25">
      <c r="A77" s="39">
        <v>72</v>
      </c>
      <c r="B77" s="26" t="s">
        <v>134</v>
      </c>
      <c r="C77" s="26" t="s">
        <v>135</v>
      </c>
      <c r="D77" s="34" t="str">
        <f t="shared" si="36"/>
        <v>Skatu torņa būvniecība</v>
      </c>
      <c r="E77" s="34" t="str">
        <f t="shared" si="37"/>
        <v>03.10.2018</v>
      </c>
      <c r="F77" s="27">
        <v>2849</v>
      </c>
      <c r="G77" s="128">
        <f t="shared" si="43"/>
        <v>3122.87</v>
      </c>
      <c r="H77" s="128">
        <f t="shared" si="44"/>
        <v>3037.67</v>
      </c>
      <c r="I77" s="128">
        <f t="shared" si="45"/>
        <v>2954.36</v>
      </c>
      <c r="J77" s="128">
        <f t="shared" si="46"/>
        <v>2870.79</v>
      </c>
      <c r="K77" s="128">
        <f t="shared" si="47"/>
        <v>2788.36</v>
      </c>
      <c r="L77" s="129">
        <f t="shared" si="23"/>
        <v>2698.2959720000003</v>
      </c>
      <c r="M77" s="128">
        <f>VLOOKUP($C77,$AS:$AT,2,0)-2698</f>
        <v>9405.5499999999993</v>
      </c>
      <c r="N77" s="36">
        <f t="shared" si="50"/>
        <v>29726.895972000002</v>
      </c>
      <c r="Q77" t="str">
        <f t="shared" si="48"/>
        <v>Skatu torņa būvniecība</v>
      </c>
      <c r="R77" t="str">
        <f t="shared" si="49"/>
        <v>03.10.2018</v>
      </c>
      <c r="U77" s="9" t="s">
        <v>135</v>
      </c>
      <c r="V77" s="9" t="s">
        <v>410</v>
      </c>
      <c r="W77" s="9" t="s">
        <v>135</v>
      </c>
      <c r="X77" s="13" t="s">
        <v>411</v>
      </c>
      <c r="Z77" s="1" t="s">
        <v>142</v>
      </c>
      <c r="AA77" s="1" t="s">
        <v>143</v>
      </c>
      <c r="AB77" s="2">
        <v>17176.78</v>
      </c>
      <c r="AD77" s="1" t="s">
        <v>148</v>
      </c>
      <c r="AE77" s="1" t="s">
        <v>149</v>
      </c>
      <c r="AF77" s="2">
        <v>22243.87</v>
      </c>
      <c r="AH77" s="1" t="s">
        <v>154</v>
      </c>
      <c r="AI77" s="1" t="s">
        <v>155</v>
      </c>
      <c r="AJ77" s="2">
        <v>41800.670000000006</v>
      </c>
      <c r="AL77" s="1" t="s">
        <v>162</v>
      </c>
      <c r="AM77" s="1" t="s">
        <v>163</v>
      </c>
      <c r="AN77" s="2">
        <v>81777.62999999999</v>
      </c>
      <c r="AP77" s="1" t="s">
        <v>174</v>
      </c>
      <c r="AQ77" s="1" t="s">
        <v>175</v>
      </c>
      <c r="AR77" s="2">
        <v>356.76</v>
      </c>
      <c r="AS77" s="1" t="s">
        <v>175</v>
      </c>
      <c r="AT77" s="2">
        <v>594</v>
      </c>
      <c r="AV77" s="119" t="s">
        <v>138</v>
      </c>
      <c r="AW77" s="113">
        <v>1374.04</v>
      </c>
      <c r="AX77">
        <f t="shared" si="52"/>
        <v>687.02</v>
      </c>
      <c r="AY77" s="115" t="b">
        <f t="shared" si="51"/>
        <v>0</v>
      </c>
      <c r="AZ77">
        <v>6009.8399999999992</v>
      </c>
      <c r="BA77">
        <v>5821.43</v>
      </c>
      <c r="BB77">
        <v>5636.4299999999994</v>
      </c>
      <c r="BC77">
        <v>5450.9099999999989</v>
      </c>
      <c r="BD77" s="122" t="s">
        <v>138</v>
      </c>
      <c r="BE77" s="118" t="str">
        <f t="shared" si="53"/>
        <v>P-566/2018</v>
      </c>
      <c r="BF77" s="125" t="str">
        <f t="shared" si="54"/>
        <v>Sporta un atpūtas laukuma izveidošana</v>
      </c>
      <c r="BG77" s="125" t="str">
        <f t="shared" si="55"/>
        <v>04.10.2018</v>
      </c>
      <c r="BH77" s="125">
        <f t="shared" si="56"/>
        <v>5192</v>
      </c>
      <c r="BI77">
        <f t="shared" si="57"/>
        <v>2596</v>
      </c>
      <c r="BJ77" s="136">
        <f t="shared" si="58"/>
        <v>7788</v>
      </c>
      <c r="BK77">
        <v>6009.8399999999992</v>
      </c>
      <c r="BL77">
        <v>5821.43</v>
      </c>
      <c r="BM77">
        <v>5636.4299999999994</v>
      </c>
      <c r="BN77">
        <v>5450.9099999999989</v>
      </c>
      <c r="BO77" s="118" t="s">
        <v>139</v>
      </c>
      <c r="BP77">
        <f t="shared" si="59"/>
        <v>5081.5599999999995</v>
      </c>
      <c r="BQ77" s="118" t="s">
        <v>139</v>
      </c>
      <c r="BR77">
        <f t="shared" si="60"/>
        <v>4917.4256119999991</v>
      </c>
      <c r="BS77" s="118" t="s">
        <v>139</v>
      </c>
      <c r="BT77">
        <f t="shared" si="61"/>
        <v>17140.659999999996</v>
      </c>
      <c r="BW77" t="s">
        <v>135</v>
      </c>
      <c r="BX77">
        <v>2788.36</v>
      </c>
      <c r="BY77">
        <v>2698.2959720000003</v>
      </c>
      <c r="BZ77">
        <v>9405.5499999999993</v>
      </c>
    </row>
    <row r="78" spans="1:78" ht="20.25" customHeight="1" outlineLevel="1" x14ac:dyDescent="0.25">
      <c r="A78" s="39">
        <v>73</v>
      </c>
      <c r="B78" s="26" t="s">
        <v>136</v>
      </c>
      <c r="C78" s="26" t="s">
        <v>137</v>
      </c>
      <c r="D78" s="34" t="str">
        <f t="shared" si="36"/>
        <v>Siltummezglu, siltumtrases un kanalizācijas tīklu izbūve</v>
      </c>
      <c r="E78" s="34" t="str">
        <f t="shared" si="37"/>
        <v>03.10.2018</v>
      </c>
      <c r="F78" s="27">
        <v>9764</v>
      </c>
      <c r="G78" s="128">
        <f t="shared" si="43"/>
        <v>10703.88</v>
      </c>
      <c r="H78" s="128">
        <f t="shared" si="44"/>
        <v>10411.89</v>
      </c>
      <c r="I78" s="128">
        <f t="shared" si="45"/>
        <v>10126.26</v>
      </c>
      <c r="J78" s="128">
        <f t="shared" si="46"/>
        <v>9839.84</v>
      </c>
      <c r="K78" s="128">
        <f t="shared" si="47"/>
        <v>9557.369999999999</v>
      </c>
      <c r="L78" s="129">
        <f t="shared" si="23"/>
        <v>9248.6669489999986</v>
      </c>
      <c r="M78" s="128">
        <f>VLOOKUP($C78,$AS:$AT,2,0)-9249</f>
        <v>32236.960000000006</v>
      </c>
      <c r="N78" s="36">
        <f t="shared" si="50"/>
        <v>101888.866949</v>
      </c>
      <c r="Q78" t="str">
        <f t="shared" si="48"/>
        <v>Siltummezglu, siltumtrases un kanalizācijas tīklu izbūve</v>
      </c>
      <c r="R78" t="str">
        <f t="shared" si="49"/>
        <v>03.10.2018</v>
      </c>
      <c r="U78" s="9" t="s">
        <v>137</v>
      </c>
      <c r="V78" s="9" t="s">
        <v>412</v>
      </c>
      <c r="W78" s="9" t="s">
        <v>137</v>
      </c>
      <c r="X78" s="13" t="s">
        <v>411</v>
      </c>
      <c r="Z78" s="1" t="s">
        <v>144</v>
      </c>
      <c r="AA78" s="1" t="s">
        <v>145</v>
      </c>
      <c r="AB78" s="2">
        <v>4422.5099999999993</v>
      </c>
      <c r="AD78" s="1" t="s">
        <v>150</v>
      </c>
      <c r="AE78" s="1" t="s">
        <v>151</v>
      </c>
      <c r="AF78" s="2">
        <v>1623.56</v>
      </c>
      <c r="AH78" s="1" t="s">
        <v>156</v>
      </c>
      <c r="AI78" s="1" t="s">
        <v>157</v>
      </c>
      <c r="AJ78" s="2">
        <v>33873.539999999994</v>
      </c>
      <c r="AL78" s="1" t="s">
        <v>164</v>
      </c>
      <c r="AM78" s="1" t="s">
        <v>165</v>
      </c>
      <c r="AN78" s="2">
        <v>170974.47</v>
      </c>
      <c r="AP78" s="1" t="s">
        <v>176</v>
      </c>
      <c r="AQ78" s="1" t="s">
        <v>177</v>
      </c>
      <c r="AR78" s="2">
        <v>1409.4</v>
      </c>
      <c r="AS78" s="1" t="s">
        <v>177</v>
      </c>
      <c r="AT78" s="2">
        <v>2346.73</v>
      </c>
      <c r="AV78" s="119" t="s">
        <v>140</v>
      </c>
      <c r="AW78" s="113">
        <v>39561.649999999994</v>
      </c>
      <c r="AX78">
        <f t="shared" si="52"/>
        <v>19780.824999999997</v>
      </c>
      <c r="AY78" s="115" t="b">
        <f t="shared" si="51"/>
        <v>0</v>
      </c>
      <c r="AZ78">
        <v>172915.16999999998</v>
      </c>
      <c r="BA78">
        <v>170394.52000000002</v>
      </c>
      <c r="BB78">
        <v>165994.82</v>
      </c>
      <c r="BC78">
        <v>161583.06</v>
      </c>
      <c r="BD78" s="122" t="s">
        <v>140</v>
      </c>
      <c r="BE78" s="118" t="str">
        <f t="shared" si="53"/>
        <v>P-651/2018</v>
      </c>
      <c r="BF78" s="125" t="str">
        <f t="shared" si="54"/>
        <v>P-651/2018-Valsts nozīmes sporta infrastruktūras attīst.projekta "Cēsu pils.stadiona rekonstrukcija"īstenošanai</v>
      </c>
      <c r="BG78" s="125" t="str">
        <f t="shared" si="55"/>
        <v>14.11.2018</v>
      </c>
      <c r="BH78" s="125">
        <f t="shared" si="56"/>
        <v>143955</v>
      </c>
      <c r="BI78">
        <f t="shared" si="57"/>
        <v>71977.5</v>
      </c>
      <c r="BJ78" s="136">
        <f t="shared" si="58"/>
        <v>215932.5</v>
      </c>
      <c r="BK78">
        <v>172915.16999999998</v>
      </c>
      <c r="BL78">
        <v>170394.52000000002</v>
      </c>
      <c r="BM78">
        <v>165994.82</v>
      </c>
      <c r="BN78">
        <v>161583.06</v>
      </c>
      <c r="BO78" s="118" t="s">
        <v>141</v>
      </c>
      <c r="BP78">
        <f t="shared" si="59"/>
        <v>147144.93000000002</v>
      </c>
      <c r="BQ78" s="118" t="s">
        <v>141</v>
      </c>
      <c r="BR78">
        <f t="shared" si="60"/>
        <v>142392.14876100002</v>
      </c>
      <c r="BS78" s="118" t="s">
        <v>141</v>
      </c>
      <c r="BT78">
        <f t="shared" si="61"/>
        <v>1339789.0400000003</v>
      </c>
      <c r="BW78" t="s">
        <v>137</v>
      </c>
      <c r="BX78">
        <v>9557.369999999999</v>
      </c>
      <c r="BY78">
        <v>9248.6669489999986</v>
      </c>
      <c r="BZ78">
        <v>32236.960000000006</v>
      </c>
    </row>
    <row r="79" spans="1:78" ht="20.25" customHeight="1" outlineLevel="1" x14ac:dyDescent="0.25">
      <c r="A79" s="39">
        <v>74</v>
      </c>
      <c r="B79" s="26" t="s">
        <v>138</v>
      </c>
      <c r="C79" s="26" t="s">
        <v>139</v>
      </c>
      <c r="D79" s="34" t="str">
        <f t="shared" si="36"/>
        <v>Sporta un atpūtas laukuma izveidošana</v>
      </c>
      <c r="E79" s="34" t="str">
        <f t="shared" si="37"/>
        <v>04.10.2018</v>
      </c>
      <c r="F79" s="27">
        <v>5192</v>
      </c>
      <c r="G79" s="128">
        <f t="shared" si="43"/>
        <v>5691.15</v>
      </c>
      <c r="H79" s="128">
        <f t="shared" si="44"/>
        <v>5535.89</v>
      </c>
      <c r="I79" s="128">
        <f t="shared" si="45"/>
        <v>5384.05</v>
      </c>
      <c r="J79" s="128">
        <f t="shared" si="46"/>
        <v>5231.7699999999995</v>
      </c>
      <c r="K79" s="128">
        <f t="shared" si="47"/>
        <v>5081.5599999999995</v>
      </c>
      <c r="L79" s="129">
        <f t="shared" si="23"/>
        <v>4917.4256119999991</v>
      </c>
      <c r="M79" s="128">
        <f>VLOOKUP($C79,$AS:$AT,2,0)-4917</f>
        <v>17140.659999999996</v>
      </c>
      <c r="N79" s="36">
        <f t="shared" si="50"/>
        <v>54174.505611999994</v>
      </c>
      <c r="Q79" t="str">
        <f t="shared" si="48"/>
        <v>Sporta un atpūtas laukuma izveidošana</v>
      </c>
      <c r="R79" t="str">
        <f t="shared" si="49"/>
        <v>04.10.2018</v>
      </c>
      <c r="U79" s="9" t="s">
        <v>139</v>
      </c>
      <c r="V79" s="9" t="s">
        <v>413</v>
      </c>
      <c r="W79" s="9" t="s">
        <v>139</v>
      </c>
      <c r="X79" s="13" t="s">
        <v>414</v>
      </c>
      <c r="Z79" s="1" t="s">
        <v>146</v>
      </c>
      <c r="AA79" s="1" t="s">
        <v>147</v>
      </c>
      <c r="AB79" s="2">
        <v>5580.17</v>
      </c>
      <c r="AD79" s="1" t="s">
        <v>152</v>
      </c>
      <c r="AE79" s="1" t="s">
        <v>153</v>
      </c>
      <c r="AF79" s="2">
        <v>670.69999999999993</v>
      </c>
      <c r="AH79" s="1" t="s">
        <v>158</v>
      </c>
      <c r="AI79" s="1" t="s">
        <v>159</v>
      </c>
      <c r="AJ79" s="2">
        <v>31704.2</v>
      </c>
      <c r="AL79" s="1" t="s">
        <v>168</v>
      </c>
      <c r="AM79" s="1" t="s">
        <v>169</v>
      </c>
      <c r="AN79" s="2">
        <v>1936.6</v>
      </c>
      <c r="AP79" s="1" t="s">
        <v>178</v>
      </c>
      <c r="AQ79" s="1" t="s">
        <v>179</v>
      </c>
      <c r="AR79" s="2">
        <v>16769.169999999998</v>
      </c>
      <c r="AS79" s="1" t="s">
        <v>179</v>
      </c>
      <c r="AT79" s="2">
        <v>39058.420000000006</v>
      </c>
      <c r="AV79" s="119" t="s">
        <v>118</v>
      </c>
      <c r="AW79" s="113">
        <v>6607.18</v>
      </c>
      <c r="AX79">
        <f t="shared" si="52"/>
        <v>3303.59</v>
      </c>
      <c r="AY79" s="115" t="b">
        <f t="shared" si="51"/>
        <v>0</v>
      </c>
      <c r="AZ79">
        <v>26125.39</v>
      </c>
      <c r="BA79">
        <v>25397.739999999998</v>
      </c>
      <c r="BB79">
        <v>24489.3</v>
      </c>
      <c r="BC79">
        <v>23578.29</v>
      </c>
      <c r="BD79" s="122" t="s">
        <v>118</v>
      </c>
      <c r="BE79" s="118" t="str">
        <f t="shared" si="53"/>
        <v>P-63/2018</v>
      </c>
      <c r="BF79" s="125" t="str">
        <f t="shared" si="54"/>
        <v>P-63/2018 Telpu grupas vienkāršota atjaunošana Amatas novada Drabešu Jaunajā pamatskolā</v>
      </c>
      <c r="BG79" s="125" t="str">
        <f t="shared" si="55"/>
        <v>07.03.2018</v>
      </c>
      <c r="BH79" s="125">
        <f t="shared" si="56"/>
        <v>23954</v>
      </c>
      <c r="BI79">
        <f t="shared" si="57"/>
        <v>11977</v>
      </c>
      <c r="BJ79" s="136">
        <f t="shared" si="58"/>
        <v>35931</v>
      </c>
      <c r="BK79">
        <v>26125.39</v>
      </c>
      <c r="BL79">
        <v>25397.739999999998</v>
      </c>
      <c r="BM79">
        <v>24489.3</v>
      </c>
      <c r="BN79">
        <v>23578.29</v>
      </c>
      <c r="BO79" s="118" t="s">
        <v>119</v>
      </c>
      <c r="BP79">
        <f t="shared" si="59"/>
        <v>22328.649999999998</v>
      </c>
      <c r="BQ79" s="118" t="s">
        <v>119</v>
      </c>
      <c r="BR79">
        <f t="shared" si="60"/>
        <v>21607.434604999999</v>
      </c>
      <c r="BS79" s="118" t="s">
        <v>119</v>
      </c>
      <c r="BT79">
        <f t="shared" si="61"/>
        <v>5273.4500000000007</v>
      </c>
      <c r="BW79" t="s">
        <v>139</v>
      </c>
      <c r="BX79">
        <v>5081.5599999999995</v>
      </c>
      <c r="BY79">
        <v>4917.4256119999991</v>
      </c>
      <c r="BZ79">
        <v>17140.659999999996</v>
      </c>
    </row>
    <row r="80" spans="1:78" ht="20.25" customHeight="1" outlineLevel="1" x14ac:dyDescent="0.25">
      <c r="A80" s="39">
        <v>75</v>
      </c>
      <c r="B80" s="26" t="s">
        <v>140</v>
      </c>
      <c r="C80" s="26" t="s">
        <v>141</v>
      </c>
      <c r="D80" s="34" t="str">
        <f t="shared" si="36"/>
        <v>P-651/2018-Valsts nozīmes sporta infrastruktūras attīst.projekta "Cēsu pils.stadiona rekonstrukcija"īstenošanai</v>
      </c>
      <c r="E80" s="34" t="str">
        <f t="shared" si="37"/>
        <v>14.11.2018</v>
      </c>
      <c r="F80" s="27">
        <v>143955</v>
      </c>
      <c r="G80" s="128">
        <f t="shared" si="43"/>
        <v>161028.27000000002</v>
      </c>
      <c r="H80" s="128">
        <f t="shared" si="44"/>
        <v>157877.25</v>
      </c>
      <c r="I80" s="128">
        <f t="shared" si="45"/>
        <v>154265.92000000001</v>
      </c>
      <c r="J80" s="128">
        <f t="shared" si="46"/>
        <v>150644.71</v>
      </c>
      <c r="K80" s="128">
        <f t="shared" si="47"/>
        <v>147144.93000000002</v>
      </c>
      <c r="L80" s="129">
        <f t="shared" si="23"/>
        <v>142392.14876100002</v>
      </c>
      <c r="M80" s="128">
        <f>VLOOKUP($C80,$AS:$AT,2,0)-142392</f>
        <v>1339789.0400000003</v>
      </c>
      <c r="N80" s="36">
        <f t="shared" si="50"/>
        <v>2397097.2687610006</v>
      </c>
      <c r="Q80" t="str">
        <f t="shared" si="48"/>
        <v>P-651/2018-Valsts nozīmes sporta infrastruktūras attīst.projekta "Cēsu pils.stadiona rekonstrukcija"īstenošanai</v>
      </c>
      <c r="R80" t="str">
        <f t="shared" si="49"/>
        <v>14.11.2018</v>
      </c>
      <c r="U80" s="9" t="s">
        <v>181</v>
      </c>
      <c r="V80" s="9" t="s">
        <v>415</v>
      </c>
      <c r="W80" s="9" t="s">
        <v>181</v>
      </c>
      <c r="X80" s="13" t="s">
        <v>416</v>
      </c>
      <c r="Z80" s="1" t="s">
        <v>148</v>
      </c>
      <c r="AA80" s="1" t="s">
        <v>149</v>
      </c>
      <c r="AB80" s="2">
        <v>22881.86</v>
      </c>
      <c r="AD80" s="1" t="s">
        <v>154</v>
      </c>
      <c r="AE80" s="1" t="s">
        <v>155</v>
      </c>
      <c r="AF80" s="2">
        <v>42955.25</v>
      </c>
      <c r="AH80" s="1" t="s">
        <v>160</v>
      </c>
      <c r="AI80" s="1" t="s">
        <v>161</v>
      </c>
      <c r="AJ80" s="2">
        <v>17940.55</v>
      </c>
      <c r="AL80" s="1" t="s">
        <v>170</v>
      </c>
      <c r="AM80" s="1" t="s">
        <v>171</v>
      </c>
      <c r="AN80" s="2">
        <v>36168.86</v>
      </c>
      <c r="AP80" s="1" t="s">
        <v>180</v>
      </c>
      <c r="AQ80" s="1" t="s">
        <v>181</v>
      </c>
      <c r="AR80" s="2">
        <v>20735.580000000002</v>
      </c>
      <c r="AS80" s="1" t="s">
        <v>181</v>
      </c>
      <c r="AT80" s="2">
        <v>37490.769999999997</v>
      </c>
      <c r="AV80" s="119" t="s">
        <v>144</v>
      </c>
      <c r="AW80" s="113">
        <v>1106.83</v>
      </c>
      <c r="AX80">
        <f t="shared" si="52"/>
        <v>553.41499999999996</v>
      </c>
      <c r="AY80" s="115" t="b">
        <f t="shared" si="51"/>
        <v>0</v>
      </c>
      <c r="AZ80">
        <v>4544.01</v>
      </c>
      <c r="BA80">
        <v>4412.6000000000004</v>
      </c>
      <c r="BB80">
        <v>4247.3500000000004</v>
      </c>
      <c r="BC80">
        <v>4081.6600000000003</v>
      </c>
      <c r="BD80" s="122" t="s">
        <v>144</v>
      </c>
      <c r="BE80" s="118" t="str">
        <f t="shared" si="53"/>
        <v>P-689/2018</v>
      </c>
      <c r="BF80" s="125" t="str">
        <f t="shared" si="54"/>
        <v>Līgatnes Mūzikas un mākalsas skolas fasādes un iekštelpu atjaunošana    P-689/2018</v>
      </c>
      <c r="BG80" s="125" t="str">
        <f t="shared" si="55"/>
        <v>23.11.2018</v>
      </c>
      <c r="BH80" s="125">
        <f t="shared" si="56"/>
        <v>4281</v>
      </c>
      <c r="BI80">
        <f t="shared" si="57"/>
        <v>2140.5</v>
      </c>
      <c r="BJ80" s="136">
        <f t="shared" si="58"/>
        <v>6421.5</v>
      </c>
      <c r="BK80">
        <v>4544.01</v>
      </c>
      <c r="BL80">
        <v>4412.6000000000004</v>
      </c>
      <c r="BM80">
        <v>4247.3500000000004</v>
      </c>
      <c r="BN80">
        <v>4081.6600000000003</v>
      </c>
      <c r="BO80" s="118" t="s">
        <v>145</v>
      </c>
      <c r="BP80">
        <f t="shared" si="59"/>
        <v>3890.94</v>
      </c>
      <c r="BQ80" s="118" t="s">
        <v>145</v>
      </c>
      <c r="BR80">
        <f t="shared" si="60"/>
        <v>5</v>
      </c>
      <c r="BS80" s="118" t="s">
        <v>145</v>
      </c>
      <c r="BT80">
        <f t="shared" si="61"/>
        <v>0</v>
      </c>
      <c r="BW80" t="s">
        <v>141</v>
      </c>
      <c r="BX80">
        <v>147144.93000000002</v>
      </c>
      <c r="BY80">
        <v>142392.14876100002</v>
      </c>
      <c r="BZ80">
        <v>1339789.0400000003</v>
      </c>
    </row>
    <row r="81" spans="1:78" ht="20.25" customHeight="1" outlineLevel="1" x14ac:dyDescent="0.25">
      <c r="A81" s="39">
        <v>76</v>
      </c>
      <c r="B81" s="26" t="s">
        <v>142</v>
      </c>
      <c r="C81" s="26" t="s">
        <v>143</v>
      </c>
      <c r="D81" s="28" t="s">
        <v>429</v>
      </c>
      <c r="E81" s="29" t="s">
        <v>430</v>
      </c>
      <c r="F81" s="27">
        <v>15934</v>
      </c>
      <c r="G81" s="128">
        <f t="shared" si="43"/>
        <v>17176.78</v>
      </c>
      <c r="H81" s="128">
        <f t="shared" si="44"/>
        <v>16795.68</v>
      </c>
      <c r="I81" s="128">
        <f t="shared" si="45"/>
        <v>16338.07</v>
      </c>
      <c r="J81" s="128">
        <f t="shared" si="46"/>
        <v>15879.18</v>
      </c>
      <c r="K81" s="128">
        <f t="shared" si="47"/>
        <v>15426.91</v>
      </c>
      <c r="L81" s="129">
        <f t="shared" si="23"/>
        <v>14928.620806999999</v>
      </c>
      <c r="M81" s="128">
        <f>VLOOKUP($C81,$AS:$AT,2,0)-14929</f>
        <v>55310.719999999987</v>
      </c>
      <c r="N81" s="36">
        <f t="shared" si="50"/>
        <v>167789.960807</v>
      </c>
      <c r="Q81" t="e">
        <f t="shared" si="48"/>
        <v>#N/A</v>
      </c>
      <c r="R81" t="e">
        <f t="shared" si="49"/>
        <v>#N/A</v>
      </c>
      <c r="U81" s="9" t="s">
        <v>241</v>
      </c>
      <c r="V81" s="18" t="s">
        <v>417</v>
      </c>
      <c r="W81" s="9" t="s">
        <v>241</v>
      </c>
      <c r="X81" s="13" t="s">
        <v>418</v>
      </c>
      <c r="Z81" s="1" t="s">
        <v>150</v>
      </c>
      <c r="AA81" s="1" t="s">
        <v>151</v>
      </c>
      <c r="AB81" s="2">
        <v>1674.77</v>
      </c>
      <c r="AD81" s="1" t="s">
        <v>156</v>
      </c>
      <c r="AE81" s="1" t="s">
        <v>157</v>
      </c>
      <c r="AF81" s="2">
        <v>34959.46</v>
      </c>
      <c r="AH81" s="1" t="s">
        <v>162</v>
      </c>
      <c r="AI81" s="1" t="s">
        <v>163</v>
      </c>
      <c r="AJ81" s="2">
        <v>83711.350000000006</v>
      </c>
      <c r="AL81" s="1" t="s">
        <v>172</v>
      </c>
      <c r="AM81" s="1" t="s">
        <v>173</v>
      </c>
      <c r="AN81" s="2">
        <v>749.5</v>
      </c>
      <c r="AP81" s="1" t="s">
        <v>182</v>
      </c>
      <c r="AQ81" s="1" t="s">
        <v>183</v>
      </c>
      <c r="AR81" s="2">
        <v>41596.18</v>
      </c>
      <c r="AS81" s="1" t="s">
        <v>183</v>
      </c>
      <c r="AT81" s="2">
        <v>405397.9</v>
      </c>
      <c r="AV81" s="119" t="s">
        <v>142</v>
      </c>
      <c r="AW81" s="113">
        <v>4236.6400000000003</v>
      </c>
      <c r="AX81">
        <f t="shared" si="52"/>
        <v>2118.3200000000002</v>
      </c>
      <c r="AY81" s="115" t="b">
        <f t="shared" si="51"/>
        <v>1</v>
      </c>
      <c r="AZ81">
        <v>18015.88</v>
      </c>
      <c r="BA81">
        <v>17681.079999999998</v>
      </c>
      <c r="BB81">
        <v>17123.550000000003</v>
      </c>
      <c r="BC81">
        <v>16564.490000000002</v>
      </c>
      <c r="BD81" s="122" t="s">
        <v>142</v>
      </c>
      <c r="BE81" s="118" t="str">
        <f t="shared" si="53"/>
        <v>P-687/2018</v>
      </c>
      <c r="BF81" s="125" t="str">
        <f t="shared" si="54"/>
        <v>ERAF projekta ''Uzņēmējdarbības vides sakārtošana Augšlīgatnē'' īstenošanai P-687/2018</v>
      </c>
      <c r="BG81" s="125" t="str">
        <f t="shared" si="55"/>
        <v>26.11.2018</v>
      </c>
      <c r="BH81" s="125">
        <f t="shared" si="56"/>
        <v>15934</v>
      </c>
      <c r="BI81">
        <f t="shared" si="57"/>
        <v>7967</v>
      </c>
      <c r="BJ81" s="136">
        <f t="shared" si="58"/>
        <v>23901</v>
      </c>
      <c r="BK81">
        <v>18015.88</v>
      </c>
      <c r="BL81">
        <v>17681.079999999998</v>
      </c>
      <c r="BM81">
        <v>17123.550000000003</v>
      </c>
      <c r="BN81">
        <v>16564.490000000002</v>
      </c>
      <c r="BO81" s="118" t="s">
        <v>143</v>
      </c>
      <c r="BP81">
        <f t="shared" si="59"/>
        <v>15426.91</v>
      </c>
      <c r="BQ81" s="118" t="s">
        <v>143</v>
      </c>
      <c r="BR81">
        <f t="shared" si="60"/>
        <v>14928.620806999999</v>
      </c>
      <c r="BS81" s="118" t="s">
        <v>143</v>
      </c>
      <c r="BT81">
        <f t="shared" si="61"/>
        <v>55310.719999999987</v>
      </c>
      <c r="BW81" t="s">
        <v>143</v>
      </c>
      <c r="BX81">
        <v>15426.91</v>
      </c>
      <c r="BY81">
        <v>14928.620806999999</v>
      </c>
      <c r="BZ81">
        <v>55310.719999999987</v>
      </c>
    </row>
    <row r="82" spans="1:78" ht="20.25" customHeight="1" outlineLevel="1" x14ac:dyDescent="0.25">
      <c r="A82" s="39">
        <v>77</v>
      </c>
      <c r="B82" s="26" t="s">
        <v>144</v>
      </c>
      <c r="C82" s="26" t="s">
        <v>145</v>
      </c>
      <c r="D82" s="28" t="s">
        <v>436</v>
      </c>
      <c r="E82" s="29" t="s">
        <v>437</v>
      </c>
      <c r="F82" s="27">
        <v>4281</v>
      </c>
      <c r="G82" s="128">
        <f t="shared" si="43"/>
        <v>4422.5099999999993</v>
      </c>
      <c r="H82" s="128">
        <f t="shared" si="44"/>
        <v>4298.5200000000004</v>
      </c>
      <c r="I82" s="128">
        <f t="shared" si="45"/>
        <v>4162.8900000000003</v>
      </c>
      <c r="J82" s="128">
        <f t="shared" si="46"/>
        <v>4026.8799999999997</v>
      </c>
      <c r="K82" s="128">
        <f t="shared" si="47"/>
        <v>3890.94</v>
      </c>
      <c r="L82" s="129">
        <v>5</v>
      </c>
      <c r="M82" s="128">
        <v>0</v>
      </c>
      <c r="N82" s="36">
        <f t="shared" si="50"/>
        <v>25087.739999999998</v>
      </c>
      <c r="Q82" t="e">
        <f t="shared" si="48"/>
        <v>#N/A</v>
      </c>
      <c r="R82" t="e">
        <f t="shared" si="49"/>
        <v>#N/A</v>
      </c>
      <c r="U82" s="9" t="s">
        <v>33</v>
      </c>
      <c r="V82" s="9" t="s">
        <v>419</v>
      </c>
      <c r="W82" s="9" t="s">
        <v>33</v>
      </c>
      <c r="X82" s="13" t="s">
        <v>420</v>
      </c>
      <c r="Z82" s="1" t="s">
        <v>152</v>
      </c>
      <c r="AA82" s="1" t="s">
        <v>153</v>
      </c>
      <c r="AB82" s="2">
        <v>691.85</v>
      </c>
      <c r="AD82" s="1" t="s">
        <v>158</v>
      </c>
      <c r="AE82" s="1" t="s">
        <v>159</v>
      </c>
      <c r="AF82" s="2">
        <v>32579.919999999998</v>
      </c>
      <c r="AH82" s="1" t="s">
        <v>164</v>
      </c>
      <c r="AI82" s="1" t="s">
        <v>165</v>
      </c>
      <c r="AJ82" s="2">
        <v>174930.12</v>
      </c>
      <c r="AL82" s="1" t="s">
        <v>174</v>
      </c>
      <c r="AM82" s="1" t="s">
        <v>175</v>
      </c>
      <c r="AN82" s="2">
        <v>369.28</v>
      </c>
      <c r="AP82" s="1" t="s">
        <v>184</v>
      </c>
      <c r="AQ82" s="1" t="s">
        <v>185</v>
      </c>
      <c r="AR82" s="2">
        <v>7045.02</v>
      </c>
      <c r="AS82" s="1" t="s">
        <v>185</v>
      </c>
      <c r="AT82" s="2">
        <v>41914.92</v>
      </c>
      <c r="AV82" s="119" t="s">
        <v>146</v>
      </c>
      <c r="AW82" s="113">
        <v>1399.38</v>
      </c>
      <c r="AX82">
        <f t="shared" si="52"/>
        <v>699.69</v>
      </c>
      <c r="AY82" s="115" t="b">
        <f t="shared" si="51"/>
        <v>0</v>
      </c>
      <c r="AZ82">
        <v>5731.29</v>
      </c>
      <c r="BA82">
        <v>5567.1399999999994</v>
      </c>
      <c r="BB82">
        <v>5358.65</v>
      </c>
      <c r="BC82">
        <v>5149.6099999999997</v>
      </c>
      <c r="BD82" s="122" t="s">
        <v>146</v>
      </c>
      <c r="BE82" s="118" t="str">
        <f t="shared" si="53"/>
        <v>P-703/2018</v>
      </c>
      <c r="BF82" s="125" t="str">
        <f t="shared" si="54"/>
        <v>ELFLA projekta "Pašvaldības ceļu B77 "Saulgoži-Brežģis" un B71 "Soseja-Laidzi" pārbūve īstenošanai</v>
      </c>
      <c r="BG82" s="125" t="str">
        <f t="shared" si="55"/>
        <v>27.11.2018</v>
      </c>
      <c r="BH82" s="125">
        <f t="shared" si="56"/>
        <v>5410</v>
      </c>
      <c r="BI82">
        <f t="shared" si="57"/>
        <v>2705</v>
      </c>
      <c r="BJ82" s="136">
        <f t="shared" si="58"/>
        <v>8115</v>
      </c>
      <c r="BK82">
        <v>5731.29</v>
      </c>
      <c r="BL82">
        <v>5567.1399999999994</v>
      </c>
      <c r="BM82">
        <v>5358.65</v>
      </c>
      <c r="BN82">
        <v>5149.6099999999997</v>
      </c>
      <c r="BO82" s="118" t="s">
        <v>147</v>
      </c>
      <c r="BP82">
        <f t="shared" si="59"/>
        <v>4909.05</v>
      </c>
      <c r="BQ82" s="118" t="s">
        <v>147</v>
      </c>
      <c r="BR82">
        <f t="shared" si="60"/>
        <v>6</v>
      </c>
      <c r="BS82" s="118" t="s">
        <v>147</v>
      </c>
      <c r="BT82">
        <f t="shared" si="61"/>
        <v>0</v>
      </c>
      <c r="BW82" t="s">
        <v>145</v>
      </c>
      <c r="BX82">
        <v>3890.94</v>
      </c>
      <c r="BY82">
        <v>5</v>
      </c>
      <c r="BZ82">
        <v>0</v>
      </c>
    </row>
    <row r="83" spans="1:78" ht="20.25" customHeight="1" outlineLevel="1" x14ac:dyDescent="0.25">
      <c r="A83" s="39">
        <v>78</v>
      </c>
      <c r="B83" s="26" t="s">
        <v>146</v>
      </c>
      <c r="C83" s="26" t="s">
        <v>147</v>
      </c>
      <c r="D83" s="34" t="str">
        <f t="shared" ref="D83:D89" si="62">VLOOKUP($C83,$U:$X,2,0)</f>
        <v>ELFLA projekta "Pašvaldības ceļu B77 "Saulgoži-Brežģis" un B71 "Soseja-Laidzi" pārbūve īstenošanai</v>
      </c>
      <c r="E83" s="34" t="str">
        <f t="shared" ref="E83:E89" si="63">VLOOKUP($C83,$W:$X,2,0)</f>
        <v>27.11.2018</v>
      </c>
      <c r="F83" s="27">
        <v>5410</v>
      </c>
      <c r="G83" s="128">
        <f t="shared" si="43"/>
        <v>5580.17</v>
      </c>
      <c r="H83" s="128">
        <f t="shared" si="44"/>
        <v>5423.22</v>
      </c>
      <c r="I83" s="128">
        <f t="shared" si="45"/>
        <v>5252.0999999999995</v>
      </c>
      <c r="J83" s="128">
        <f t="shared" si="46"/>
        <v>5080.51</v>
      </c>
      <c r="K83" s="128">
        <f t="shared" si="47"/>
        <v>4909.05</v>
      </c>
      <c r="L83" s="129">
        <v>6</v>
      </c>
      <c r="M83" s="128">
        <v>0</v>
      </c>
      <c r="N83" s="36">
        <f t="shared" si="50"/>
        <v>31661.05</v>
      </c>
      <c r="Q83" t="str">
        <f t="shared" si="48"/>
        <v>ELFLA projekta "Pašvaldības ceļu B77 "Saulgoži-Brežģis" un B71 "Soseja-Laidzi" pārbūve īstenošanai</v>
      </c>
      <c r="R83" t="str">
        <f t="shared" si="49"/>
        <v>27.11.2018</v>
      </c>
      <c r="U83" s="11" t="str">
        <f>RIGHT(X83,9)</f>
        <v>9.05.2009</v>
      </c>
      <c r="V83" s="9" t="s">
        <v>421</v>
      </c>
      <c r="W83" s="11" t="str">
        <f>RIGHT(Z83,9)</f>
        <v>/1/19/208</v>
      </c>
      <c r="X83" s="13" t="s">
        <v>422</v>
      </c>
      <c r="Z83" s="1" t="s">
        <v>154</v>
      </c>
      <c r="AA83" s="1" t="s">
        <v>155</v>
      </c>
      <c r="AB83" s="2">
        <v>44143.899999999994</v>
      </c>
      <c r="AD83" s="1" t="s">
        <v>160</v>
      </c>
      <c r="AE83" s="1" t="s">
        <v>161</v>
      </c>
      <c r="AF83" s="2">
        <v>18436.099999999999</v>
      </c>
      <c r="AH83" s="1" t="s">
        <v>168</v>
      </c>
      <c r="AI83" s="1" t="s">
        <v>169</v>
      </c>
      <c r="AJ83" s="2">
        <v>2006.6100000000001</v>
      </c>
      <c r="AL83" s="1" t="s">
        <v>176</v>
      </c>
      <c r="AM83" s="1" t="s">
        <v>177</v>
      </c>
      <c r="AN83" s="2">
        <v>1458.93</v>
      </c>
      <c r="AP83" s="1" t="s">
        <v>186</v>
      </c>
      <c r="AQ83" s="1" t="s">
        <v>187</v>
      </c>
      <c r="AR83" s="2">
        <v>8322.01</v>
      </c>
      <c r="AS83" s="1" t="s">
        <v>187</v>
      </c>
      <c r="AT83" s="2">
        <v>28743.4</v>
      </c>
      <c r="AV83" s="119" t="s">
        <v>148</v>
      </c>
      <c r="AW83" s="113">
        <v>5734.51</v>
      </c>
      <c r="AX83">
        <f t="shared" si="52"/>
        <v>2867.2550000000001</v>
      </c>
      <c r="AY83" s="115" t="b">
        <f t="shared" si="51"/>
        <v>0</v>
      </c>
      <c r="AZ83">
        <v>23497.269999999997</v>
      </c>
      <c r="BA83">
        <v>22834.17</v>
      </c>
      <c r="BB83">
        <v>21979.07</v>
      </c>
      <c r="BC83">
        <v>21121.649999999998</v>
      </c>
      <c r="BD83" s="122" t="s">
        <v>148</v>
      </c>
      <c r="BE83" s="118" t="str">
        <f t="shared" si="53"/>
        <v>P-715/2018</v>
      </c>
      <c r="BF83" s="125" t="str">
        <f t="shared" si="54"/>
        <v>ERAF projekta "Uzņēmējdarbības attīstībai nepieciešamās publiskās infrastrultūras attīstība Vecpiebalgas novada Inešu pagastā" īstenošanai</v>
      </c>
      <c r="BG83" s="125" t="str">
        <f t="shared" si="55"/>
        <v>29.11.2018</v>
      </c>
      <c r="BH83" s="125">
        <f t="shared" si="56"/>
        <v>22175</v>
      </c>
      <c r="BI83">
        <f t="shared" si="57"/>
        <v>11087.5</v>
      </c>
      <c r="BJ83" s="136">
        <f t="shared" si="58"/>
        <v>33262.5</v>
      </c>
      <c r="BK83">
        <v>23497.269999999997</v>
      </c>
      <c r="BL83">
        <v>22834.17</v>
      </c>
      <c r="BM83">
        <v>21979.07</v>
      </c>
      <c r="BN83">
        <v>21121.649999999998</v>
      </c>
      <c r="BO83" s="118" t="s">
        <v>149</v>
      </c>
      <c r="BP83">
        <f t="shared" si="59"/>
        <v>20134.920000000002</v>
      </c>
      <c r="BQ83" s="118" t="s">
        <v>149</v>
      </c>
      <c r="BR83">
        <f t="shared" si="60"/>
        <v>24</v>
      </c>
      <c r="BS83" s="118" t="s">
        <v>149</v>
      </c>
      <c r="BT83">
        <f t="shared" si="61"/>
        <v>0</v>
      </c>
      <c r="BW83" t="s">
        <v>147</v>
      </c>
      <c r="BX83">
        <v>4909.05</v>
      </c>
      <c r="BY83">
        <v>6</v>
      </c>
      <c r="BZ83">
        <v>0</v>
      </c>
    </row>
    <row r="84" spans="1:78" ht="20.25" customHeight="1" outlineLevel="1" x14ac:dyDescent="0.25">
      <c r="A84" s="39">
        <v>79</v>
      </c>
      <c r="B84" s="26" t="s">
        <v>148</v>
      </c>
      <c r="C84" s="26" t="s">
        <v>149</v>
      </c>
      <c r="D84" s="34" t="str">
        <f t="shared" si="62"/>
        <v>ERAF projekta "Uzņēmējdarbības attīstībai nepieciešamās publiskās infrastrultūras attīstība Vecpiebalgas novada Inešu pagastā" īstenošanai</v>
      </c>
      <c r="E84" s="34" t="str">
        <f t="shared" si="63"/>
        <v>29.11.2018</v>
      </c>
      <c r="F84" s="27">
        <v>22175</v>
      </c>
      <c r="G84" s="128">
        <f t="shared" si="43"/>
        <v>22881.86</v>
      </c>
      <c r="H84" s="128">
        <f t="shared" si="44"/>
        <v>22243.87</v>
      </c>
      <c r="I84" s="128">
        <f t="shared" si="45"/>
        <v>21542.01</v>
      </c>
      <c r="J84" s="128">
        <f t="shared" si="46"/>
        <v>20838.25</v>
      </c>
      <c r="K84" s="128">
        <f t="shared" si="47"/>
        <v>20134.920000000002</v>
      </c>
      <c r="L84" s="129">
        <v>24</v>
      </c>
      <c r="M84" s="128">
        <v>0</v>
      </c>
      <c r="N84" s="36">
        <f t="shared" si="50"/>
        <v>129839.90999999999</v>
      </c>
      <c r="Q84" t="str">
        <f t="shared" si="48"/>
        <v>ERAF projekta "Uzņēmējdarbības attīstībai nepieciešamās publiskās infrastrultūras attīstība Vecpiebalgas novada Inešu pagastā" īstenošanai</v>
      </c>
      <c r="R84" t="str">
        <f t="shared" si="49"/>
        <v>29.11.2018</v>
      </c>
      <c r="U84" s="11" t="str">
        <f>RIGHT(X84,10)</f>
        <v>26.08.2010</v>
      </c>
      <c r="V84" s="9" t="s">
        <v>423</v>
      </c>
      <c r="W84" s="11" t="str">
        <f>RIGHT(Z84,10)</f>
        <v>2/1/19/207</v>
      </c>
      <c r="X84" s="13" t="s">
        <v>424</v>
      </c>
      <c r="Z84" s="1" t="s">
        <v>156</v>
      </c>
      <c r="AA84" s="1" t="s">
        <v>157</v>
      </c>
      <c r="AB84" s="2">
        <v>36062.51</v>
      </c>
      <c r="AD84" s="1" t="s">
        <v>162</v>
      </c>
      <c r="AE84" s="1" t="s">
        <v>163</v>
      </c>
      <c r="AF84" s="2">
        <v>85639.79</v>
      </c>
      <c r="AH84" s="1" t="s">
        <v>170</v>
      </c>
      <c r="AI84" s="1" t="s">
        <v>171</v>
      </c>
      <c r="AJ84" s="2">
        <v>36476.83</v>
      </c>
      <c r="AL84" s="1" t="s">
        <v>178</v>
      </c>
      <c r="AM84" s="1" t="s">
        <v>179</v>
      </c>
      <c r="AN84" s="2">
        <v>17341.22</v>
      </c>
      <c r="AP84" s="1" t="s">
        <v>192</v>
      </c>
      <c r="AQ84" s="1" t="s">
        <v>193</v>
      </c>
      <c r="AR84" s="2">
        <v>9799.14</v>
      </c>
      <c r="AS84" s="1" t="s">
        <v>193</v>
      </c>
      <c r="AT84" s="2">
        <v>34629.279999999999</v>
      </c>
      <c r="AV84" s="119" t="s">
        <v>150</v>
      </c>
      <c r="AW84" s="113">
        <v>437.93</v>
      </c>
      <c r="AX84">
        <f t="shared" si="52"/>
        <v>218.965</v>
      </c>
      <c r="AY84" s="115" t="b">
        <f t="shared" si="51"/>
        <v>0</v>
      </c>
      <c r="AZ84">
        <v>1720.7800000000002</v>
      </c>
      <c r="BA84">
        <v>1671.48</v>
      </c>
      <c r="BB84">
        <v>1610.0400000000002</v>
      </c>
      <c r="BC84">
        <v>1548.4499999999998</v>
      </c>
      <c r="BD84" s="122" t="s">
        <v>150</v>
      </c>
      <c r="BE84" s="118" t="str">
        <f t="shared" si="53"/>
        <v>P-110/2019</v>
      </c>
      <c r="BF84" s="125" t="str">
        <f t="shared" si="54"/>
        <v>ELFLA projekta "Pašvaldības ceļa B26 Jaunkabulēni-Celmi-Tožiņi pārbūve" īstenošanai</v>
      </c>
      <c r="BG84" s="125" t="str">
        <f t="shared" si="55"/>
        <v>17.05.2019</v>
      </c>
      <c r="BH84" s="125">
        <f t="shared" si="56"/>
        <v>1541</v>
      </c>
      <c r="BI84">
        <f t="shared" si="57"/>
        <v>770.5</v>
      </c>
      <c r="BJ84" s="136">
        <f t="shared" si="58"/>
        <v>2311.5</v>
      </c>
      <c r="BK84">
        <v>1720.7800000000002</v>
      </c>
      <c r="BL84">
        <v>1671.48</v>
      </c>
      <c r="BM84">
        <v>1610.0400000000002</v>
      </c>
      <c r="BN84">
        <v>1548.4499999999998</v>
      </c>
      <c r="BO84" s="118" t="s">
        <v>151</v>
      </c>
      <c r="BP84">
        <f t="shared" si="59"/>
        <v>1472.11</v>
      </c>
      <c r="BQ84" s="118" t="s">
        <v>151</v>
      </c>
      <c r="BR84">
        <f t="shared" si="60"/>
        <v>718</v>
      </c>
      <c r="BS84" s="118" t="s">
        <v>151</v>
      </c>
      <c r="BT84">
        <f t="shared" si="61"/>
        <v>0</v>
      </c>
      <c r="BW84" t="s">
        <v>149</v>
      </c>
      <c r="BX84">
        <v>20134.920000000002</v>
      </c>
      <c r="BY84">
        <v>24</v>
      </c>
      <c r="BZ84">
        <v>0</v>
      </c>
    </row>
    <row r="85" spans="1:78" ht="20.25" customHeight="1" outlineLevel="1" x14ac:dyDescent="0.25">
      <c r="A85" s="39">
        <v>80</v>
      </c>
      <c r="B85" s="26" t="s">
        <v>150</v>
      </c>
      <c r="C85" s="26" t="s">
        <v>151</v>
      </c>
      <c r="D85" s="34" t="str">
        <f t="shared" si="62"/>
        <v>ELFLA projekta "Pašvaldības ceļa B26 Jaunkabulēni-Celmi-Tožiņi pārbūve" īstenošanai</v>
      </c>
      <c r="E85" s="34" t="str">
        <f t="shared" si="63"/>
        <v>17.05.2019</v>
      </c>
      <c r="F85" s="27">
        <v>1541</v>
      </c>
      <c r="G85" s="128">
        <f t="shared" si="43"/>
        <v>1674.77</v>
      </c>
      <c r="H85" s="128">
        <f t="shared" si="44"/>
        <v>1623.56</v>
      </c>
      <c r="I85" s="128">
        <f t="shared" si="45"/>
        <v>1573.1200000000001</v>
      </c>
      <c r="J85" s="128">
        <f t="shared" si="46"/>
        <v>1522.57</v>
      </c>
      <c r="K85" s="128">
        <f t="shared" si="47"/>
        <v>1472.11</v>
      </c>
      <c r="L85" s="129">
        <v>718</v>
      </c>
      <c r="M85" s="128">
        <v>0</v>
      </c>
      <c r="N85" s="36">
        <f t="shared" si="50"/>
        <v>10125.129999999999</v>
      </c>
      <c r="Q85" t="str">
        <f t="shared" si="48"/>
        <v>ELFLA projekta "Pašvaldības ceļa B26 Jaunkabulēni-Celmi-Tožiņi pārbūve" īstenošanai</v>
      </c>
      <c r="R85" t="str">
        <f t="shared" si="49"/>
        <v>17.05.2019</v>
      </c>
      <c r="U85" s="11" t="str">
        <f>RIGHT(X85,10)</f>
        <v>12.07.2010</v>
      </c>
      <c r="V85" s="9" t="s">
        <v>425</v>
      </c>
      <c r="W85" s="11" t="str">
        <f>RIGHT(Z85,10)</f>
        <v>2/1/19/219</v>
      </c>
      <c r="X85" s="13" t="s">
        <v>426</v>
      </c>
      <c r="Z85" s="1" t="s">
        <v>158</v>
      </c>
      <c r="AA85" s="1" t="s">
        <v>159</v>
      </c>
      <c r="AB85" s="2">
        <v>33481.460000000006</v>
      </c>
      <c r="AD85" s="1" t="s">
        <v>164</v>
      </c>
      <c r="AE85" s="1" t="s">
        <v>165</v>
      </c>
      <c r="AF85" s="2">
        <v>177154.93</v>
      </c>
      <c r="AH85" s="1" t="s">
        <v>172</v>
      </c>
      <c r="AI85" s="1" t="s">
        <v>173</v>
      </c>
      <c r="AJ85" s="2">
        <v>776.27</v>
      </c>
      <c r="AL85" s="1" t="s">
        <v>180</v>
      </c>
      <c r="AM85" s="1" t="s">
        <v>181</v>
      </c>
      <c r="AN85" s="2">
        <v>21466.17</v>
      </c>
      <c r="AP85" s="1" t="s">
        <v>194</v>
      </c>
      <c r="AQ85" s="1" t="s">
        <v>195</v>
      </c>
      <c r="AR85" s="2">
        <v>56386.2</v>
      </c>
      <c r="AS85" s="1" t="s">
        <v>195</v>
      </c>
      <c r="AT85" s="2">
        <v>221484.13999999996</v>
      </c>
      <c r="AV85" s="119" t="s">
        <v>152</v>
      </c>
      <c r="AW85" s="113">
        <v>181.76</v>
      </c>
      <c r="AX85">
        <f t="shared" si="52"/>
        <v>90.88</v>
      </c>
      <c r="AY85" s="115" t="b">
        <f t="shared" si="51"/>
        <v>0</v>
      </c>
      <c r="AZ85">
        <v>712.59</v>
      </c>
      <c r="BA85">
        <v>690.52</v>
      </c>
      <c r="BB85">
        <v>665.12</v>
      </c>
      <c r="BC85">
        <v>639.67000000000007</v>
      </c>
      <c r="BD85" s="122" t="s">
        <v>152</v>
      </c>
      <c r="BE85" s="118" t="str">
        <f t="shared" si="53"/>
        <v>P-137/2019</v>
      </c>
      <c r="BF85" s="125" t="str">
        <f t="shared" si="54"/>
        <v>ELFLA projekta "Peldvietas labiekārtošana pie Dabaru ezera" īstenošanai</v>
      </c>
      <c r="BG85" s="125" t="str">
        <f t="shared" si="55"/>
        <v>03.06.2019</v>
      </c>
      <c r="BH85" s="125">
        <f t="shared" si="56"/>
        <v>639</v>
      </c>
      <c r="BI85">
        <f t="shared" si="57"/>
        <v>319.5</v>
      </c>
      <c r="BJ85" s="136">
        <f t="shared" si="58"/>
        <v>958.5</v>
      </c>
      <c r="BK85">
        <v>712.59</v>
      </c>
      <c r="BL85">
        <v>690.52</v>
      </c>
      <c r="BM85">
        <v>665.12</v>
      </c>
      <c r="BN85">
        <v>639.67000000000007</v>
      </c>
      <c r="BO85" s="118" t="s">
        <v>153</v>
      </c>
      <c r="BP85">
        <f t="shared" si="59"/>
        <v>608.12</v>
      </c>
      <c r="BQ85" s="118" t="s">
        <v>153</v>
      </c>
      <c r="BR85">
        <f t="shared" si="60"/>
        <v>297</v>
      </c>
      <c r="BS85" s="118" t="s">
        <v>153</v>
      </c>
      <c r="BT85">
        <f t="shared" si="61"/>
        <v>0</v>
      </c>
      <c r="BW85" t="s">
        <v>151</v>
      </c>
      <c r="BX85">
        <v>1472.11</v>
      </c>
      <c r="BY85">
        <v>718</v>
      </c>
      <c r="BZ85">
        <v>0</v>
      </c>
    </row>
    <row r="86" spans="1:78" ht="20.25" customHeight="1" outlineLevel="1" x14ac:dyDescent="0.25">
      <c r="A86" s="39">
        <v>81</v>
      </c>
      <c r="B86" s="26" t="s">
        <v>152</v>
      </c>
      <c r="C86" s="26" t="s">
        <v>153</v>
      </c>
      <c r="D86" s="34" t="str">
        <f t="shared" si="62"/>
        <v>ELFLA projekta "Peldvietas labiekārtošana pie Dabaru ezera" īstenošanai</v>
      </c>
      <c r="E86" s="34" t="str">
        <f t="shared" si="63"/>
        <v>03.06.2019</v>
      </c>
      <c r="F86" s="27">
        <v>639</v>
      </c>
      <c r="G86" s="128">
        <f t="shared" si="43"/>
        <v>691.85</v>
      </c>
      <c r="H86" s="128">
        <f t="shared" si="44"/>
        <v>670.69999999999993</v>
      </c>
      <c r="I86" s="128">
        <f t="shared" si="45"/>
        <v>649.86</v>
      </c>
      <c r="J86" s="128">
        <f t="shared" si="46"/>
        <v>628.96</v>
      </c>
      <c r="K86" s="128">
        <f t="shared" si="47"/>
        <v>608.12</v>
      </c>
      <c r="L86" s="129">
        <v>297</v>
      </c>
      <c r="M86" s="128">
        <v>0</v>
      </c>
      <c r="N86" s="36">
        <f t="shared" si="50"/>
        <v>4185.49</v>
      </c>
      <c r="Q86" t="str">
        <f t="shared" si="48"/>
        <v>ELFLA projekta "Peldvietas labiekārtošana pie Dabaru ezera" īstenošanai</v>
      </c>
      <c r="R86" t="str">
        <f t="shared" si="49"/>
        <v>03.06.2019</v>
      </c>
      <c r="U86" s="11" t="str">
        <f>RIGHT(X86,11)</f>
        <v>11.08.2011</v>
      </c>
      <c r="V86" s="9" t="s">
        <v>427</v>
      </c>
      <c r="W86" s="11" t="str">
        <f>RIGHT(Z86,11)</f>
        <v>A2/1/19/250</v>
      </c>
      <c r="X86" s="13" t="s">
        <v>428</v>
      </c>
      <c r="Z86" s="1" t="s">
        <v>160</v>
      </c>
      <c r="AA86" s="1" t="s">
        <v>161</v>
      </c>
      <c r="AB86" s="2">
        <v>18946.259999999998</v>
      </c>
      <c r="AD86" s="1" t="s">
        <v>168</v>
      </c>
      <c r="AE86" s="1" t="s">
        <v>169</v>
      </c>
      <c r="AF86" s="2">
        <v>2076.4299999999998</v>
      </c>
      <c r="AH86" s="1" t="s">
        <v>174</v>
      </c>
      <c r="AI86" s="1" t="s">
        <v>175</v>
      </c>
      <c r="AJ86" s="2">
        <v>381.89</v>
      </c>
      <c r="AL86" s="1" t="s">
        <v>182</v>
      </c>
      <c r="AM86" s="1" t="s">
        <v>183</v>
      </c>
      <c r="AN86" s="2">
        <v>42668.54</v>
      </c>
      <c r="AP86" s="1" t="s">
        <v>198</v>
      </c>
      <c r="AQ86" s="1" t="s">
        <v>199</v>
      </c>
      <c r="AR86" s="2">
        <v>45115.68</v>
      </c>
      <c r="AS86" s="1" t="s">
        <v>199</v>
      </c>
      <c r="AT86" s="2">
        <v>10718.190000000002</v>
      </c>
      <c r="AV86" s="119" t="s">
        <v>156</v>
      </c>
      <c r="AW86" s="113">
        <v>9474.02</v>
      </c>
      <c r="AX86">
        <f t="shared" si="52"/>
        <v>4737.01</v>
      </c>
      <c r="AY86" s="115" t="b">
        <f t="shared" si="51"/>
        <v>0</v>
      </c>
      <c r="AZ86">
        <v>37144.67</v>
      </c>
      <c r="BA86">
        <v>35991.53</v>
      </c>
      <c r="BB86">
        <v>34668.54</v>
      </c>
      <c r="BC86">
        <v>33341.94</v>
      </c>
      <c r="BD86" s="122" t="s">
        <v>156</v>
      </c>
      <c r="BE86" s="118" t="str">
        <f t="shared" si="53"/>
        <v>P-126/2019</v>
      </c>
      <c r="BF86" s="125" t="str">
        <f t="shared" si="54"/>
        <v>P-126/2019 ERAF Kultūra, vēsture, arhitektūra Gaujas un laika lokos</v>
      </c>
      <c r="BG86" s="125" t="str">
        <f t="shared" si="55"/>
        <v>05.06.2019</v>
      </c>
      <c r="BH86" s="125">
        <f t="shared" si="56"/>
        <v>38112</v>
      </c>
      <c r="BI86">
        <f t="shared" si="57"/>
        <v>19056</v>
      </c>
      <c r="BJ86" s="136">
        <f t="shared" si="58"/>
        <v>57168</v>
      </c>
      <c r="BK86">
        <v>37144.67</v>
      </c>
      <c r="BL86">
        <v>35991.53</v>
      </c>
      <c r="BM86">
        <v>34668.54</v>
      </c>
      <c r="BN86">
        <v>33341.94</v>
      </c>
      <c r="BO86" s="118" t="s">
        <v>157</v>
      </c>
      <c r="BP86">
        <f t="shared" si="59"/>
        <v>31698.010000000002</v>
      </c>
      <c r="BQ86" s="118" t="s">
        <v>157</v>
      </c>
      <c r="BR86">
        <f t="shared" si="60"/>
        <v>15475</v>
      </c>
      <c r="BS86" s="118" t="s">
        <v>157</v>
      </c>
      <c r="BT86">
        <f t="shared" si="61"/>
        <v>0</v>
      </c>
      <c r="BW86" t="s">
        <v>153</v>
      </c>
      <c r="BX86">
        <v>608.12</v>
      </c>
      <c r="BY86">
        <v>297</v>
      </c>
      <c r="BZ86">
        <v>0</v>
      </c>
    </row>
    <row r="87" spans="1:78" ht="20.25" customHeight="1" outlineLevel="1" x14ac:dyDescent="0.25">
      <c r="A87" s="39">
        <v>82</v>
      </c>
      <c r="B87" s="26" t="s">
        <v>154</v>
      </c>
      <c r="C87" s="26" t="s">
        <v>155</v>
      </c>
      <c r="D87" s="34" t="str">
        <f t="shared" si="62"/>
        <v>P-125/2019 ERAF Energoefektivitātes paaugstināšana ANP ēkā - Drabešu sākumskolā (Drabešu Jaunajā pamatskolā)</v>
      </c>
      <c r="E87" s="34" t="str">
        <f t="shared" si="63"/>
        <v>05.06.2019</v>
      </c>
      <c r="F87" s="27">
        <v>38112</v>
      </c>
      <c r="G87" s="128">
        <f t="shared" si="43"/>
        <v>44143.899999999994</v>
      </c>
      <c r="H87" s="128">
        <f t="shared" si="44"/>
        <v>42955.25</v>
      </c>
      <c r="I87" s="128">
        <f t="shared" si="45"/>
        <v>41800.670000000006</v>
      </c>
      <c r="J87" s="128">
        <f t="shared" si="46"/>
        <v>40642.909999999996</v>
      </c>
      <c r="K87" s="128">
        <f t="shared" si="47"/>
        <v>39503.380000000005</v>
      </c>
      <c r="L87" s="129">
        <f t="shared" ref="L87:L140" si="64">K87*0.9677</f>
        <v>38227.420826000001</v>
      </c>
      <c r="M87" s="128">
        <f>VLOOKUP($C87,$AS:$AT,2,0)-38227</f>
        <v>158301.44</v>
      </c>
      <c r="N87" s="36">
        <f t="shared" si="50"/>
        <v>443686.97082600003</v>
      </c>
      <c r="Q87" t="str">
        <f t="shared" si="48"/>
        <v>P-125/2019 ERAF Energoefektivitātes paaugstināšana ANP ēkā - Drabešu sākumskolā (Drabešu Jaunajā pamatskolā)</v>
      </c>
      <c r="R87" t="str">
        <f t="shared" si="49"/>
        <v>05.06.2019</v>
      </c>
      <c r="U87" s="11" t="str">
        <f t="shared" ref="U87:W92" si="65">RIGHT(X87,11)</f>
        <v>26.11.2018</v>
      </c>
      <c r="V87" s="9" t="s">
        <v>429</v>
      </c>
      <c r="W87" s="11" t="str">
        <f t="shared" si="65"/>
        <v>A2/1/19/305</v>
      </c>
      <c r="X87" s="13" t="s">
        <v>430</v>
      </c>
      <c r="Z87" s="1" t="s">
        <v>162</v>
      </c>
      <c r="AA87" s="1" t="s">
        <v>163</v>
      </c>
      <c r="AB87" s="2">
        <v>87663.200000000012</v>
      </c>
      <c r="AD87" s="1" t="s">
        <v>170</v>
      </c>
      <c r="AE87" s="1" t="s">
        <v>171</v>
      </c>
      <c r="AF87" s="2">
        <v>36783.97</v>
      </c>
      <c r="AH87" s="1" t="s">
        <v>176</v>
      </c>
      <c r="AI87" s="1" t="s">
        <v>177</v>
      </c>
      <c r="AJ87" s="2">
        <v>1508.71</v>
      </c>
      <c r="AL87" s="1" t="s">
        <v>184</v>
      </c>
      <c r="AM87" s="1" t="s">
        <v>185</v>
      </c>
      <c r="AN87" s="2">
        <v>7256.04</v>
      </c>
      <c r="AP87" s="1" t="s">
        <v>200</v>
      </c>
      <c r="AQ87" s="1" t="s">
        <v>201</v>
      </c>
      <c r="AR87" s="2">
        <v>33910</v>
      </c>
      <c r="AS87" s="1" t="s">
        <v>201</v>
      </c>
      <c r="AT87" s="2">
        <v>63651.75</v>
      </c>
      <c r="AV87" s="119" t="s">
        <v>154</v>
      </c>
      <c r="AW87" s="113">
        <v>11779.37</v>
      </c>
      <c r="AX87">
        <f t="shared" si="52"/>
        <v>5889.6850000000004</v>
      </c>
      <c r="AY87" s="115" t="b">
        <f t="shared" si="51"/>
        <v>1</v>
      </c>
      <c r="AZ87">
        <v>46376.85</v>
      </c>
      <c r="BA87">
        <v>45315.450000000004</v>
      </c>
      <c r="BB87">
        <v>43908.79</v>
      </c>
      <c r="BC87">
        <v>42498.299999999996</v>
      </c>
      <c r="BD87" s="122" t="s">
        <v>154</v>
      </c>
      <c r="BE87" s="118" t="str">
        <f t="shared" si="53"/>
        <v>P-125/2019</v>
      </c>
      <c r="BF87" s="125" t="str">
        <f t="shared" si="54"/>
        <v>P-125/2019 ERAF Energoefektivitātes paaugstināšana ANP ēkā - Drabešu sākumskolā (Drabešu Jaunajā pamatskolā)</v>
      </c>
      <c r="BG87" s="125" t="str">
        <f t="shared" si="55"/>
        <v>05.06.2019</v>
      </c>
      <c r="BH87" s="125">
        <f t="shared" si="56"/>
        <v>38112</v>
      </c>
      <c r="BI87">
        <f t="shared" si="57"/>
        <v>19056</v>
      </c>
      <c r="BJ87" s="136">
        <f t="shared" si="58"/>
        <v>57168</v>
      </c>
      <c r="BK87">
        <v>46376.85</v>
      </c>
      <c r="BL87">
        <v>45315.450000000004</v>
      </c>
      <c r="BM87">
        <v>43908.79</v>
      </c>
      <c r="BN87">
        <v>42498.299999999996</v>
      </c>
      <c r="BO87" s="118" t="s">
        <v>155</v>
      </c>
      <c r="BP87">
        <f t="shared" si="59"/>
        <v>39503.380000000005</v>
      </c>
      <c r="BQ87" s="118" t="s">
        <v>155</v>
      </c>
      <c r="BR87">
        <f t="shared" si="60"/>
        <v>38227.420826000001</v>
      </c>
      <c r="BS87" s="118" t="s">
        <v>155</v>
      </c>
      <c r="BT87">
        <f t="shared" si="61"/>
        <v>158301.44</v>
      </c>
      <c r="BW87" t="s">
        <v>155</v>
      </c>
      <c r="BX87">
        <v>39503.380000000005</v>
      </c>
      <c r="BY87">
        <v>38227.420826000001</v>
      </c>
      <c r="BZ87">
        <v>158301.44</v>
      </c>
    </row>
    <row r="88" spans="1:78" ht="20.25" customHeight="1" outlineLevel="1" x14ac:dyDescent="0.25">
      <c r="A88" s="39">
        <v>83</v>
      </c>
      <c r="B88" s="26" t="s">
        <v>156</v>
      </c>
      <c r="C88" s="26" t="s">
        <v>157</v>
      </c>
      <c r="D88" s="34" t="str">
        <f t="shared" si="62"/>
        <v>P-126/2019 ERAF Kultūra, vēsture, arhitektūra Gaujas un laika lokos</v>
      </c>
      <c r="E88" s="34" t="str">
        <f t="shared" si="63"/>
        <v>05.06.2019</v>
      </c>
      <c r="F88" s="27">
        <v>33318</v>
      </c>
      <c r="G88" s="128">
        <f t="shared" si="43"/>
        <v>36062.51</v>
      </c>
      <c r="H88" s="128">
        <f t="shared" si="44"/>
        <v>34959.46</v>
      </c>
      <c r="I88" s="128">
        <f t="shared" si="45"/>
        <v>33873.539999999994</v>
      </c>
      <c r="J88" s="128">
        <f t="shared" si="46"/>
        <v>32784.660000000003</v>
      </c>
      <c r="K88" s="128">
        <f t="shared" si="47"/>
        <v>31698.010000000002</v>
      </c>
      <c r="L88" s="129">
        <v>15475</v>
      </c>
      <c r="M88" s="128">
        <v>0</v>
      </c>
      <c r="N88" s="36">
        <f t="shared" si="50"/>
        <v>218171.18000000002</v>
      </c>
      <c r="Q88" t="str">
        <f t="shared" si="48"/>
        <v>P-126/2019 ERAF Kultūra, vēsture, arhitektūra Gaujas un laika lokos</v>
      </c>
      <c r="R88" t="str">
        <f t="shared" si="49"/>
        <v>05.06.2019</v>
      </c>
      <c r="U88" s="11" t="str">
        <f t="shared" si="65"/>
        <v>20.05.2015</v>
      </c>
      <c r="V88" s="9" t="s">
        <v>431</v>
      </c>
      <c r="W88" s="11" t="str">
        <f t="shared" si="65"/>
        <v>A2/1/20/66</v>
      </c>
      <c r="X88" s="13" t="s">
        <v>432</v>
      </c>
      <c r="Z88" s="1" t="s">
        <v>164</v>
      </c>
      <c r="AA88" s="1" t="s">
        <v>165</v>
      </c>
      <c r="AB88" s="2">
        <v>185657.38</v>
      </c>
      <c r="AD88" s="1" t="s">
        <v>172</v>
      </c>
      <c r="AE88" s="1" t="s">
        <v>173</v>
      </c>
      <c r="AF88" s="2">
        <v>802.96</v>
      </c>
      <c r="AH88" s="1" t="s">
        <v>178</v>
      </c>
      <c r="AI88" s="1" t="s">
        <v>179</v>
      </c>
      <c r="AJ88" s="2">
        <v>17917.59</v>
      </c>
      <c r="AL88" s="1" t="s">
        <v>186</v>
      </c>
      <c r="AM88" s="1" t="s">
        <v>187</v>
      </c>
      <c r="AN88" s="2">
        <v>8593.92</v>
      </c>
      <c r="AP88" s="1" t="s">
        <v>202</v>
      </c>
      <c r="AQ88" s="1" t="s">
        <v>203</v>
      </c>
      <c r="AR88" s="2">
        <v>79965.710000000006</v>
      </c>
      <c r="AS88" s="1" t="s">
        <v>203</v>
      </c>
      <c r="AT88" s="2">
        <v>438683.86</v>
      </c>
      <c r="AV88" s="119" t="s">
        <v>158</v>
      </c>
      <c r="AW88" s="113">
        <v>8958.119999999999</v>
      </c>
      <c r="AX88">
        <f t="shared" si="52"/>
        <v>4479.0599999999995</v>
      </c>
      <c r="AY88" s="115" t="b">
        <f t="shared" si="51"/>
        <v>0</v>
      </c>
      <c r="AZ88">
        <v>35227.550000000003</v>
      </c>
      <c r="BA88">
        <v>34370.019999999997</v>
      </c>
      <c r="BB88">
        <v>33303.159999999996</v>
      </c>
      <c r="BC88">
        <v>32233.340000000004</v>
      </c>
      <c r="BD88" s="122" t="s">
        <v>158</v>
      </c>
      <c r="BE88" s="118" t="str">
        <f t="shared" si="53"/>
        <v>P-149/2019</v>
      </c>
      <c r="BF88" s="125" t="str">
        <f t="shared" si="54"/>
        <v>ERAF projekta "Kultūra, vēsture, arhitektūra Gaujas un laika lokos" īstenošana</v>
      </c>
      <c r="BG88" s="125" t="str">
        <f t="shared" si="55"/>
        <v>10.06.2019</v>
      </c>
      <c r="BH88" s="125">
        <f t="shared" si="56"/>
        <v>28663</v>
      </c>
      <c r="BI88">
        <f t="shared" si="57"/>
        <v>14331.5</v>
      </c>
      <c r="BJ88" s="136">
        <f t="shared" si="58"/>
        <v>42994.5</v>
      </c>
      <c r="BK88">
        <v>35227.550000000003</v>
      </c>
      <c r="BL88">
        <v>34370.019999999997</v>
      </c>
      <c r="BM88">
        <v>33303.159999999996</v>
      </c>
      <c r="BN88">
        <v>32233.340000000004</v>
      </c>
      <c r="BO88" s="118" t="s">
        <v>159</v>
      </c>
      <c r="BP88">
        <f t="shared" si="59"/>
        <v>29961.82</v>
      </c>
      <c r="BQ88" s="118" t="s">
        <v>159</v>
      </c>
      <c r="BR88">
        <f t="shared" si="60"/>
        <v>28994.053214</v>
      </c>
      <c r="BS88" s="118" t="s">
        <v>159</v>
      </c>
      <c r="BT88">
        <f t="shared" si="61"/>
        <v>120065.37</v>
      </c>
      <c r="BW88" t="s">
        <v>157</v>
      </c>
      <c r="BX88">
        <v>31698.010000000002</v>
      </c>
      <c r="BY88">
        <v>15475</v>
      </c>
      <c r="BZ88">
        <v>0</v>
      </c>
    </row>
    <row r="89" spans="1:78" ht="20.25" customHeight="1" outlineLevel="1" x14ac:dyDescent="0.25">
      <c r="A89" s="39">
        <v>84</v>
      </c>
      <c r="B89" s="26" t="s">
        <v>158</v>
      </c>
      <c r="C89" s="26" t="s">
        <v>159</v>
      </c>
      <c r="D89" s="34" t="str">
        <f t="shared" si="62"/>
        <v>ERAF projekta "Kultūra, vēsture, arhitektūra Gaujas un laika lokos" īstenošana</v>
      </c>
      <c r="E89" s="34" t="str">
        <f t="shared" si="63"/>
        <v>10.06.2019</v>
      </c>
      <c r="F89" s="27">
        <v>28663</v>
      </c>
      <c r="G89" s="128">
        <f t="shared" si="43"/>
        <v>33481.460000000006</v>
      </c>
      <c r="H89" s="128">
        <f t="shared" si="44"/>
        <v>32579.919999999998</v>
      </c>
      <c r="I89" s="128">
        <f t="shared" si="45"/>
        <v>31704.2</v>
      </c>
      <c r="J89" s="128">
        <f t="shared" si="46"/>
        <v>30826.1</v>
      </c>
      <c r="K89" s="128">
        <f t="shared" si="47"/>
        <v>29961.82</v>
      </c>
      <c r="L89" s="129">
        <f t="shared" si="64"/>
        <v>28994.053214</v>
      </c>
      <c r="M89" s="128">
        <f>VLOOKUP($C89,$AS:$AT,2,0)-28994</f>
        <v>120065.37</v>
      </c>
      <c r="N89" s="36">
        <f t="shared" si="50"/>
        <v>336275.92321400001</v>
      </c>
      <c r="Q89" t="str">
        <f t="shared" si="48"/>
        <v>ERAF projekta "Kultūra, vēsture, arhitektūra Gaujas un laika lokos" īstenošana</v>
      </c>
      <c r="R89" t="str">
        <f t="shared" si="49"/>
        <v>10.06.2019</v>
      </c>
      <c r="U89" s="12" t="str">
        <f t="shared" si="65"/>
        <v>22.04.2015</v>
      </c>
      <c r="V89" s="9" t="s">
        <v>433</v>
      </c>
      <c r="W89" s="12" t="str">
        <f t="shared" si="65"/>
        <v>A2/1/20/67</v>
      </c>
      <c r="X89" s="13" t="s">
        <v>434</v>
      </c>
      <c r="Z89" s="1" t="s">
        <v>166</v>
      </c>
      <c r="AA89" s="1" t="s">
        <v>167</v>
      </c>
      <c r="AB89" s="2">
        <v>4425.82</v>
      </c>
      <c r="AD89" s="1" t="s">
        <v>174</v>
      </c>
      <c r="AE89" s="1" t="s">
        <v>175</v>
      </c>
      <c r="AF89" s="2">
        <v>394.46000000000004</v>
      </c>
      <c r="AH89" s="1" t="s">
        <v>180</v>
      </c>
      <c r="AI89" s="1" t="s">
        <v>181</v>
      </c>
      <c r="AJ89" s="2">
        <v>22201.08</v>
      </c>
      <c r="AL89" s="1" t="s">
        <v>190</v>
      </c>
      <c r="AM89" s="1" t="s">
        <v>191</v>
      </c>
      <c r="AN89" s="2">
        <v>46094.62</v>
      </c>
      <c r="AP89" s="1" t="s">
        <v>204</v>
      </c>
      <c r="AQ89" s="1" t="s">
        <v>205</v>
      </c>
      <c r="AR89" s="2">
        <v>17164.98</v>
      </c>
      <c r="AS89" s="1" t="s">
        <v>205</v>
      </c>
      <c r="AT89" s="2">
        <v>126540.05</v>
      </c>
      <c r="AV89" s="119" t="s">
        <v>160</v>
      </c>
      <c r="AW89" s="113">
        <v>5115.3500000000004</v>
      </c>
      <c r="AX89">
        <f t="shared" si="52"/>
        <v>2557.6750000000002</v>
      </c>
      <c r="AY89" s="115" t="b">
        <f t="shared" si="51"/>
        <v>0</v>
      </c>
      <c r="AZ89">
        <v>20119.32</v>
      </c>
      <c r="BA89">
        <v>19449.100000000002</v>
      </c>
      <c r="BB89">
        <v>18845.37</v>
      </c>
      <c r="BC89">
        <v>18239.98</v>
      </c>
      <c r="BD89" s="122" t="s">
        <v>160</v>
      </c>
      <c r="BE89" s="118" t="str">
        <f t="shared" si="53"/>
        <v>P-166/2019</v>
      </c>
      <c r="BF89" s="125" t="str">
        <f t="shared" si="54"/>
        <v>Projektam ''Ķempju ielas pārbūves 1. kārta'' P-166/2019</v>
      </c>
      <c r="BG89" s="125" t="str">
        <f t="shared" si="55"/>
        <v>04.07.2019</v>
      </c>
      <c r="BH89" s="125">
        <f t="shared" si="56"/>
        <v>16460</v>
      </c>
      <c r="BI89">
        <f t="shared" si="57"/>
        <v>8230</v>
      </c>
      <c r="BJ89" s="136">
        <f t="shared" si="58"/>
        <v>24690</v>
      </c>
      <c r="BK89">
        <v>20119.32</v>
      </c>
      <c r="BL89">
        <v>19449.100000000002</v>
      </c>
      <c r="BM89">
        <v>18845.37</v>
      </c>
      <c r="BN89">
        <v>18239.98</v>
      </c>
      <c r="BO89" s="118" t="s">
        <v>161</v>
      </c>
      <c r="BP89">
        <f t="shared" si="59"/>
        <v>16954.609999999997</v>
      </c>
      <c r="BQ89" s="118" t="s">
        <v>161</v>
      </c>
      <c r="BR89">
        <f t="shared" si="60"/>
        <v>16406.976096999999</v>
      </c>
      <c r="BS89" s="118" t="s">
        <v>161</v>
      </c>
      <c r="BT89">
        <f t="shared" si="61"/>
        <v>67951.62</v>
      </c>
      <c r="BW89" t="s">
        <v>159</v>
      </c>
      <c r="BX89">
        <v>29961.82</v>
      </c>
      <c r="BY89">
        <v>28994.053214</v>
      </c>
      <c r="BZ89">
        <v>120065.37</v>
      </c>
    </row>
    <row r="90" spans="1:78" ht="20.25" customHeight="1" outlineLevel="1" x14ac:dyDescent="0.25">
      <c r="A90" s="39">
        <v>85</v>
      </c>
      <c r="B90" s="26" t="s">
        <v>160</v>
      </c>
      <c r="C90" s="26" t="s">
        <v>161</v>
      </c>
      <c r="D90" s="28" t="s">
        <v>448</v>
      </c>
      <c r="E90" s="29" t="s">
        <v>449</v>
      </c>
      <c r="F90" s="27">
        <v>16460</v>
      </c>
      <c r="G90" s="128">
        <f t="shared" si="43"/>
        <v>18946.259999999998</v>
      </c>
      <c r="H90" s="128">
        <f t="shared" si="44"/>
        <v>18436.099999999999</v>
      </c>
      <c r="I90" s="128">
        <f t="shared" si="45"/>
        <v>17940.55</v>
      </c>
      <c r="J90" s="128">
        <f t="shared" si="46"/>
        <v>17443.669999999998</v>
      </c>
      <c r="K90" s="128">
        <f t="shared" si="47"/>
        <v>16954.609999999997</v>
      </c>
      <c r="L90" s="129">
        <f t="shared" si="64"/>
        <v>16406.976096999999</v>
      </c>
      <c r="M90" s="128">
        <f>VLOOKUP($C90,$AS:$AT,2,0)-16407</f>
        <v>67951.62</v>
      </c>
      <c r="N90" s="36">
        <f t="shared" si="50"/>
        <v>190539.78609699997</v>
      </c>
      <c r="Q90" t="e">
        <f t="shared" si="48"/>
        <v>#N/A</v>
      </c>
      <c r="R90" t="e">
        <f t="shared" si="49"/>
        <v>#N/A</v>
      </c>
      <c r="U90" s="12" t="str">
        <f t="shared" si="65"/>
        <v>11.08.2011</v>
      </c>
      <c r="V90" s="9" t="s">
        <v>435</v>
      </c>
      <c r="W90" s="12" t="str">
        <f t="shared" si="65"/>
        <v>A2/1/20/125</v>
      </c>
      <c r="X90" s="13" t="s">
        <v>428</v>
      </c>
      <c r="Z90" s="1" t="s">
        <v>168</v>
      </c>
      <c r="AA90" s="1" t="s">
        <v>169</v>
      </c>
      <c r="AB90" s="2">
        <v>2147.5100000000002</v>
      </c>
      <c r="AD90" s="1" t="s">
        <v>176</v>
      </c>
      <c r="AE90" s="1" t="s">
        <v>177</v>
      </c>
      <c r="AF90" s="2">
        <v>1558.3600000000001</v>
      </c>
      <c r="AH90" s="1" t="s">
        <v>182</v>
      </c>
      <c r="AI90" s="1" t="s">
        <v>183</v>
      </c>
      <c r="AJ90" s="2">
        <v>43777.31</v>
      </c>
      <c r="AL90" s="1" t="s">
        <v>192</v>
      </c>
      <c r="AM90" s="1" t="s">
        <v>193</v>
      </c>
      <c r="AN90" s="2">
        <v>10116.83</v>
      </c>
      <c r="AP90" s="1" t="s">
        <v>206</v>
      </c>
      <c r="AQ90" s="1" t="s">
        <v>207</v>
      </c>
      <c r="AR90" s="2">
        <v>18763.22</v>
      </c>
      <c r="AS90" s="1" t="s">
        <v>207</v>
      </c>
      <c r="AT90" s="2">
        <v>120606.45000000001</v>
      </c>
      <c r="AV90" s="119" t="s">
        <v>162</v>
      </c>
      <c r="AW90" s="113">
        <v>20015.89</v>
      </c>
      <c r="AX90">
        <f t="shared" si="52"/>
        <v>10007.945</v>
      </c>
      <c r="AY90" s="115" t="b">
        <f t="shared" si="51"/>
        <v>0</v>
      </c>
      <c r="AZ90">
        <v>95465.51</v>
      </c>
      <c r="BA90">
        <v>92615.170000000013</v>
      </c>
      <c r="BB90">
        <v>90265.760000000009</v>
      </c>
      <c r="BC90">
        <v>87909.89</v>
      </c>
      <c r="BD90" s="122" t="s">
        <v>162</v>
      </c>
      <c r="BE90" s="118" t="str">
        <f t="shared" si="53"/>
        <v>P-201/2019</v>
      </c>
      <c r="BF90" s="125" t="str">
        <f t="shared" si="54"/>
        <v>P-201/2019 ERAF pr."Cēsu novada visp.izglītības iestāžu modernizācija"īstenošanai</v>
      </c>
      <c r="BG90" s="125" t="str">
        <f t="shared" si="55"/>
        <v>30.08.2019</v>
      </c>
      <c r="BH90" s="125">
        <f t="shared" si="56"/>
        <v>68369</v>
      </c>
      <c r="BI90">
        <f t="shared" si="57"/>
        <v>34184.5</v>
      </c>
      <c r="BJ90" s="136">
        <f t="shared" si="58"/>
        <v>102553.5</v>
      </c>
      <c r="BK90">
        <v>95465.51</v>
      </c>
      <c r="BL90">
        <v>92615.170000000013</v>
      </c>
      <c r="BM90">
        <v>90265.760000000009</v>
      </c>
      <c r="BN90">
        <v>87909.89</v>
      </c>
      <c r="BO90" s="118" t="s">
        <v>163</v>
      </c>
      <c r="BP90">
        <f t="shared" si="59"/>
        <v>79912.429999999993</v>
      </c>
      <c r="BQ90" s="118" t="s">
        <v>163</v>
      </c>
      <c r="BR90">
        <f t="shared" si="60"/>
        <v>77331.258510999993</v>
      </c>
      <c r="BS90" s="118" t="s">
        <v>163</v>
      </c>
      <c r="BT90">
        <f t="shared" si="61"/>
        <v>768201.75</v>
      </c>
      <c r="BW90" t="s">
        <v>161</v>
      </c>
      <c r="BX90">
        <v>16954.609999999997</v>
      </c>
      <c r="BY90">
        <v>16406.976096999999</v>
      </c>
      <c r="BZ90">
        <v>67951.62</v>
      </c>
    </row>
    <row r="91" spans="1:78" ht="20.25" customHeight="1" outlineLevel="1" x14ac:dyDescent="0.25">
      <c r="A91" s="39">
        <v>86</v>
      </c>
      <c r="B91" s="26" t="s">
        <v>162</v>
      </c>
      <c r="C91" s="26" t="s">
        <v>163</v>
      </c>
      <c r="D91" s="34" t="str">
        <f t="shared" ref="D91:D102" si="66">VLOOKUP($C91,$U:$X,2,0)</f>
        <v>P-201/2019 ERAF pr."Cēsu novada visp.izglītības iestāžu modernizācija"īstenošanai</v>
      </c>
      <c r="E91" s="34" t="str">
        <f t="shared" ref="E91:E102" si="67">VLOOKUP($C91,$W:$X,2,0)</f>
        <v>30.08.2019</v>
      </c>
      <c r="F91" s="27">
        <v>68369</v>
      </c>
      <c r="G91" s="128">
        <f t="shared" si="43"/>
        <v>87663.200000000012</v>
      </c>
      <c r="H91" s="128">
        <f t="shared" si="44"/>
        <v>85639.79</v>
      </c>
      <c r="I91" s="128">
        <f t="shared" si="45"/>
        <v>83711.350000000006</v>
      </c>
      <c r="J91" s="128">
        <f t="shared" si="46"/>
        <v>81777.62999999999</v>
      </c>
      <c r="K91" s="128">
        <f t="shared" si="47"/>
        <v>79912.429999999993</v>
      </c>
      <c r="L91" s="129">
        <f t="shared" si="64"/>
        <v>77331.258510999993</v>
      </c>
      <c r="M91" s="128">
        <f>VLOOKUP($C91,$AS:$AT,2,0)-77331</f>
        <v>768201.75</v>
      </c>
      <c r="N91" s="36">
        <f t="shared" si="50"/>
        <v>1332606.408511</v>
      </c>
      <c r="Q91" t="str">
        <f t="shared" si="48"/>
        <v>P-201/2019 ERAF pr."Cēsu novada visp.izglītības iestāžu modernizācija"īstenošanai</v>
      </c>
      <c r="R91" t="str">
        <f t="shared" si="49"/>
        <v>30.08.2019</v>
      </c>
      <c r="U91" s="12" t="str">
        <f t="shared" si="65"/>
        <v>23.11.2018</v>
      </c>
      <c r="V91" s="9" t="s">
        <v>436</v>
      </c>
      <c r="W91" s="12" t="str">
        <f t="shared" si="65"/>
        <v>A2/1/20/154</v>
      </c>
      <c r="X91" s="13" t="s">
        <v>437</v>
      </c>
      <c r="Z91" s="1" t="s">
        <v>170</v>
      </c>
      <c r="AA91" s="1" t="s">
        <v>171</v>
      </c>
      <c r="AB91" s="2">
        <v>37096.6</v>
      </c>
      <c r="AD91" s="1" t="s">
        <v>178</v>
      </c>
      <c r="AE91" s="1" t="s">
        <v>179</v>
      </c>
      <c r="AF91" s="2">
        <v>18492.38</v>
      </c>
      <c r="AH91" s="1" t="s">
        <v>184</v>
      </c>
      <c r="AI91" s="1" t="s">
        <v>185</v>
      </c>
      <c r="AJ91" s="2">
        <v>7471.2</v>
      </c>
      <c r="AL91" s="1" t="s">
        <v>194</v>
      </c>
      <c r="AM91" s="1" t="s">
        <v>195</v>
      </c>
      <c r="AN91" s="2">
        <v>58205.4</v>
      </c>
      <c r="AP91" s="1" t="s">
        <v>208</v>
      </c>
      <c r="AQ91" s="1" t="s">
        <v>209</v>
      </c>
      <c r="AR91" s="2">
        <v>47399.82</v>
      </c>
      <c r="AS91" s="1" t="s">
        <v>209</v>
      </c>
      <c r="AT91" s="2">
        <v>111641.82</v>
      </c>
      <c r="AV91" s="119" t="s">
        <v>168</v>
      </c>
      <c r="AW91" s="113">
        <v>557.22</v>
      </c>
      <c r="AX91">
        <f t="shared" si="52"/>
        <v>278.61</v>
      </c>
      <c r="AY91" s="115" t="b">
        <f t="shared" si="51"/>
        <v>0</v>
      </c>
      <c r="AZ91">
        <v>2200.73</v>
      </c>
      <c r="BA91">
        <v>2140.7599999999998</v>
      </c>
      <c r="BB91">
        <v>2058.35</v>
      </c>
      <c r="BC91">
        <v>1975.68</v>
      </c>
      <c r="BD91" s="122" t="s">
        <v>168</v>
      </c>
      <c r="BE91" s="118" t="str">
        <f t="shared" si="53"/>
        <v>P-95/2020</v>
      </c>
      <c r="BF91" s="125" t="str">
        <f t="shared" si="54"/>
        <v>ELFLA projekta "Pašvaldības autoceļa B21 Stacija-Brodi-Kaupēni-Teikmaņi pārbūve" īstenošanai</v>
      </c>
      <c r="BG91" s="125" t="str">
        <f t="shared" si="55"/>
        <v>30.03.2020</v>
      </c>
      <c r="BH91" s="125">
        <f t="shared" si="56"/>
        <v>1987</v>
      </c>
      <c r="BI91">
        <f t="shared" si="57"/>
        <v>993.5</v>
      </c>
      <c r="BJ91" s="136">
        <f t="shared" si="58"/>
        <v>2980.5</v>
      </c>
      <c r="BK91">
        <v>2200.73</v>
      </c>
      <c r="BL91">
        <v>2140.7599999999998</v>
      </c>
      <c r="BM91">
        <v>2058.35</v>
      </c>
      <c r="BN91">
        <v>1975.68</v>
      </c>
      <c r="BO91" s="118" t="s">
        <v>169</v>
      </c>
      <c r="BP91">
        <f t="shared" si="59"/>
        <v>1866.88</v>
      </c>
      <c r="BQ91" s="118" t="s">
        <v>169</v>
      </c>
      <c r="BR91">
        <f t="shared" si="60"/>
        <v>1806.579776</v>
      </c>
      <c r="BS91" s="118" t="s">
        <v>169</v>
      </c>
      <c r="BT91">
        <f t="shared" si="61"/>
        <v>431.46000000000004</v>
      </c>
      <c r="BW91" t="s">
        <v>163</v>
      </c>
      <c r="BX91">
        <v>79912.429999999993</v>
      </c>
      <c r="BY91">
        <v>77331.258510999993</v>
      </c>
      <c r="BZ91">
        <v>768201.75</v>
      </c>
    </row>
    <row r="92" spans="1:78" ht="20.25" customHeight="1" outlineLevel="1" x14ac:dyDescent="0.25">
      <c r="A92" s="39">
        <v>87</v>
      </c>
      <c r="B92" s="26" t="s">
        <v>164</v>
      </c>
      <c r="C92" s="26" t="s">
        <v>165</v>
      </c>
      <c r="D92" s="34" t="str">
        <f t="shared" si="66"/>
        <v>P-52/2020 ERAF pr."Degradēto teritoriju revitalizācija Cēsu novadā II kārta" īstenošanai</v>
      </c>
      <c r="E92" s="34" t="str">
        <f t="shared" si="67"/>
        <v>11.03.2020</v>
      </c>
      <c r="F92" s="27">
        <v>146791</v>
      </c>
      <c r="G92" s="128">
        <f t="shared" si="43"/>
        <v>185657.38</v>
      </c>
      <c r="H92" s="128">
        <f t="shared" si="44"/>
        <v>177154.93</v>
      </c>
      <c r="I92" s="128">
        <f t="shared" si="45"/>
        <v>174930.12</v>
      </c>
      <c r="J92" s="128">
        <f t="shared" si="46"/>
        <v>170974.47</v>
      </c>
      <c r="K92" s="128">
        <f t="shared" si="47"/>
        <v>165507.29999999999</v>
      </c>
      <c r="L92" s="129">
        <f t="shared" si="64"/>
        <v>160161.41420999999</v>
      </c>
      <c r="M92" s="128">
        <f>VLOOKUP($C92,$AS:$AT,2,0)-160161</f>
        <v>2294810.7000000002</v>
      </c>
      <c r="N92" s="36">
        <f t="shared" si="50"/>
        <v>3475987.3142100004</v>
      </c>
      <c r="Q92" t="str">
        <f t="shared" si="48"/>
        <v>P-52/2020 ERAF pr."Degradēto teritoriju revitalizācija Cēsu novadā II kārta" īstenošanai</v>
      </c>
      <c r="R92" t="str">
        <f t="shared" si="49"/>
        <v>11.03.2020</v>
      </c>
      <c r="U92" s="12" t="str">
        <f t="shared" si="65"/>
        <v>28.07.2017</v>
      </c>
      <c r="V92" s="9" t="s">
        <v>438</v>
      </c>
      <c r="W92" s="12" t="str">
        <f t="shared" si="65"/>
        <v>A2/1/20/374</v>
      </c>
      <c r="X92" s="13" t="s">
        <v>439</v>
      </c>
      <c r="Z92" s="1" t="s">
        <v>172</v>
      </c>
      <c r="AA92" s="1" t="s">
        <v>173</v>
      </c>
      <c r="AB92" s="2">
        <v>830.14</v>
      </c>
      <c r="AD92" s="1" t="s">
        <v>180</v>
      </c>
      <c r="AE92" s="1" t="s">
        <v>181</v>
      </c>
      <c r="AF92" s="2">
        <v>22933.97</v>
      </c>
      <c r="AH92" s="1" t="s">
        <v>186</v>
      </c>
      <c r="AI92" s="1" t="s">
        <v>187</v>
      </c>
      <c r="AJ92" s="2">
        <v>7048</v>
      </c>
      <c r="AL92" s="1" t="s">
        <v>198</v>
      </c>
      <c r="AM92" s="1" t="s">
        <v>199</v>
      </c>
      <c r="AN92" s="2">
        <v>73341.709999999992</v>
      </c>
      <c r="AP92" s="1" t="s">
        <v>210</v>
      </c>
      <c r="AQ92" s="1" t="s">
        <v>211</v>
      </c>
      <c r="AR92" s="2">
        <v>32739.040000000001</v>
      </c>
      <c r="AS92" s="1" t="s">
        <v>211</v>
      </c>
      <c r="AT92" s="2">
        <v>77111.010000000009</v>
      </c>
      <c r="AV92" s="119" t="s">
        <v>170</v>
      </c>
      <c r="AW92" s="113">
        <v>9325.32</v>
      </c>
      <c r="AX92">
        <f t="shared" si="52"/>
        <v>4662.66</v>
      </c>
      <c r="AY92" s="115" t="b">
        <f t="shared" si="51"/>
        <v>0</v>
      </c>
      <c r="AZ92">
        <v>37096.600000000006</v>
      </c>
      <c r="BA92">
        <v>36783.969999999994</v>
      </c>
      <c r="BB92">
        <v>36476.83</v>
      </c>
      <c r="BC92">
        <v>36168.859999999993</v>
      </c>
      <c r="BD92" s="122" t="s">
        <v>170</v>
      </c>
      <c r="BE92" s="118" t="str">
        <f t="shared" si="53"/>
        <v>P-116/2020</v>
      </c>
      <c r="BF92" s="125" t="str">
        <f t="shared" si="54"/>
        <v>P-116/2020 ERAF Pakalpojumu infrastruktūras attīstība deinstitucionalizācijas plāna īstenošanai Amatas novada Spārē</v>
      </c>
      <c r="BG92" s="125" t="str">
        <f t="shared" si="55"/>
        <v>17.04.2020</v>
      </c>
      <c r="BH92" s="125">
        <f t="shared" si="56"/>
        <v>36820</v>
      </c>
      <c r="BI92">
        <f t="shared" si="57"/>
        <v>18410</v>
      </c>
      <c r="BJ92" s="136">
        <f t="shared" si="58"/>
        <v>55230</v>
      </c>
      <c r="BK92">
        <v>37096.600000000006</v>
      </c>
      <c r="BL92">
        <v>36783.969999999994</v>
      </c>
      <c r="BM92">
        <v>36476.83</v>
      </c>
      <c r="BN92">
        <v>36168.859999999993</v>
      </c>
      <c r="BO92" s="118" t="s">
        <v>171</v>
      </c>
      <c r="BP92">
        <f t="shared" si="59"/>
        <v>35862.129999999997</v>
      </c>
      <c r="BQ92" s="118" t="s">
        <v>171</v>
      </c>
      <c r="BR92">
        <f t="shared" si="60"/>
        <v>34703.783200999998</v>
      </c>
      <c r="BS92" s="118" t="s">
        <v>171</v>
      </c>
      <c r="BT92">
        <f t="shared" si="61"/>
        <v>9705.1599999999962</v>
      </c>
      <c r="BW92" t="s">
        <v>165</v>
      </c>
      <c r="BX92">
        <v>165507.29999999999</v>
      </c>
      <c r="BY92">
        <v>160161.41420999999</v>
      </c>
      <c r="BZ92">
        <v>2294810.7000000002</v>
      </c>
    </row>
    <row r="93" spans="1:78" ht="20.25" customHeight="1" outlineLevel="1" x14ac:dyDescent="0.25">
      <c r="A93" s="39">
        <v>88</v>
      </c>
      <c r="B93" s="26" t="s">
        <v>166</v>
      </c>
      <c r="C93" s="26" t="s">
        <v>167</v>
      </c>
      <c r="D93" s="34" t="str">
        <f t="shared" si="66"/>
        <v>P-51/2020 ELFLA pr."Cēsu novada pašvaldības grants ceļa A4 Akmenskrogs-Veismaņi-Vaives pag.robeža pārbūve"īstenošanai</v>
      </c>
      <c r="E93" s="34" t="str">
        <f t="shared" si="67"/>
        <v>11.03.2020</v>
      </c>
      <c r="F93" s="27">
        <v>19399</v>
      </c>
      <c r="G93" s="128">
        <f t="shared" si="43"/>
        <v>4425.82</v>
      </c>
      <c r="H93" s="128">
        <v>0</v>
      </c>
      <c r="I93" s="128">
        <v>0</v>
      </c>
      <c r="J93" s="128">
        <v>0</v>
      </c>
      <c r="K93" s="128">
        <v>0</v>
      </c>
      <c r="L93" s="129">
        <f t="shared" si="64"/>
        <v>0</v>
      </c>
      <c r="M93" s="128">
        <v>0</v>
      </c>
      <c r="N93" s="36">
        <f t="shared" si="50"/>
        <v>23824.82</v>
      </c>
      <c r="Q93" t="str">
        <f t="shared" si="48"/>
        <v>P-51/2020 ELFLA pr."Cēsu novada pašvaldības grants ceļa A4 Akmenskrogs-Veismaņi-Vaives pag.robeža pārbūve"īstenošanai</v>
      </c>
      <c r="R93" t="str">
        <f t="shared" si="49"/>
        <v>11.03.2020</v>
      </c>
      <c r="U93" s="12" t="str">
        <f>RIGHT(X93,9)</f>
        <v>0.04.2015</v>
      </c>
      <c r="V93" s="9" t="s">
        <v>440</v>
      </c>
      <c r="W93" s="12" t="str">
        <f>RIGHT(Z93,9)</f>
        <v>/1/20/486</v>
      </c>
      <c r="X93" s="13" t="s">
        <v>441</v>
      </c>
      <c r="Z93" s="1" t="s">
        <v>174</v>
      </c>
      <c r="AA93" s="1" t="s">
        <v>175</v>
      </c>
      <c r="AB93" s="2">
        <v>407.26</v>
      </c>
      <c r="AD93" s="1" t="s">
        <v>182</v>
      </c>
      <c r="AE93" s="1" t="s">
        <v>183</v>
      </c>
      <c r="AF93" s="2">
        <v>44883.040000000001</v>
      </c>
      <c r="AH93" s="1" t="s">
        <v>190</v>
      </c>
      <c r="AI93" s="1" t="s">
        <v>191</v>
      </c>
      <c r="AJ93" s="2">
        <v>46211.29</v>
      </c>
      <c r="AL93" s="1" t="s">
        <v>200</v>
      </c>
      <c r="AM93" s="1" t="s">
        <v>201</v>
      </c>
      <c r="AN93" s="2">
        <v>87105.569999999992</v>
      </c>
      <c r="AP93" s="1" t="s">
        <v>212</v>
      </c>
      <c r="AQ93" s="1" t="s">
        <v>213</v>
      </c>
      <c r="AR93" s="2">
        <v>34358.639999999999</v>
      </c>
      <c r="AS93" s="1" t="s">
        <v>213</v>
      </c>
      <c r="AT93" s="2">
        <v>141245.02000000002</v>
      </c>
      <c r="AV93" s="119" t="s">
        <v>172</v>
      </c>
      <c r="AW93" s="113">
        <v>221.07</v>
      </c>
      <c r="AX93">
        <f t="shared" si="52"/>
        <v>110.535</v>
      </c>
      <c r="AY93" s="115" t="b">
        <f t="shared" si="51"/>
        <v>0</v>
      </c>
      <c r="AZ93">
        <v>863.66</v>
      </c>
      <c r="BA93">
        <v>828.83</v>
      </c>
      <c r="BB93">
        <v>797.31</v>
      </c>
      <c r="BC93">
        <v>765.68999999999994</v>
      </c>
      <c r="BD93" s="122" t="s">
        <v>172</v>
      </c>
      <c r="BE93" s="118" t="str">
        <f t="shared" si="53"/>
        <v>P-166/2020</v>
      </c>
      <c r="BF93" s="125" t="str">
        <f t="shared" si="54"/>
        <v>Bērnu rotaļu laukuma izveide Vecpiebalgā</v>
      </c>
      <c r="BG93" s="125" t="str">
        <f t="shared" si="55"/>
        <v>02.07.2020</v>
      </c>
      <c r="BH93" s="125">
        <f t="shared" si="56"/>
        <v>748</v>
      </c>
      <c r="BI93">
        <f t="shared" si="57"/>
        <v>374</v>
      </c>
      <c r="BJ93" s="136">
        <f t="shared" si="58"/>
        <v>1122</v>
      </c>
      <c r="BK93">
        <v>863.66</v>
      </c>
      <c r="BL93">
        <v>828.83</v>
      </c>
      <c r="BM93">
        <v>797.31</v>
      </c>
      <c r="BN93">
        <v>765.68999999999994</v>
      </c>
      <c r="BO93" s="118" t="s">
        <v>173</v>
      </c>
      <c r="BP93">
        <f t="shared" si="59"/>
        <v>722.85</v>
      </c>
      <c r="BQ93" s="118" t="s">
        <v>173</v>
      </c>
      <c r="BR93">
        <f t="shared" si="60"/>
        <v>699.50194499999998</v>
      </c>
      <c r="BS93" s="118" t="s">
        <v>173</v>
      </c>
      <c r="BT93">
        <f t="shared" si="61"/>
        <v>335.32000000000016</v>
      </c>
      <c r="BW93" t="s">
        <v>167</v>
      </c>
      <c r="BX93">
        <v>0</v>
      </c>
      <c r="BY93">
        <v>0</v>
      </c>
      <c r="BZ93">
        <v>0</v>
      </c>
    </row>
    <row r="94" spans="1:78" ht="20.25" customHeight="1" outlineLevel="1" x14ac:dyDescent="0.25">
      <c r="A94" s="39">
        <v>89</v>
      </c>
      <c r="B94" s="26" t="s">
        <v>168</v>
      </c>
      <c r="C94" s="26" t="s">
        <v>169</v>
      </c>
      <c r="D94" s="34" t="str">
        <f t="shared" si="66"/>
        <v>ELFLA projekta "Pašvaldības autoceļa B21 Stacija-Brodi-Kaupēni-Teikmaņi pārbūve" īstenošanai</v>
      </c>
      <c r="E94" s="34" t="str">
        <f t="shared" si="67"/>
        <v>30.03.2020</v>
      </c>
      <c r="F94" s="27">
        <v>1987</v>
      </c>
      <c r="G94" s="128">
        <f t="shared" si="43"/>
        <v>2147.5100000000002</v>
      </c>
      <c r="H94" s="128">
        <f>VLOOKUP(C94,$AE:$AF,2,0)</f>
        <v>2076.4299999999998</v>
      </c>
      <c r="I94" s="128">
        <f>VLOOKUP($C94,$AI:$AJ,2,0)</f>
        <v>2006.6100000000001</v>
      </c>
      <c r="J94" s="128">
        <f>VLOOKUP($C94,$AM:$AN,2,0)</f>
        <v>1936.6</v>
      </c>
      <c r="K94" s="128">
        <f>VLOOKUP($C94,$AQ:$AR,2,0)</f>
        <v>1866.88</v>
      </c>
      <c r="L94" s="129">
        <f t="shared" si="64"/>
        <v>1806.579776</v>
      </c>
      <c r="M94" s="128">
        <f>VLOOKUP($C94,$AS:$AT,2,0)-1807</f>
        <v>431.46000000000004</v>
      </c>
      <c r="N94" s="36">
        <f t="shared" si="50"/>
        <v>14259.069776000004</v>
      </c>
      <c r="Q94" t="str">
        <f t="shared" si="48"/>
        <v>ELFLA projekta "Pašvaldības autoceļa B21 Stacija-Brodi-Kaupēni-Teikmaņi pārbūve" īstenošanai</v>
      </c>
      <c r="R94" t="str">
        <f t="shared" si="49"/>
        <v>30.03.2020</v>
      </c>
      <c r="U94" s="12" t="str">
        <f t="shared" ref="U94:W99" si="68">RIGHT(X94,11)</f>
        <v>02.09.2016</v>
      </c>
      <c r="V94" s="9" t="s">
        <v>442</v>
      </c>
      <c r="W94" s="12" t="str">
        <f t="shared" si="68"/>
        <v>A2/1/20/485</v>
      </c>
      <c r="X94" s="13" t="s">
        <v>443</v>
      </c>
      <c r="Z94" s="1" t="s">
        <v>176</v>
      </c>
      <c r="AA94" s="1" t="s">
        <v>177</v>
      </c>
      <c r="AB94" s="2">
        <v>1608.97</v>
      </c>
      <c r="AD94" s="1" t="s">
        <v>184</v>
      </c>
      <c r="AE94" s="1" t="s">
        <v>185</v>
      </c>
      <c r="AF94" s="2">
        <v>7685.74</v>
      </c>
      <c r="AH94" s="1" t="s">
        <v>192</v>
      </c>
      <c r="AI94" s="1" t="s">
        <v>193</v>
      </c>
      <c r="AJ94" s="2">
        <v>10438.119999999999</v>
      </c>
      <c r="AL94" s="1" t="s">
        <v>202</v>
      </c>
      <c r="AM94" s="1" t="s">
        <v>203</v>
      </c>
      <c r="AN94" s="2">
        <v>80233.939999999988</v>
      </c>
      <c r="AP94" s="1" t="s">
        <v>214</v>
      </c>
      <c r="AQ94" s="1" t="s">
        <v>215</v>
      </c>
      <c r="AR94" s="2">
        <v>36237.32</v>
      </c>
      <c r="AS94" s="1" t="s">
        <v>215</v>
      </c>
      <c r="AT94" s="2">
        <v>234549.45</v>
      </c>
      <c r="AV94" s="119" t="s">
        <v>176</v>
      </c>
      <c r="AW94" s="113">
        <v>401.52</v>
      </c>
      <c r="AX94">
        <f t="shared" si="52"/>
        <v>200.76</v>
      </c>
      <c r="AY94" s="115" t="b">
        <f t="shared" si="51"/>
        <v>0</v>
      </c>
      <c r="AZ94">
        <v>1673.29</v>
      </c>
      <c r="BA94">
        <v>1610.9300000000003</v>
      </c>
      <c r="BB94">
        <v>1551.9</v>
      </c>
      <c r="BC94">
        <v>1492.71</v>
      </c>
      <c r="BD94" s="122" t="s">
        <v>176</v>
      </c>
      <c r="BE94" s="118" t="str">
        <f t="shared" si="53"/>
        <v>P-219/2020</v>
      </c>
      <c r="BF94" s="125" t="str">
        <f t="shared" si="54"/>
        <v>ELFLA projekta "Izstāžu taka Vecpiebalgas viesistabā" īstenošanai</v>
      </c>
      <c r="BG94" s="125" t="str">
        <f t="shared" si="55"/>
        <v>03.08.2020</v>
      </c>
      <c r="BH94" s="125">
        <f t="shared" si="56"/>
        <v>360</v>
      </c>
      <c r="BI94">
        <f t="shared" si="57"/>
        <v>180</v>
      </c>
      <c r="BJ94" s="136">
        <f t="shared" si="58"/>
        <v>540</v>
      </c>
      <c r="BK94">
        <v>1673.29</v>
      </c>
      <c r="BL94">
        <v>1610.9300000000003</v>
      </c>
      <c r="BM94">
        <v>1551.9</v>
      </c>
      <c r="BN94">
        <v>1492.71</v>
      </c>
      <c r="BO94" s="118" t="s">
        <v>177</v>
      </c>
      <c r="BP94">
        <f t="shared" si="59"/>
        <v>1409.4</v>
      </c>
      <c r="BQ94" s="118" t="s">
        <v>177</v>
      </c>
      <c r="BR94">
        <f t="shared" si="60"/>
        <v>1363.8763800000002</v>
      </c>
      <c r="BS94" s="118" t="s">
        <v>177</v>
      </c>
      <c r="BT94">
        <f t="shared" si="61"/>
        <v>982.73</v>
      </c>
      <c r="BW94" t="s">
        <v>169</v>
      </c>
      <c r="BX94">
        <v>1866.88</v>
      </c>
      <c r="BY94">
        <v>1806.579776</v>
      </c>
      <c r="BZ94">
        <v>431.46000000000004</v>
      </c>
    </row>
    <row r="95" spans="1:78" ht="20.25" customHeight="1" outlineLevel="1" x14ac:dyDescent="0.25">
      <c r="A95" s="39">
        <v>90</v>
      </c>
      <c r="B95" s="26" t="s">
        <v>170</v>
      </c>
      <c r="C95" s="26" t="s">
        <v>171</v>
      </c>
      <c r="D95" s="34" t="str">
        <f t="shared" si="66"/>
        <v>P-116/2020 ERAF Pakalpojumu infrastruktūras attīstība deinstitucionalizācijas plāna īstenošanai Amatas novada Spārē</v>
      </c>
      <c r="E95" s="34" t="str">
        <f t="shared" si="67"/>
        <v>17.04.2020</v>
      </c>
      <c r="F95" s="27">
        <v>36820</v>
      </c>
      <c r="G95" s="128">
        <f t="shared" si="43"/>
        <v>37096.6</v>
      </c>
      <c r="H95" s="128">
        <f>VLOOKUP(C95,$AE:$AF,2,0)</f>
        <v>36783.97</v>
      </c>
      <c r="I95" s="128">
        <f>VLOOKUP($C95,$AI:$AJ,2,0)</f>
        <v>36476.83</v>
      </c>
      <c r="J95" s="128">
        <f>VLOOKUP($C95,$AM:$AN,2,0)</f>
        <v>36168.86</v>
      </c>
      <c r="K95" s="128">
        <f>VLOOKUP($C95,$AQ:$AR,2,0)</f>
        <v>35862.129999999997</v>
      </c>
      <c r="L95" s="129">
        <f t="shared" si="64"/>
        <v>34703.783200999998</v>
      </c>
      <c r="M95" s="128">
        <f>VLOOKUP($C95,$AS:$AT,2,0)-34704</f>
        <v>9705.1599999999962</v>
      </c>
      <c r="N95" s="36">
        <f t="shared" si="50"/>
        <v>263617.333201</v>
      </c>
      <c r="Q95" t="str">
        <f t="shared" si="48"/>
        <v>P-116/2020 ERAF Pakalpojumu infrastruktūras attīstība deinstitucionalizācijas plāna īstenošanai Amatas novada Spārē</v>
      </c>
      <c r="R95" t="str">
        <f t="shared" si="49"/>
        <v>17.04.2020</v>
      </c>
      <c r="U95" s="12" t="str">
        <f t="shared" si="68"/>
        <v>09.08.2016</v>
      </c>
      <c r="V95" s="9" t="s">
        <v>444</v>
      </c>
      <c r="W95" s="12" t="str">
        <f t="shared" si="68"/>
        <v>A2/1/20/607</v>
      </c>
      <c r="X95" s="13" t="s">
        <v>445</v>
      </c>
      <c r="Z95" s="1" t="s">
        <v>178</v>
      </c>
      <c r="AA95" s="1" t="s">
        <v>179</v>
      </c>
      <c r="AB95" s="2">
        <v>19079.37</v>
      </c>
      <c r="AD95" s="1" t="s">
        <v>186</v>
      </c>
      <c r="AE95" s="1" t="s">
        <v>187</v>
      </c>
      <c r="AF95" s="2">
        <v>9146.06</v>
      </c>
      <c r="AH95" s="1" t="s">
        <v>194</v>
      </c>
      <c r="AI95" s="1" t="s">
        <v>195</v>
      </c>
      <c r="AJ95" s="2">
        <v>60047.55</v>
      </c>
      <c r="AL95" s="1" t="s">
        <v>204</v>
      </c>
      <c r="AM95" s="1" t="s">
        <v>205</v>
      </c>
      <c r="AN95" s="2">
        <v>17631.25</v>
      </c>
      <c r="AP95" s="1" t="s">
        <v>218</v>
      </c>
      <c r="AQ95" s="1" t="s">
        <v>219</v>
      </c>
      <c r="AR95" s="2">
        <v>9637.48</v>
      </c>
      <c r="AS95" s="1" t="s">
        <v>219</v>
      </c>
      <c r="AT95" s="2">
        <v>22707.75</v>
      </c>
      <c r="AV95" s="119" t="s">
        <v>174</v>
      </c>
      <c r="AW95" s="113">
        <v>101.64</v>
      </c>
      <c r="AX95">
        <f t="shared" si="52"/>
        <v>50.82</v>
      </c>
      <c r="AY95" s="115" t="b">
        <f t="shared" si="51"/>
        <v>0</v>
      </c>
      <c r="AZ95">
        <v>423.55</v>
      </c>
      <c r="BA95">
        <v>407.78000000000003</v>
      </c>
      <c r="BB95">
        <v>392.84</v>
      </c>
      <c r="BC95">
        <v>377.84</v>
      </c>
      <c r="BD95" s="122" t="s">
        <v>174</v>
      </c>
      <c r="BE95" s="118" t="str">
        <f t="shared" si="53"/>
        <v>P-218/2020</v>
      </c>
      <c r="BF95" s="125" t="str">
        <f t="shared" si="54"/>
        <v>ELFLA projekta "Peldvietas labiekārtošana pie Kaives ezera" īstenošanai</v>
      </c>
      <c r="BG95" s="125" t="str">
        <f t="shared" si="55"/>
        <v>03.08.2020</v>
      </c>
      <c r="BH95" s="125">
        <f t="shared" si="56"/>
        <v>360</v>
      </c>
      <c r="BI95">
        <f t="shared" si="57"/>
        <v>180</v>
      </c>
      <c r="BJ95" s="136">
        <f t="shared" si="58"/>
        <v>540</v>
      </c>
      <c r="BK95">
        <v>423.55</v>
      </c>
      <c r="BL95">
        <v>407.78000000000003</v>
      </c>
      <c r="BM95">
        <v>392.84</v>
      </c>
      <c r="BN95">
        <v>377.84</v>
      </c>
      <c r="BO95" s="118" t="s">
        <v>175</v>
      </c>
      <c r="BP95">
        <f t="shared" si="59"/>
        <v>356.76</v>
      </c>
      <c r="BQ95" s="118" t="s">
        <v>175</v>
      </c>
      <c r="BR95">
        <f t="shared" si="60"/>
        <v>345.23665199999999</v>
      </c>
      <c r="BS95" s="118" t="s">
        <v>175</v>
      </c>
      <c r="BT95">
        <f t="shared" si="61"/>
        <v>249</v>
      </c>
      <c r="BW95" t="s">
        <v>171</v>
      </c>
      <c r="BX95">
        <v>35862.129999999997</v>
      </c>
      <c r="BY95">
        <v>34703.783200999998</v>
      </c>
      <c r="BZ95">
        <v>9705.1599999999962</v>
      </c>
    </row>
    <row r="96" spans="1:78" ht="20.25" customHeight="1" outlineLevel="1" x14ac:dyDescent="0.25">
      <c r="A96" s="39">
        <v>91</v>
      </c>
      <c r="B96" s="26" t="s">
        <v>172</v>
      </c>
      <c r="C96" s="26" t="s">
        <v>173</v>
      </c>
      <c r="D96" s="34" t="str">
        <f t="shared" si="66"/>
        <v>Bērnu rotaļu laukuma izveide Vecpiebalgā</v>
      </c>
      <c r="E96" s="34" t="str">
        <f t="shared" si="67"/>
        <v>02.07.2020</v>
      </c>
      <c r="F96" s="27">
        <v>748</v>
      </c>
      <c r="G96" s="128">
        <f t="shared" si="43"/>
        <v>830.14</v>
      </c>
      <c r="H96" s="128">
        <f>VLOOKUP(C96,$AE:$AF,2,0)</f>
        <v>802.96</v>
      </c>
      <c r="I96" s="128">
        <f>VLOOKUP($C96,$AI:$AJ,2,0)</f>
        <v>776.27</v>
      </c>
      <c r="J96" s="128">
        <f>VLOOKUP($C96,$AM:$AN,2,0)</f>
        <v>749.5</v>
      </c>
      <c r="K96" s="128">
        <f>VLOOKUP($C96,$AQ:$AR,2,0)</f>
        <v>722.85</v>
      </c>
      <c r="L96" s="129">
        <f t="shared" si="64"/>
        <v>699.50194499999998</v>
      </c>
      <c r="M96" s="128">
        <f>VLOOKUP($C96,$AS:$AT,2,0)-700</f>
        <v>335.32000000000016</v>
      </c>
      <c r="N96" s="36">
        <f t="shared" si="50"/>
        <v>5664.5419450000009</v>
      </c>
      <c r="Q96" t="str">
        <f t="shared" si="48"/>
        <v>Bērnu rotaļu laukuma izveide Vecpiebalgā</v>
      </c>
      <c r="R96" t="str">
        <f t="shared" si="49"/>
        <v>02.07.2020</v>
      </c>
      <c r="U96" s="12" t="str">
        <f t="shared" si="68"/>
        <v>06.08.2015</v>
      </c>
      <c r="V96" s="9" t="s">
        <v>446</v>
      </c>
      <c r="W96" s="12" t="str">
        <f t="shared" si="68"/>
        <v>A2/1/20/652</v>
      </c>
      <c r="X96" s="13" t="s">
        <v>447</v>
      </c>
      <c r="Z96" s="1" t="s">
        <v>180</v>
      </c>
      <c r="AA96" s="1" t="s">
        <v>181</v>
      </c>
      <c r="AB96" s="2">
        <v>23681.239999999998</v>
      </c>
      <c r="AD96" s="1" t="s">
        <v>190</v>
      </c>
      <c r="AE96" s="1" t="s">
        <v>191</v>
      </c>
      <c r="AF96" s="2">
        <v>46327.63</v>
      </c>
      <c r="AH96" s="1" t="s">
        <v>198</v>
      </c>
      <c r="AI96" s="1" t="s">
        <v>199</v>
      </c>
      <c r="AJ96" s="2">
        <v>109696.33</v>
      </c>
      <c r="AL96" s="1" t="s">
        <v>206</v>
      </c>
      <c r="AM96" s="1" t="s">
        <v>207</v>
      </c>
      <c r="AN96" s="2">
        <v>19299.12</v>
      </c>
      <c r="AP96" s="1" t="s">
        <v>220</v>
      </c>
      <c r="AQ96" s="1" t="s">
        <v>221</v>
      </c>
      <c r="AR96" s="2">
        <v>16857.2</v>
      </c>
      <c r="AS96" s="1" t="s">
        <v>221</v>
      </c>
      <c r="AT96" s="2">
        <v>65491.680000000008</v>
      </c>
      <c r="AV96" s="119" t="s">
        <v>268</v>
      </c>
      <c r="AW96" s="113">
        <v>1.3</v>
      </c>
      <c r="AX96">
        <f t="shared" si="52"/>
        <v>0.65</v>
      </c>
      <c r="AY96" s="115" t="b">
        <f t="shared" si="51"/>
        <v>0</v>
      </c>
      <c r="AZ96">
        <v>0</v>
      </c>
      <c r="BA96">
        <v>0</v>
      </c>
      <c r="BB96">
        <v>0</v>
      </c>
      <c r="BC96">
        <v>0</v>
      </c>
      <c r="BD96" s="119" t="s">
        <v>268</v>
      </c>
      <c r="BE96" s="118" t="str">
        <f t="shared" si="53"/>
        <v>P-225/2020</v>
      </c>
      <c r="BF96" s="125" t="str">
        <f t="shared" si="54"/>
        <v>ELFLA projekta "Skatu platformas-ekspozīcijas izveidošana "Kalna Kaibēnos"" īstenošanai</v>
      </c>
      <c r="BG96" s="125" t="str">
        <f t="shared" si="55"/>
        <v>05.08.2020</v>
      </c>
      <c r="BH96" s="125">
        <f t="shared" si="56"/>
        <v>973</v>
      </c>
      <c r="BI96">
        <f t="shared" si="57"/>
        <v>486.5</v>
      </c>
      <c r="BJ96" s="136">
        <f t="shared" si="58"/>
        <v>1459.5</v>
      </c>
      <c r="BK96">
        <v>0</v>
      </c>
      <c r="BL96">
        <v>0</v>
      </c>
      <c r="BM96">
        <v>0</v>
      </c>
      <c r="BN96">
        <v>0</v>
      </c>
      <c r="BO96" s="118" t="s">
        <v>269</v>
      </c>
      <c r="BP96">
        <f t="shared" si="59"/>
        <v>0</v>
      </c>
      <c r="BQ96" s="118" t="s">
        <v>269</v>
      </c>
      <c r="BR96">
        <f t="shared" si="60"/>
        <v>0</v>
      </c>
      <c r="BS96" s="118" t="s">
        <v>269</v>
      </c>
      <c r="BT96">
        <f t="shared" si="61"/>
        <v>0</v>
      </c>
      <c r="BW96" t="s">
        <v>173</v>
      </c>
      <c r="BX96">
        <v>722.85</v>
      </c>
      <c r="BY96">
        <v>699.50194499999998</v>
      </c>
      <c r="BZ96">
        <v>335.32000000000016</v>
      </c>
    </row>
    <row r="97" spans="1:78" ht="20.25" customHeight="1" outlineLevel="1" x14ac:dyDescent="0.25">
      <c r="A97" s="39">
        <v>92</v>
      </c>
      <c r="B97" s="26" t="s">
        <v>174</v>
      </c>
      <c r="C97" s="26" t="s">
        <v>175</v>
      </c>
      <c r="D97" s="34" t="str">
        <f t="shared" si="66"/>
        <v>ELFLA projekta "Peldvietas labiekārtošana pie Kaives ezera" īstenošanai</v>
      </c>
      <c r="E97" s="34" t="str">
        <f t="shared" si="67"/>
        <v>03.08.2020</v>
      </c>
      <c r="F97" s="27">
        <v>360</v>
      </c>
      <c r="G97" s="128">
        <f t="shared" si="43"/>
        <v>407.26</v>
      </c>
      <c r="H97" s="128">
        <f>VLOOKUP(C97,$AE:$AF,2,0)</f>
        <v>394.46000000000004</v>
      </c>
      <c r="I97" s="128">
        <f>VLOOKUP($C97,$AI:$AJ,2,0)</f>
        <v>381.89</v>
      </c>
      <c r="J97" s="128">
        <f>VLOOKUP($C97,$AM:$AN,2,0)</f>
        <v>369.28</v>
      </c>
      <c r="K97" s="128">
        <f>VLOOKUP($C97,$AQ:$AR,2,0)</f>
        <v>356.76</v>
      </c>
      <c r="L97" s="129">
        <f t="shared" si="64"/>
        <v>345.23665199999999</v>
      </c>
      <c r="M97" s="128">
        <f>VLOOKUP($C97,$AS:$AT,2,0)-345</f>
        <v>249</v>
      </c>
      <c r="N97" s="36">
        <f t="shared" si="50"/>
        <v>2863.8866520000001</v>
      </c>
      <c r="Q97" t="str">
        <f t="shared" si="48"/>
        <v>ELFLA projekta "Peldvietas labiekārtošana pie Kaives ezera" īstenošanai</v>
      </c>
      <c r="R97" t="str">
        <f t="shared" si="49"/>
        <v>03.08.2020</v>
      </c>
      <c r="U97" s="12" t="str">
        <f t="shared" si="68"/>
        <v>04.07.2019</v>
      </c>
      <c r="V97" s="9" t="s">
        <v>448</v>
      </c>
      <c r="W97" s="12" t="str">
        <f t="shared" si="68"/>
        <v>A2/1/20/665</v>
      </c>
      <c r="X97" s="13" t="s">
        <v>449</v>
      </c>
      <c r="Z97" s="1" t="s">
        <v>182</v>
      </c>
      <c r="AA97" s="1" t="s">
        <v>183</v>
      </c>
      <c r="AB97" s="2">
        <v>46040.4</v>
      </c>
      <c r="AD97" s="1" t="s">
        <v>192</v>
      </c>
      <c r="AE97" s="1" t="s">
        <v>193</v>
      </c>
      <c r="AF97" s="2">
        <v>10758.52</v>
      </c>
      <c r="AH97" s="1" t="s">
        <v>200</v>
      </c>
      <c r="AI97" s="1" t="s">
        <v>201</v>
      </c>
      <c r="AJ97" s="2">
        <v>105283.75</v>
      </c>
      <c r="AL97" s="1" t="s">
        <v>208</v>
      </c>
      <c r="AM97" s="1" t="s">
        <v>209</v>
      </c>
      <c r="AN97" s="2">
        <v>48967.360000000001</v>
      </c>
      <c r="AP97" s="1" t="s">
        <v>222</v>
      </c>
      <c r="AQ97" s="1" t="s">
        <v>223</v>
      </c>
      <c r="AR97" s="2">
        <v>453488.94</v>
      </c>
      <c r="AS97" s="1" t="s">
        <v>223</v>
      </c>
      <c r="AT97" s="2">
        <v>6587888.54</v>
      </c>
      <c r="AV97" s="119" t="s">
        <v>178</v>
      </c>
      <c r="AW97" s="113">
        <v>4624.07</v>
      </c>
      <c r="AX97">
        <f t="shared" si="52"/>
        <v>2312.0349999999999</v>
      </c>
      <c r="AY97" s="115" t="b">
        <f t="shared" si="51"/>
        <v>0</v>
      </c>
      <c r="AZ97">
        <v>19893.77</v>
      </c>
      <c r="BA97">
        <v>19181.449999999997</v>
      </c>
      <c r="BB97">
        <v>18497.849999999999</v>
      </c>
      <c r="BC97">
        <v>17812.399999999998</v>
      </c>
      <c r="BD97" s="122" t="s">
        <v>178</v>
      </c>
      <c r="BE97" s="118" t="str">
        <f t="shared" si="53"/>
        <v>P-272/2020</v>
      </c>
      <c r="BF97" s="125" t="str">
        <f t="shared" si="54"/>
        <v>P-272/2020 ERAF pr."Uzņēmējdarbības attīstību veicinošas vides attīst.Viestura ielā" īstenošanai</v>
      </c>
      <c r="BG97" s="125" t="str">
        <f t="shared" si="55"/>
        <v>31.08.2020</v>
      </c>
      <c r="BH97" s="125">
        <f t="shared" si="56"/>
        <v>17108</v>
      </c>
      <c r="BI97">
        <f t="shared" si="57"/>
        <v>8554</v>
      </c>
      <c r="BJ97" s="136">
        <f t="shared" si="58"/>
        <v>25662</v>
      </c>
      <c r="BK97">
        <v>19893.77</v>
      </c>
      <c r="BL97">
        <v>19181.449999999997</v>
      </c>
      <c r="BM97">
        <v>18497.849999999999</v>
      </c>
      <c r="BN97">
        <v>17812.399999999998</v>
      </c>
      <c r="BO97" s="118" t="s">
        <v>179</v>
      </c>
      <c r="BP97">
        <f t="shared" si="59"/>
        <v>16769.169999999998</v>
      </c>
      <c r="BQ97" s="118" t="s">
        <v>179</v>
      </c>
      <c r="BR97">
        <f t="shared" si="60"/>
        <v>16227.525808999999</v>
      </c>
      <c r="BS97" s="118" t="s">
        <v>179</v>
      </c>
      <c r="BT97">
        <f t="shared" si="61"/>
        <v>22830.420000000006</v>
      </c>
      <c r="BW97" t="s">
        <v>175</v>
      </c>
      <c r="BX97">
        <v>356.76</v>
      </c>
      <c r="BY97">
        <v>345.23665199999999</v>
      </c>
      <c r="BZ97">
        <v>249</v>
      </c>
    </row>
    <row r="98" spans="1:78" ht="20.25" customHeight="1" outlineLevel="1" x14ac:dyDescent="0.25">
      <c r="A98" s="39">
        <v>93</v>
      </c>
      <c r="B98" s="26" t="s">
        <v>176</v>
      </c>
      <c r="C98" s="26" t="s">
        <v>177</v>
      </c>
      <c r="D98" s="34" t="str">
        <f t="shared" si="66"/>
        <v>ELFLA projekta "Izstāžu taka Vecpiebalgas viesistabā" īstenošanai</v>
      </c>
      <c r="E98" s="34" t="str">
        <f t="shared" si="67"/>
        <v>03.08.2020</v>
      </c>
      <c r="F98" s="27">
        <v>1423</v>
      </c>
      <c r="G98" s="128">
        <f t="shared" si="43"/>
        <v>1608.97</v>
      </c>
      <c r="H98" s="128">
        <f>VLOOKUP(C98,$AE:$AF,2,0)</f>
        <v>1558.3600000000001</v>
      </c>
      <c r="I98" s="128">
        <f>VLOOKUP($C98,$AI:$AJ,2,0)</f>
        <v>1508.71</v>
      </c>
      <c r="J98" s="128">
        <f>VLOOKUP($C98,$AM:$AN,2,0)</f>
        <v>1458.93</v>
      </c>
      <c r="K98" s="128">
        <f>VLOOKUP($C98,$AQ:$AR,2,0)</f>
        <v>1409.4</v>
      </c>
      <c r="L98" s="129">
        <f t="shared" si="64"/>
        <v>1363.8763800000002</v>
      </c>
      <c r="M98" s="128">
        <f>VLOOKUP($C98,$AS:$AT,2,0)-1364</f>
        <v>982.73</v>
      </c>
      <c r="N98" s="36">
        <f t="shared" si="50"/>
        <v>11313.97638</v>
      </c>
      <c r="Q98" t="str">
        <f t="shared" si="48"/>
        <v>ELFLA projekta "Izstāžu taka Vecpiebalgas viesistabā" īstenošanai</v>
      </c>
      <c r="R98" t="str">
        <f t="shared" si="49"/>
        <v>03.08.2020</v>
      </c>
      <c r="U98" s="12" t="str">
        <f t="shared" si="68"/>
        <v>01.10.2020</v>
      </c>
      <c r="V98" s="9" t="s">
        <v>450</v>
      </c>
      <c r="W98" s="12" t="str">
        <f t="shared" si="68"/>
        <v>A2/1/20/684</v>
      </c>
      <c r="X98" s="13" t="s">
        <v>451</v>
      </c>
      <c r="Z98" s="1" t="s">
        <v>184</v>
      </c>
      <c r="AA98" s="1" t="s">
        <v>185</v>
      </c>
      <c r="AB98" s="2">
        <v>7905.9699999999993</v>
      </c>
      <c r="AD98" s="1" t="s">
        <v>194</v>
      </c>
      <c r="AE98" s="1" t="s">
        <v>195</v>
      </c>
      <c r="AF98" s="2">
        <v>61884.65</v>
      </c>
      <c r="AH98" s="1" t="s">
        <v>202</v>
      </c>
      <c r="AI98" s="1" t="s">
        <v>203</v>
      </c>
      <c r="AJ98" s="2">
        <v>69097.030000000013</v>
      </c>
      <c r="AL98" s="1" t="s">
        <v>210</v>
      </c>
      <c r="AM98" s="1" t="s">
        <v>211</v>
      </c>
      <c r="AN98" s="2">
        <v>33821.75</v>
      </c>
      <c r="AP98" s="1" t="s">
        <v>224</v>
      </c>
      <c r="AQ98" s="1" t="s">
        <v>225</v>
      </c>
      <c r="AR98" s="2">
        <v>36473.97</v>
      </c>
      <c r="AS98" s="1" t="s">
        <v>225</v>
      </c>
      <c r="AT98" s="2">
        <v>281019.12</v>
      </c>
      <c r="AV98" s="119" t="s">
        <v>180</v>
      </c>
      <c r="AW98" s="113">
        <v>5743.75</v>
      </c>
      <c r="AX98">
        <f t="shared" si="52"/>
        <v>2871.875</v>
      </c>
      <c r="AY98" s="115" t="b">
        <f t="shared" si="51"/>
        <v>0</v>
      </c>
      <c r="AZ98">
        <v>24610.66</v>
      </c>
      <c r="BA98">
        <v>23723.599999999999</v>
      </c>
      <c r="BB98">
        <v>22853.63</v>
      </c>
      <c r="BC98">
        <v>21981.279999999999</v>
      </c>
      <c r="BD98" s="122" t="s">
        <v>180</v>
      </c>
      <c r="BE98" s="118" t="str">
        <f t="shared" si="53"/>
        <v>P-319/2020</v>
      </c>
      <c r="BF98" s="125" t="str">
        <f t="shared" si="54"/>
        <v>Autoceļa Kalna Pentuļi-Meža Naukšēni pārbūve</v>
      </c>
      <c r="BG98" s="125" t="str">
        <f t="shared" si="55"/>
        <v>15.09.2020</v>
      </c>
      <c r="BH98" s="125">
        <f t="shared" si="56"/>
        <v>21712</v>
      </c>
      <c r="BI98">
        <f t="shared" si="57"/>
        <v>10856</v>
      </c>
      <c r="BJ98" s="136">
        <f t="shared" si="58"/>
        <v>32568</v>
      </c>
      <c r="BK98">
        <v>24610.66</v>
      </c>
      <c r="BL98">
        <v>23723.599999999999</v>
      </c>
      <c r="BM98">
        <v>22853.63</v>
      </c>
      <c r="BN98">
        <v>21981.279999999999</v>
      </c>
      <c r="BO98" s="118" t="s">
        <v>181</v>
      </c>
      <c r="BP98">
        <f t="shared" si="59"/>
        <v>20735.580000000002</v>
      </c>
      <c r="BQ98" s="118" t="s">
        <v>181</v>
      </c>
      <c r="BR98">
        <f t="shared" si="60"/>
        <v>20065.820766000001</v>
      </c>
      <c r="BS98" s="118" t="s">
        <v>181</v>
      </c>
      <c r="BT98">
        <f t="shared" si="61"/>
        <v>17424.769999999997</v>
      </c>
      <c r="BW98" t="s">
        <v>177</v>
      </c>
      <c r="BX98">
        <v>1409.4</v>
      </c>
      <c r="BY98">
        <v>1363.8763800000002</v>
      </c>
      <c r="BZ98">
        <v>982.73</v>
      </c>
    </row>
    <row r="99" spans="1:78" ht="20.25" customHeight="1" outlineLevel="1" x14ac:dyDescent="0.25">
      <c r="A99" s="39">
        <v>94</v>
      </c>
      <c r="B99" s="26" t="s">
        <v>268</v>
      </c>
      <c r="C99" s="26" t="s">
        <v>269</v>
      </c>
      <c r="D99" s="34" t="str">
        <f t="shared" si="66"/>
        <v>ELFLA projekta "Skatu platformas-ekspozīcijas izveidošana "Kalna Kaibēnos"" īstenošanai</v>
      </c>
      <c r="E99" s="34" t="str">
        <f t="shared" si="67"/>
        <v>05.08.2020</v>
      </c>
      <c r="F99" s="27">
        <v>973</v>
      </c>
      <c r="G99" s="128">
        <v>0</v>
      </c>
      <c r="H99" s="128">
        <v>0</v>
      </c>
      <c r="I99" s="128">
        <v>0</v>
      </c>
      <c r="J99" s="128">
        <v>0</v>
      </c>
      <c r="K99" s="128">
        <v>0</v>
      </c>
      <c r="L99" s="129">
        <f t="shared" si="64"/>
        <v>0</v>
      </c>
      <c r="M99" s="128">
        <v>0</v>
      </c>
      <c r="N99" s="36">
        <f t="shared" si="50"/>
        <v>973</v>
      </c>
      <c r="Q99" t="str">
        <f t="shared" si="48"/>
        <v>ELFLA projekta "Skatu platformas-ekspozīcijas izveidošana "Kalna Kaibēnos"" īstenošanai</v>
      </c>
      <c r="R99" t="str">
        <f t="shared" si="49"/>
        <v>05.08.2020</v>
      </c>
      <c r="U99" s="12" t="str">
        <f t="shared" si="68"/>
        <v>06.07.2021.</v>
      </c>
      <c r="V99" s="9" t="s">
        <v>452</v>
      </c>
      <c r="W99" s="12" t="str">
        <f t="shared" si="68"/>
        <v>A2/1/20/760</v>
      </c>
      <c r="X99" s="13" t="s">
        <v>453</v>
      </c>
      <c r="Z99" s="1" t="s">
        <v>186</v>
      </c>
      <c r="AA99" s="1" t="s">
        <v>187</v>
      </c>
      <c r="AB99" s="2">
        <v>9411.39</v>
      </c>
      <c r="AD99" s="1" t="s">
        <v>198</v>
      </c>
      <c r="AE99" s="1" t="s">
        <v>199</v>
      </c>
      <c r="AF99" s="2">
        <v>136289.44</v>
      </c>
      <c r="AH99" s="1" t="s">
        <v>204</v>
      </c>
      <c r="AI99" s="1" t="s">
        <v>205</v>
      </c>
      <c r="AJ99" s="2">
        <v>18109.010000000002</v>
      </c>
      <c r="AL99" s="1" t="s">
        <v>212</v>
      </c>
      <c r="AM99" s="1" t="s">
        <v>213</v>
      </c>
      <c r="AN99" s="2">
        <v>35425.29</v>
      </c>
      <c r="AP99" s="1" t="s">
        <v>228</v>
      </c>
      <c r="AQ99" s="1" t="s">
        <v>229</v>
      </c>
      <c r="AR99" s="2">
        <v>22702.43</v>
      </c>
      <c r="AS99" s="1" t="s">
        <v>229</v>
      </c>
      <c r="AT99" s="2">
        <v>87658.260000000009</v>
      </c>
      <c r="AV99" s="119" t="s">
        <v>164</v>
      </c>
      <c r="AW99" s="113">
        <v>49493.919999999998</v>
      </c>
      <c r="AX99">
        <f t="shared" si="52"/>
        <v>24746.959999999999</v>
      </c>
      <c r="AY99" s="115" t="b">
        <f t="shared" si="51"/>
        <v>0</v>
      </c>
      <c r="AZ99">
        <v>195681.33000000002</v>
      </c>
      <c r="BA99">
        <v>191719.27</v>
      </c>
      <c r="BB99">
        <v>187138.23</v>
      </c>
      <c r="BC99">
        <v>182544.61</v>
      </c>
      <c r="BD99" s="122" t="s">
        <v>164</v>
      </c>
      <c r="BE99" s="118" t="str">
        <f t="shared" si="53"/>
        <v>P-52/2020</v>
      </c>
      <c r="BF99" s="125" t="str">
        <f t="shared" si="54"/>
        <v>P-52/2020 ERAF pr."Degradēto teritoriju revitalizācija Cēsu novadā II kārta" īstenošanai</v>
      </c>
      <c r="BG99" s="125" t="str">
        <f t="shared" si="55"/>
        <v>11.03.2020</v>
      </c>
      <c r="BH99" s="125">
        <f t="shared" si="56"/>
        <v>146791</v>
      </c>
      <c r="BI99">
        <f t="shared" si="57"/>
        <v>73395.5</v>
      </c>
      <c r="BJ99" s="136">
        <f t="shared" si="58"/>
        <v>220186.5</v>
      </c>
      <c r="BK99">
        <v>195681.33000000002</v>
      </c>
      <c r="BL99">
        <v>191719.27</v>
      </c>
      <c r="BM99">
        <v>187138.23</v>
      </c>
      <c r="BN99">
        <v>182544.61</v>
      </c>
      <c r="BO99" s="118" t="s">
        <v>165</v>
      </c>
      <c r="BP99">
        <f t="shared" si="59"/>
        <v>165507.29999999999</v>
      </c>
      <c r="BQ99" s="118" t="s">
        <v>165</v>
      </c>
      <c r="BR99">
        <f t="shared" si="60"/>
        <v>160161.41420999999</v>
      </c>
      <c r="BS99" s="118" t="s">
        <v>165</v>
      </c>
      <c r="BT99">
        <f t="shared" si="61"/>
        <v>2294810.7000000002</v>
      </c>
      <c r="BW99" t="s">
        <v>269</v>
      </c>
      <c r="BX99">
        <v>0</v>
      </c>
      <c r="BY99">
        <v>0</v>
      </c>
      <c r="BZ99">
        <v>0</v>
      </c>
    </row>
    <row r="100" spans="1:78" ht="20.25" customHeight="1" outlineLevel="1" x14ac:dyDescent="0.25">
      <c r="A100" s="39">
        <v>95</v>
      </c>
      <c r="B100" s="26" t="s">
        <v>178</v>
      </c>
      <c r="C100" s="26" t="s">
        <v>179</v>
      </c>
      <c r="D100" s="34" t="str">
        <f t="shared" si="66"/>
        <v>P-272/2020 ERAF pr."Uzņēmējdarbības attīstību veicinošas vides attīst.Viestura ielā" īstenošanai</v>
      </c>
      <c r="E100" s="34" t="str">
        <f t="shared" si="67"/>
        <v>31.08.2020</v>
      </c>
      <c r="F100" s="27">
        <v>17108</v>
      </c>
      <c r="G100" s="128">
        <f t="shared" ref="G100:G140" si="69">VLOOKUP(C100,$AA:$AB,2,0)</f>
        <v>19079.37</v>
      </c>
      <c r="H100" s="128">
        <f>VLOOKUP(C100,$AE:$AF,2,0)</f>
        <v>18492.38</v>
      </c>
      <c r="I100" s="128">
        <f>VLOOKUP($C100,$AI:$AJ,2,0)</f>
        <v>17917.59</v>
      </c>
      <c r="J100" s="128">
        <f>VLOOKUP($C100,$AM:$AN,2,0)</f>
        <v>17341.22</v>
      </c>
      <c r="K100" s="128">
        <f>VLOOKUP($C100,$AQ:$AR,2,0)</f>
        <v>16769.169999999998</v>
      </c>
      <c r="L100" s="129">
        <f t="shared" si="64"/>
        <v>16227.525808999999</v>
      </c>
      <c r="M100" s="128">
        <f>VLOOKUP($C100,$AS:$AT,2,0)-16228</f>
        <v>22830.420000000006</v>
      </c>
      <c r="N100" s="36">
        <f t="shared" si="50"/>
        <v>145765.67580900001</v>
      </c>
      <c r="Q100" t="str">
        <f t="shared" si="48"/>
        <v>P-272/2020 ERAF pr."Uzņēmējdarbības attīstību veicinošas vides attīst.Viestura ielā" īstenošanai</v>
      </c>
      <c r="R100" t="str">
        <f t="shared" si="49"/>
        <v>31.08.2020</v>
      </c>
      <c r="U100" s="11" t="s">
        <v>237</v>
      </c>
      <c r="V100" s="9" t="s">
        <v>454</v>
      </c>
      <c r="W100" s="11" t="s">
        <v>237</v>
      </c>
      <c r="X100" s="14" t="s">
        <v>455</v>
      </c>
      <c r="Z100" s="1" t="s">
        <v>188</v>
      </c>
      <c r="AA100" s="1" t="s">
        <v>189</v>
      </c>
      <c r="AB100" s="2">
        <v>5.97</v>
      </c>
      <c r="AD100" s="1" t="s">
        <v>200</v>
      </c>
      <c r="AE100" s="1" t="s">
        <v>201</v>
      </c>
      <c r="AF100" s="2">
        <v>134720.69</v>
      </c>
      <c r="AH100" s="1" t="s">
        <v>206</v>
      </c>
      <c r="AI100" s="1" t="s">
        <v>207</v>
      </c>
      <c r="AJ100" s="2">
        <v>19846.349999999999</v>
      </c>
      <c r="AL100" s="1" t="s">
        <v>214</v>
      </c>
      <c r="AM100" s="1" t="s">
        <v>215</v>
      </c>
      <c r="AN100" s="2">
        <v>37266.449999999997</v>
      </c>
      <c r="AP100" s="1" t="s">
        <v>230</v>
      </c>
      <c r="AQ100" s="1" t="s">
        <v>231</v>
      </c>
      <c r="AR100" s="2">
        <v>40331.72</v>
      </c>
      <c r="AS100" s="1" t="s">
        <v>231</v>
      </c>
      <c r="AT100" s="2">
        <v>281126.77</v>
      </c>
      <c r="AV100" s="119" t="s">
        <v>182</v>
      </c>
      <c r="AW100" s="113">
        <v>10743.98</v>
      </c>
      <c r="AX100">
        <f t="shared" si="52"/>
        <v>5371.99</v>
      </c>
      <c r="AY100" s="115" t="b">
        <f t="shared" si="51"/>
        <v>0</v>
      </c>
      <c r="AZ100">
        <v>49411.94</v>
      </c>
      <c r="BA100">
        <v>48042.950000000004</v>
      </c>
      <c r="BB100">
        <v>46734.990000000005</v>
      </c>
      <c r="BC100">
        <v>45423.44</v>
      </c>
      <c r="BD100" s="122" t="s">
        <v>182</v>
      </c>
      <c r="BE100" s="118" t="str">
        <f t="shared" si="53"/>
        <v>P-320/2020</v>
      </c>
      <c r="BF100" s="125" t="str">
        <f t="shared" si="54"/>
        <v>P-320/2020 projekta "Ielu seguma atjaunošana" īstenošanai</v>
      </c>
      <c r="BG100" s="125" t="str">
        <f t="shared" si="55"/>
        <v>17.09.2020</v>
      </c>
      <c r="BH100" s="125">
        <f t="shared" si="56"/>
        <v>38413</v>
      </c>
      <c r="BI100">
        <f t="shared" si="57"/>
        <v>19206.5</v>
      </c>
      <c r="BJ100" s="136">
        <f t="shared" si="58"/>
        <v>57619.5</v>
      </c>
      <c r="BK100">
        <v>49411.94</v>
      </c>
      <c r="BL100">
        <v>48042.950000000004</v>
      </c>
      <c r="BM100">
        <v>46734.990000000005</v>
      </c>
      <c r="BN100">
        <v>45423.44</v>
      </c>
      <c r="BO100" s="118" t="s">
        <v>183</v>
      </c>
      <c r="BP100">
        <f t="shared" si="59"/>
        <v>41596.18</v>
      </c>
      <c r="BQ100" s="118" t="s">
        <v>183</v>
      </c>
      <c r="BR100">
        <f t="shared" si="60"/>
        <v>40252.623385999999</v>
      </c>
      <c r="BS100" s="118" t="s">
        <v>183</v>
      </c>
      <c r="BT100">
        <f t="shared" si="61"/>
        <v>365144.9</v>
      </c>
      <c r="BW100" t="s">
        <v>179</v>
      </c>
      <c r="BX100">
        <v>16769.169999999998</v>
      </c>
      <c r="BY100">
        <v>16227.525808999999</v>
      </c>
      <c r="BZ100">
        <v>22830.420000000006</v>
      </c>
    </row>
    <row r="101" spans="1:78" ht="20.25" customHeight="1" outlineLevel="1" x14ac:dyDescent="0.25">
      <c r="A101" s="39">
        <v>96</v>
      </c>
      <c r="B101" s="26" t="s">
        <v>180</v>
      </c>
      <c r="C101" s="26" t="s">
        <v>181</v>
      </c>
      <c r="D101" s="34" t="str">
        <f t="shared" si="66"/>
        <v>Autoceļa Kalna Pentuļi-Meža Naukšēni pārbūve</v>
      </c>
      <c r="E101" s="34" t="str">
        <f t="shared" si="67"/>
        <v>15.09.2020</v>
      </c>
      <c r="F101" s="27">
        <v>21712</v>
      </c>
      <c r="G101" s="128">
        <f t="shared" si="69"/>
        <v>23681.239999999998</v>
      </c>
      <c r="H101" s="128">
        <f>VLOOKUP(C101,$AE:$AF,2,0)</f>
        <v>22933.97</v>
      </c>
      <c r="I101" s="128">
        <f>VLOOKUP($C101,$AI:$AJ,2,0)</f>
        <v>22201.08</v>
      </c>
      <c r="J101" s="128">
        <f>VLOOKUP($C101,$AM:$AN,2,0)</f>
        <v>21466.17</v>
      </c>
      <c r="K101" s="128">
        <f>VLOOKUP($C101,$AQ:$AR,2,0)</f>
        <v>20735.580000000002</v>
      </c>
      <c r="L101" s="129">
        <f t="shared" si="64"/>
        <v>20065.820766000001</v>
      </c>
      <c r="M101" s="128">
        <f>VLOOKUP($C101,$AS:$AT,2,0)-20066</f>
        <v>17424.769999999997</v>
      </c>
      <c r="N101" s="36">
        <f t="shared" si="50"/>
        <v>170220.63076599996</v>
      </c>
      <c r="Q101" t="str">
        <f t="shared" si="48"/>
        <v>Autoceļa Kalna Pentuļi-Meža Naukšēni pārbūve</v>
      </c>
      <c r="R101" t="str">
        <f t="shared" si="49"/>
        <v>15.09.2020</v>
      </c>
      <c r="U101" s="8" t="s">
        <v>55</v>
      </c>
      <c r="V101" s="9" t="s">
        <v>456</v>
      </c>
      <c r="W101" s="8" t="s">
        <v>55</v>
      </c>
      <c r="X101" s="13" t="s">
        <v>457</v>
      </c>
      <c r="Z101" s="1" t="s">
        <v>190</v>
      </c>
      <c r="AA101" s="1" t="s">
        <v>191</v>
      </c>
      <c r="AB101" s="2">
        <v>46445.34</v>
      </c>
      <c r="AD101" s="1" t="s">
        <v>202</v>
      </c>
      <c r="AE101" s="1" t="s">
        <v>203</v>
      </c>
      <c r="AF101" s="2">
        <v>69328.950000000012</v>
      </c>
      <c r="AH101" s="1" t="s">
        <v>208</v>
      </c>
      <c r="AI101" s="1" t="s">
        <v>209</v>
      </c>
      <c r="AJ101" s="2">
        <v>42108</v>
      </c>
      <c r="AL101" s="1" t="s">
        <v>218</v>
      </c>
      <c r="AM101" s="1" t="s">
        <v>219</v>
      </c>
      <c r="AN101" s="2">
        <v>9954.2900000000009</v>
      </c>
      <c r="AP101" s="1" t="s">
        <v>232</v>
      </c>
      <c r="AQ101" s="1" t="s">
        <v>233</v>
      </c>
      <c r="AR101" s="2">
        <v>31745.63</v>
      </c>
      <c r="AS101" s="1" t="s">
        <v>233</v>
      </c>
      <c r="AT101" s="2">
        <v>101426.76999999999</v>
      </c>
      <c r="AV101" s="119" t="s">
        <v>166</v>
      </c>
      <c r="AW101" s="113">
        <v>4906.91</v>
      </c>
      <c r="AX101">
        <f t="shared" si="52"/>
        <v>2453.4549999999999</v>
      </c>
      <c r="AY101" s="115" t="b">
        <f t="shared" si="51"/>
        <v>0</v>
      </c>
      <c r="AZ101">
        <v>4445.2999999999993</v>
      </c>
      <c r="BA101">
        <v>0</v>
      </c>
      <c r="BB101">
        <v>0</v>
      </c>
      <c r="BC101">
        <v>0</v>
      </c>
      <c r="BD101" s="122" t="s">
        <v>166</v>
      </c>
      <c r="BE101" s="118" t="str">
        <f t="shared" si="53"/>
        <v>P-51/2020</v>
      </c>
      <c r="BF101" s="125" t="str">
        <f t="shared" si="54"/>
        <v>P-51/2020 ELFLA pr."Cēsu novada pašvaldības grants ceļa A4 Akmenskrogs-Veismaņi-Vaives pag.robeža pārbūve"īstenošanai</v>
      </c>
      <c r="BG101" s="125" t="str">
        <f t="shared" si="55"/>
        <v>11.03.2020</v>
      </c>
      <c r="BH101" s="125">
        <f t="shared" si="56"/>
        <v>146791</v>
      </c>
      <c r="BI101">
        <f t="shared" si="57"/>
        <v>73395.5</v>
      </c>
      <c r="BJ101" s="136">
        <f t="shared" si="58"/>
        <v>220186.5</v>
      </c>
      <c r="BK101">
        <v>4445.2999999999993</v>
      </c>
      <c r="BL101">
        <v>0</v>
      </c>
      <c r="BM101">
        <v>0</v>
      </c>
      <c r="BN101">
        <v>0</v>
      </c>
      <c r="BO101" s="118" t="s">
        <v>167</v>
      </c>
      <c r="BP101">
        <f t="shared" si="59"/>
        <v>0</v>
      </c>
      <c r="BQ101" s="118" t="s">
        <v>167</v>
      </c>
      <c r="BR101">
        <f t="shared" si="60"/>
        <v>0</v>
      </c>
      <c r="BS101" s="118" t="s">
        <v>167</v>
      </c>
      <c r="BT101">
        <f t="shared" si="61"/>
        <v>0</v>
      </c>
      <c r="BW101" t="s">
        <v>181</v>
      </c>
      <c r="BX101">
        <v>20735.580000000002</v>
      </c>
      <c r="BY101">
        <v>20065.820766000001</v>
      </c>
      <c r="BZ101">
        <v>17424.769999999997</v>
      </c>
    </row>
    <row r="102" spans="1:78" ht="20.25" customHeight="1" outlineLevel="1" x14ac:dyDescent="0.25">
      <c r="A102" s="39">
        <v>97</v>
      </c>
      <c r="B102" s="26" t="s">
        <v>182</v>
      </c>
      <c r="C102" s="26" t="s">
        <v>183</v>
      </c>
      <c r="D102" s="34" t="str">
        <f t="shared" si="66"/>
        <v>P-320/2020 projekta "Ielu seguma atjaunošana" īstenošanai</v>
      </c>
      <c r="E102" s="34" t="str">
        <f t="shared" si="67"/>
        <v>17.09.2020</v>
      </c>
      <c r="F102" s="27">
        <v>38413</v>
      </c>
      <c r="G102" s="128">
        <f t="shared" si="69"/>
        <v>46040.4</v>
      </c>
      <c r="H102" s="128">
        <f>VLOOKUP(C102,$AE:$AF,2,0)</f>
        <v>44883.040000000001</v>
      </c>
      <c r="I102" s="128">
        <f>VLOOKUP($C102,$AI:$AJ,2,0)</f>
        <v>43777.31</v>
      </c>
      <c r="J102" s="128">
        <f>VLOOKUP($C102,$AM:$AN,2,0)</f>
        <v>42668.54</v>
      </c>
      <c r="K102" s="128">
        <f>VLOOKUP($C102,$AQ:$AR,2,0)</f>
        <v>41596.18</v>
      </c>
      <c r="L102" s="129">
        <f t="shared" si="64"/>
        <v>40252.623385999999</v>
      </c>
      <c r="M102" s="128">
        <f>VLOOKUP($C102,$AS:$AT,2,0)-40253</f>
        <v>365144.9</v>
      </c>
      <c r="N102" s="36">
        <f t="shared" si="50"/>
        <v>662775.99338600005</v>
      </c>
      <c r="Q102" t="str">
        <f t="shared" ref="Q102:Q133" si="70">VLOOKUP($C102,$U:$X,2,0)</f>
        <v>P-320/2020 projekta "Ielu seguma atjaunošana" īstenošanai</v>
      </c>
      <c r="R102" t="str">
        <f t="shared" ref="R102:R133" si="71">VLOOKUP($C102,$W:$X,2,0)</f>
        <v>17.09.2020</v>
      </c>
      <c r="U102" s="9" t="s">
        <v>89</v>
      </c>
      <c r="V102" s="9" t="s">
        <v>458</v>
      </c>
      <c r="W102" s="9" t="s">
        <v>89</v>
      </c>
      <c r="X102" s="13" t="s">
        <v>459</v>
      </c>
      <c r="Z102" s="1" t="s">
        <v>192</v>
      </c>
      <c r="AA102" s="1" t="s">
        <v>193</v>
      </c>
      <c r="AB102" s="2">
        <v>11019.2</v>
      </c>
      <c r="AD102" s="1" t="s">
        <v>204</v>
      </c>
      <c r="AE102" s="1" t="s">
        <v>205</v>
      </c>
      <c r="AF102" s="2">
        <v>18585.43</v>
      </c>
      <c r="AH102" s="1" t="s">
        <v>210</v>
      </c>
      <c r="AI102" s="1" t="s">
        <v>211</v>
      </c>
      <c r="AJ102" s="2">
        <v>34912.660000000003</v>
      </c>
      <c r="AL102" s="1" t="s">
        <v>220</v>
      </c>
      <c r="AM102" s="1" t="s">
        <v>221</v>
      </c>
      <c r="AN102" s="2">
        <v>17394.510000000002</v>
      </c>
      <c r="AP102" s="1" t="s">
        <v>234</v>
      </c>
      <c r="AQ102" s="1" t="s">
        <v>235</v>
      </c>
      <c r="AR102" s="2">
        <v>19456.82</v>
      </c>
      <c r="AS102" s="1" t="s">
        <v>235</v>
      </c>
      <c r="AT102" s="2">
        <v>135621.07999999999</v>
      </c>
      <c r="AV102" s="119" t="s">
        <v>184</v>
      </c>
      <c r="AW102" s="113">
        <v>1883.99</v>
      </c>
      <c r="AX102">
        <f t="shared" si="52"/>
        <v>941.995</v>
      </c>
      <c r="AY102" s="115" t="b">
        <f t="shared" si="51"/>
        <v>0</v>
      </c>
      <c r="AZ102">
        <v>8366.17</v>
      </c>
      <c r="BA102">
        <v>8106.3199999999988</v>
      </c>
      <c r="BB102">
        <v>7852.15</v>
      </c>
      <c r="BC102">
        <v>7597.2800000000007</v>
      </c>
      <c r="BD102" s="122" t="s">
        <v>184</v>
      </c>
      <c r="BE102" s="118" t="str">
        <f t="shared" si="53"/>
        <v>P-341/2020</v>
      </c>
      <c r="BF102" s="125" t="str">
        <f t="shared" si="54"/>
        <v>Projekta Skolas ielas pārbūve īstenošanai P-341/2020</v>
      </c>
      <c r="BG102" s="125" t="str">
        <f t="shared" si="55"/>
        <v>01.10.2020</v>
      </c>
      <c r="BH102" s="125">
        <f t="shared" si="56"/>
        <v>7019</v>
      </c>
      <c r="BI102">
        <f t="shared" si="57"/>
        <v>3509.5</v>
      </c>
      <c r="BJ102" s="136">
        <f t="shared" si="58"/>
        <v>10528.5</v>
      </c>
      <c r="BK102">
        <v>8366.17</v>
      </c>
      <c r="BL102">
        <v>8106.3199999999988</v>
      </c>
      <c r="BM102">
        <v>7852.15</v>
      </c>
      <c r="BN102">
        <v>7597.2800000000007</v>
      </c>
      <c r="BO102" s="118" t="s">
        <v>185</v>
      </c>
      <c r="BP102">
        <f t="shared" si="59"/>
        <v>7045.02</v>
      </c>
      <c r="BQ102" s="118" t="s">
        <v>185</v>
      </c>
      <c r="BR102">
        <f t="shared" si="60"/>
        <v>6817.465854</v>
      </c>
      <c r="BS102" s="118" t="s">
        <v>185</v>
      </c>
      <c r="BT102">
        <f t="shared" si="61"/>
        <v>35097.919999999998</v>
      </c>
      <c r="BW102" t="s">
        <v>183</v>
      </c>
      <c r="BX102">
        <v>41596.18</v>
      </c>
      <c r="BY102">
        <v>40252.623385999999</v>
      </c>
      <c r="BZ102">
        <v>365144.9</v>
      </c>
    </row>
    <row r="103" spans="1:78" ht="20.25" customHeight="1" outlineLevel="1" x14ac:dyDescent="0.25">
      <c r="A103" s="39">
        <v>98</v>
      </c>
      <c r="B103" s="26" t="s">
        <v>184</v>
      </c>
      <c r="C103" s="26" t="s">
        <v>185</v>
      </c>
      <c r="D103" s="28" t="s">
        <v>450</v>
      </c>
      <c r="E103" s="29" t="s">
        <v>451</v>
      </c>
      <c r="F103" s="27">
        <v>7019</v>
      </c>
      <c r="G103" s="128">
        <f t="shared" si="69"/>
        <v>7905.9699999999993</v>
      </c>
      <c r="H103" s="128">
        <f>VLOOKUP(C103,$AE:$AF,2,0)</f>
        <v>7685.74</v>
      </c>
      <c r="I103" s="128">
        <f>VLOOKUP($C103,$AI:$AJ,2,0)</f>
        <v>7471.2</v>
      </c>
      <c r="J103" s="128">
        <f>VLOOKUP($C103,$AM:$AN,2,0)</f>
        <v>7256.04</v>
      </c>
      <c r="K103" s="128">
        <f>VLOOKUP($C103,$AQ:$AR,2,0)</f>
        <v>7045.02</v>
      </c>
      <c r="L103" s="129">
        <f t="shared" si="64"/>
        <v>6817.465854</v>
      </c>
      <c r="M103" s="128">
        <f>VLOOKUP($C103,$AS:$AT,2,0)-6817</f>
        <v>35097.919999999998</v>
      </c>
      <c r="N103" s="36">
        <f t="shared" si="50"/>
        <v>86298.355853999994</v>
      </c>
      <c r="Q103" t="e">
        <f t="shared" si="70"/>
        <v>#N/A</v>
      </c>
      <c r="R103" t="e">
        <f t="shared" si="71"/>
        <v>#N/A</v>
      </c>
      <c r="U103" s="10" t="s">
        <v>83</v>
      </c>
      <c r="V103" s="9" t="s">
        <v>460</v>
      </c>
      <c r="W103" s="10" t="s">
        <v>83</v>
      </c>
      <c r="X103" s="13" t="s">
        <v>461</v>
      </c>
      <c r="Z103" s="1" t="s">
        <v>194</v>
      </c>
      <c r="AA103" s="1" t="s">
        <v>195</v>
      </c>
      <c r="AB103" s="2">
        <v>63358.34</v>
      </c>
      <c r="AD103" s="1" t="s">
        <v>206</v>
      </c>
      <c r="AE103" s="1" t="s">
        <v>207</v>
      </c>
      <c r="AF103" s="2">
        <v>20392.099999999999</v>
      </c>
      <c r="AH103" s="1" t="s">
        <v>212</v>
      </c>
      <c r="AI103" s="1" t="s">
        <v>213</v>
      </c>
      <c r="AJ103" s="2">
        <v>36505.99</v>
      </c>
      <c r="AL103" s="1" t="s">
        <v>222</v>
      </c>
      <c r="AM103" s="1" t="s">
        <v>223</v>
      </c>
      <c r="AN103" s="2">
        <v>463320.22</v>
      </c>
      <c r="AP103" s="1" t="s">
        <v>236</v>
      </c>
      <c r="AQ103" s="1" t="s">
        <v>237</v>
      </c>
      <c r="AR103" s="2">
        <v>68735.83</v>
      </c>
      <c r="AS103" s="1" t="s">
        <v>237</v>
      </c>
      <c r="AT103" s="2">
        <v>734557.44000000006</v>
      </c>
      <c r="AV103" s="119" t="s">
        <v>186</v>
      </c>
      <c r="AW103" s="113">
        <v>2296.0700000000002</v>
      </c>
      <c r="AX103">
        <f t="shared" si="52"/>
        <v>1148.0350000000001</v>
      </c>
      <c r="AY103" s="115" t="b">
        <f t="shared" si="51"/>
        <v>0</v>
      </c>
      <c r="AZ103">
        <v>9838.0700000000015</v>
      </c>
      <c r="BA103">
        <v>9538.9700000000012</v>
      </c>
      <c r="BB103">
        <v>9211.65</v>
      </c>
      <c r="BC103">
        <v>8883.44</v>
      </c>
      <c r="BD103" s="122" t="s">
        <v>186</v>
      </c>
      <c r="BE103" s="118" t="str">
        <f t="shared" si="53"/>
        <v>P-377/2020</v>
      </c>
      <c r="BF103" s="125" t="str">
        <f t="shared" si="54"/>
        <v>P-377/2020 projekta "Apvienotā gājēju un velosipēdistu ceļa jaunbūve Rīgas i.posmā no A.Kronvalda līdz Pētera ielai un Bērzaines ielas atjaunošana posmā no E.Dārziņa ielas līdz Gaujas ielai, Cēsīs, Cēsu novadā" īstenošanai</v>
      </c>
      <c r="BG103" s="125" t="str">
        <f t="shared" si="55"/>
        <v>16.10.2020</v>
      </c>
      <c r="BH103" s="125">
        <f t="shared" si="56"/>
        <v>8675</v>
      </c>
      <c r="BI103">
        <f t="shared" si="57"/>
        <v>4337.5</v>
      </c>
      <c r="BJ103" s="136">
        <f t="shared" si="58"/>
        <v>13012.5</v>
      </c>
      <c r="BK103">
        <v>9838.0700000000015</v>
      </c>
      <c r="BL103">
        <v>9538.9700000000012</v>
      </c>
      <c r="BM103">
        <v>9211.65</v>
      </c>
      <c r="BN103">
        <v>8883.44</v>
      </c>
      <c r="BO103" s="118" t="s">
        <v>187</v>
      </c>
      <c r="BP103">
        <f t="shared" si="59"/>
        <v>8322.01</v>
      </c>
      <c r="BQ103" s="118" t="s">
        <v>187</v>
      </c>
      <c r="BR103">
        <f t="shared" si="60"/>
        <v>8053.2090770000004</v>
      </c>
      <c r="BS103" s="118" t="s">
        <v>187</v>
      </c>
      <c r="BT103">
        <f t="shared" si="61"/>
        <v>20690.400000000001</v>
      </c>
      <c r="BW103" t="s">
        <v>185</v>
      </c>
      <c r="BX103">
        <v>7045.02</v>
      </c>
      <c r="BY103">
        <v>6817.465854</v>
      </c>
      <c r="BZ103">
        <v>35097.919999999998</v>
      </c>
    </row>
    <row r="104" spans="1:78" ht="20.25" customHeight="1" outlineLevel="1" x14ac:dyDescent="0.25">
      <c r="A104" s="39">
        <v>99</v>
      </c>
      <c r="B104" s="26" t="s">
        <v>186</v>
      </c>
      <c r="C104" s="26" t="s">
        <v>187</v>
      </c>
      <c r="D104" s="34" t="str">
        <f t="shared" ref="D104:D117" si="72">VLOOKUP($C104,$U:$X,2,0)</f>
        <v>P-377/2020 projekta "Apvienotā gājēju un velosipēdistu ceļa jaunbūve Rīgas i.posmā no A.Kronvalda līdz Pētera ielai un Bērzaines ielas atjaunošana posmā no E.Dārziņa ielas līdz Gaujas ielai, Cēsīs, Cēsu novadā" īstenošanai</v>
      </c>
      <c r="E104" s="34" t="str">
        <f t="shared" ref="E104:E117" si="73">VLOOKUP($C104,$W:$X,2,0)</f>
        <v>16.10.2020</v>
      </c>
      <c r="F104" s="27">
        <v>8675</v>
      </c>
      <c r="G104" s="128">
        <f t="shared" si="69"/>
        <v>9411.39</v>
      </c>
      <c r="H104" s="128">
        <f>VLOOKUP(C104,$AE:$AF,2,0)</f>
        <v>9146.06</v>
      </c>
      <c r="I104" s="128">
        <f>VLOOKUP($C104,$AI:$AJ,2,0)</f>
        <v>7048</v>
      </c>
      <c r="J104" s="128">
        <f>VLOOKUP($C104,$AM:$AN,2,0)</f>
        <v>8593.92</v>
      </c>
      <c r="K104" s="128">
        <f>VLOOKUP($C104,$AQ:$AR,2,0)</f>
        <v>8322.01</v>
      </c>
      <c r="L104" s="129">
        <f t="shared" si="64"/>
        <v>8053.2090770000004</v>
      </c>
      <c r="M104" s="128">
        <f>VLOOKUP($C104,$AS:$AT,2,0)-8053</f>
        <v>20690.400000000001</v>
      </c>
      <c r="N104" s="36">
        <f t="shared" si="50"/>
        <v>79939.989077000006</v>
      </c>
      <c r="Q104" t="str">
        <f t="shared" si="70"/>
        <v>P-377/2020 projekta "Apvienotā gājēju un velosipēdistu ceļa jaunbūve Rīgas i.posmā no A.Kronvalda līdz Pētera ielai un Bērzaines ielas atjaunošana posmā no E.Dārziņa ielas līdz Gaujas ielai, Cēsīs, Cēsu novadā" īstenošanai</v>
      </c>
      <c r="R104" t="str">
        <f t="shared" si="71"/>
        <v>16.10.2020</v>
      </c>
      <c r="U104" s="8" t="s">
        <v>67</v>
      </c>
      <c r="V104" s="9" t="s">
        <v>462</v>
      </c>
      <c r="W104" s="8" t="s">
        <v>67</v>
      </c>
      <c r="X104" s="13" t="s">
        <v>463</v>
      </c>
      <c r="Z104" s="1" t="s">
        <v>196</v>
      </c>
      <c r="AA104" s="1" t="s">
        <v>197</v>
      </c>
      <c r="AB104" s="2">
        <v>10699.24</v>
      </c>
      <c r="AD104" s="1" t="s">
        <v>208</v>
      </c>
      <c r="AE104" s="1" t="s">
        <v>209</v>
      </c>
      <c r="AF104" s="2">
        <v>52121.9</v>
      </c>
      <c r="AH104" s="1" t="s">
        <v>214</v>
      </c>
      <c r="AI104" s="1" t="s">
        <v>215</v>
      </c>
      <c r="AJ104" s="2">
        <v>38317.47</v>
      </c>
      <c r="AL104" s="1" t="s">
        <v>224</v>
      </c>
      <c r="AM104" s="1" t="s">
        <v>225</v>
      </c>
      <c r="AN104" s="2">
        <v>37498.009999999995</v>
      </c>
      <c r="AP104" s="1" t="s">
        <v>238</v>
      </c>
      <c r="AQ104" s="1" t="s">
        <v>239</v>
      </c>
      <c r="AR104" s="2">
        <v>19909.150000000001</v>
      </c>
      <c r="AS104" s="1" t="s">
        <v>239</v>
      </c>
      <c r="AT104" s="2">
        <v>73120.420000000013</v>
      </c>
      <c r="AV104" s="119" t="s">
        <v>188</v>
      </c>
      <c r="AW104" s="113">
        <v>10762.91</v>
      </c>
      <c r="AX104">
        <f t="shared" si="52"/>
        <v>5381.4549999999999</v>
      </c>
      <c r="AY104" s="115" t="b">
        <f t="shared" ref="AY104:AY135" si="74">B104=AV104</f>
        <v>0</v>
      </c>
      <c r="AZ104">
        <v>5.97</v>
      </c>
      <c r="BA104">
        <v>0</v>
      </c>
      <c r="BB104">
        <v>0</v>
      </c>
      <c r="BC104">
        <v>0</v>
      </c>
      <c r="BD104" s="122" t="s">
        <v>188</v>
      </c>
      <c r="BE104" s="118" t="str">
        <f t="shared" si="53"/>
        <v>P-394/2020</v>
      </c>
      <c r="BF104" s="125" t="str">
        <f t="shared" si="54"/>
        <v>Pašvaldības transporta infrastruktūras (ielas) attīstībai</v>
      </c>
      <c r="BG104" s="125" t="str">
        <f t="shared" si="55"/>
        <v>16.10.2020</v>
      </c>
      <c r="BH104" s="125">
        <f t="shared" si="56"/>
        <v>8675</v>
      </c>
      <c r="BI104">
        <f t="shared" si="57"/>
        <v>4337.5</v>
      </c>
      <c r="BJ104" s="136">
        <f t="shared" si="58"/>
        <v>13012.5</v>
      </c>
      <c r="BK104">
        <v>5.97</v>
      </c>
      <c r="BL104">
        <v>0</v>
      </c>
      <c r="BM104">
        <v>0</v>
      </c>
      <c r="BN104">
        <v>0</v>
      </c>
      <c r="BO104" s="118" t="s">
        <v>189</v>
      </c>
      <c r="BP104">
        <f t="shared" si="59"/>
        <v>0</v>
      </c>
      <c r="BQ104" s="118" t="s">
        <v>189</v>
      </c>
      <c r="BR104">
        <f t="shared" si="60"/>
        <v>0</v>
      </c>
      <c r="BS104" s="118" t="s">
        <v>189</v>
      </c>
      <c r="BT104">
        <f t="shared" si="61"/>
        <v>0</v>
      </c>
      <c r="BW104" t="s">
        <v>187</v>
      </c>
      <c r="BX104">
        <v>8322.01</v>
      </c>
      <c r="BY104">
        <v>8053.2090770000004</v>
      </c>
      <c r="BZ104">
        <v>20690.400000000001</v>
      </c>
    </row>
    <row r="105" spans="1:78" ht="20.25" customHeight="1" outlineLevel="1" x14ac:dyDescent="0.25">
      <c r="A105" s="39">
        <v>100</v>
      </c>
      <c r="B105" s="26" t="s">
        <v>188</v>
      </c>
      <c r="C105" s="26" t="s">
        <v>189</v>
      </c>
      <c r="D105" s="34" t="str">
        <f t="shared" si="72"/>
        <v>Pašvaldības transporta infrastruktūras (ielas) attīstībai</v>
      </c>
      <c r="E105" s="34" t="str">
        <f t="shared" si="73"/>
        <v>16.10.2020</v>
      </c>
      <c r="F105" s="27">
        <v>43058</v>
      </c>
      <c r="G105" s="128">
        <f t="shared" si="69"/>
        <v>5.97</v>
      </c>
      <c r="H105" s="128">
        <v>0</v>
      </c>
      <c r="I105" s="128">
        <v>0</v>
      </c>
      <c r="J105" s="128">
        <v>0</v>
      </c>
      <c r="K105" s="128">
        <v>0</v>
      </c>
      <c r="L105" s="129">
        <f t="shared" si="64"/>
        <v>0</v>
      </c>
      <c r="M105" s="128">
        <v>0</v>
      </c>
      <c r="N105" s="36">
        <f t="shared" si="50"/>
        <v>43063.97</v>
      </c>
      <c r="Q105" t="str">
        <f t="shared" si="70"/>
        <v>Pašvaldības transporta infrastruktūras (ielas) attīstībai</v>
      </c>
      <c r="R105" t="str">
        <f t="shared" si="71"/>
        <v>16.10.2020</v>
      </c>
      <c r="U105" s="9" t="s">
        <v>85</v>
      </c>
      <c r="V105" s="9" t="s">
        <v>464</v>
      </c>
      <c r="W105" s="9" t="s">
        <v>85</v>
      </c>
      <c r="X105" s="13" t="s">
        <v>461</v>
      </c>
      <c r="Z105" s="1" t="s">
        <v>198</v>
      </c>
      <c r="AA105" s="1" t="s">
        <v>199</v>
      </c>
      <c r="AB105" s="2">
        <v>212030.66</v>
      </c>
      <c r="AD105" s="1" t="s">
        <v>210</v>
      </c>
      <c r="AE105" s="1" t="s">
        <v>211</v>
      </c>
      <c r="AF105" s="2">
        <v>36000.61</v>
      </c>
      <c r="AH105" s="1" t="s">
        <v>218</v>
      </c>
      <c r="AI105" s="1" t="s">
        <v>219</v>
      </c>
      <c r="AJ105" s="2">
        <v>10273.49</v>
      </c>
      <c r="AL105" s="1" t="s">
        <v>228</v>
      </c>
      <c r="AM105" s="1" t="s">
        <v>229</v>
      </c>
      <c r="AN105" s="2">
        <v>23431.919999999998</v>
      </c>
      <c r="AP105" s="1" t="s">
        <v>240</v>
      </c>
      <c r="AQ105" s="1" t="s">
        <v>241</v>
      </c>
      <c r="AR105" s="2">
        <v>70917.820000000007</v>
      </c>
      <c r="AS105" s="1" t="s">
        <v>241</v>
      </c>
      <c r="AT105" s="2">
        <v>483191.2099999999</v>
      </c>
      <c r="AV105" s="119" t="s">
        <v>190</v>
      </c>
      <c r="AW105" s="113">
        <v>11630.36</v>
      </c>
      <c r="AX105">
        <f t="shared" si="52"/>
        <v>5815.18</v>
      </c>
      <c r="AY105" s="115" t="b">
        <f t="shared" si="74"/>
        <v>0</v>
      </c>
      <c r="AZ105">
        <v>46445.34</v>
      </c>
      <c r="BA105">
        <v>46327.630000000005</v>
      </c>
      <c r="BB105">
        <v>46211.29</v>
      </c>
      <c r="BC105">
        <v>46094.619999999995</v>
      </c>
      <c r="BD105" s="122" t="s">
        <v>190</v>
      </c>
      <c r="BE105" s="118" t="str">
        <f t="shared" si="53"/>
        <v>P-418/2020</v>
      </c>
      <c r="BF105" s="125" t="str">
        <f t="shared" si="54"/>
        <v>P-418/2020 IP Satiksmes drošības uzlabošana Līvu cioemā, Drabešu pagastā, Amatas novadā</v>
      </c>
      <c r="BG105" s="125" t="str">
        <f t="shared" si="55"/>
        <v>28.10.2020</v>
      </c>
      <c r="BH105" s="125">
        <f t="shared" si="56"/>
        <v>46407</v>
      </c>
      <c r="BI105">
        <f t="shared" si="57"/>
        <v>23203.5</v>
      </c>
      <c r="BJ105" s="136">
        <f t="shared" si="58"/>
        <v>69610.5</v>
      </c>
      <c r="BK105">
        <v>46445.34</v>
      </c>
      <c r="BL105">
        <v>46327.630000000005</v>
      </c>
      <c r="BM105">
        <v>46211.29</v>
      </c>
      <c r="BN105">
        <v>46094.619999999995</v>
      </c>
      <c r="BO105" s="118" t="s">
        <v>191</v>
      </c>
      <c r="BP105">
        <f t="shared" si="59"/>
        <v>0</v>
      </c>
      <c r="BQ105" s="118" t="s">
        <v>191</v>
      </c>
      <c r="BR105">
        <f t="shared" si="60"/>
        <v>0</v>
      </c>
      <c r="BS105" s="118" t="s">
        <v>191</v>
      </c>
      <c r="BT105">
        <f t="shared" si="61"/>
        <v>0</v>
      </c>
      <c r="BW105" t="s">
        <v>189</v>
      </c>
      <c r="BX105">
        <v>0</v>
      </c>
      <c r="BY105">
        <v>0</v>
      </c>
      <c r="BZ105">
        <v>0</v>
      </c>
    </row>
    <row r="106" spans="1:78" ht="20.25" customHeight="1" outlineLevel="1" x14ac:dyDescent="0.25">
      <c r="A106" s="39">
        <v>101</v>
      </c>
      <c r="B106" s="26" t="s">
        <v>190</v>
      </c>
      <c r="C106" s="26" t="s">
        <v>191</v>
      </c>
      <c r="D106" s="34" t="str">
        <f t="shared" si="72"/>
        <v>P-418/2020 IP Satiksmes drošības uzlabošana Līvu cioemā, Drabešu pagastā, Amatas novadā</v>
      </c>
      <c r="E106" s="34" t="str">
        <f t="shared" si="73"/>
        <v>28.10.2020</v>
      </c>
      <c r="F106" s="27">
        <v>46407</v>
      </c>
      <c r="G106" s="128">
        <f t="shared" si="69"/>
        <v>46445.34</v>
      </c>
      <c r="H106" s="128">
        <f>VLOOKUP(C106,$AE:$AF,2,0)</f>
        <v>46327.63</v>
      </c>
      <c r="I106" s="128">
        <f>VLOOKUP($C106,$AI:$AJ,2,0)</f>
        <v>46211.29</v>
      </c>
      <c r="J106" s="128">
        <f>VLOOKUP($C106,$AM:$AN,2,0)</f>
        <v>46094.62</v>
      </c>
      <c r="K106" s="128">
        <v>0</v>
      </c>
      <c r="L106" s="129">
        <f t="shared" si="64"/>
        <v>0</v>
      </c>
      <c r="M106" s="128">
        <v>0</v>
      </c>
      <c r="N106" s="36">
        <f t="shared" si="50"/>
        <v>231485.88</v>
      </c>
      <c r="Q106" t="str">
        <f t="shared" si="70"/>
        <v>P-418/2020 IP Satiksmes drošības uzlabošana Līvu cioemā, Drabešu pagastā, Amatas novadā</v>
      </c>
      <c r="R106" t="str">
        <f t="shared" si="71"/>
        <v>28.10.2020</v>
      </c>
      <c r="U106" s="8" t="s">
        <v>69</v>
      </c>
      <c r="V106" s="9" t="s">
        <v>465</v>
      </c>
      <c r="W106" s="8" t="s">
        <v>69</v>
      </c>
      <c r="X106" s="13" t="s">
        <v>466</v>
      </c>
      <c r="Z106" s="1" t="s">
        <v>200</v>
      </c>
      <c r="AA106" s="1" t="s">
        <v>201</v>
      </c>
      <c r="AB106" s="2">
        <v>189965.56000000003</v>
      </c>
      <c r="AD106" s="1" t="s">
        <v>212</v>
      </c>
      <c r="AE106" s="1" t="s">
        <v>213</v>
      </c>
      <c r="AF106" s="2">
        <v>37583.74</v>
      </c>
      <c r="AH106" s="1" t="s">
        <v>220</v>
      </c>
      <c r="AI106" s="1" t="s">
        <v>221</v>
      </c>
      <c r="AJ106" s="2">
        <v>17938.53</v>
      </c>
      <c r="AL106" s="1" t="s">
        <v>230</v>
      </c>
      <c r="AM106" s="1" t="s">
        <v>231</v>
      </c>
      <c r="AN106" s="2">
        <v>41454.93</v>
      </c>
      <c r="AP106" s="1" t="s">
        <v>242</v>
      </c>
      <c r="AQ106" s="1" t="s">
        <v>243</v>
      </c>
      <c r="AR106" s="2">
        <v>23834.559999999998</v>
      </c>
      <c r="AS106" s="1" t="s">
        <v>243</v>
      </c>
      <c r="AT106" s="2">
        <v>110012.95000000001</v>
      </c>
      <c r="AV106" s="119" t="s">
        <v>192</v>
      </c>
      <c r="AW106" s="113">
        <v>2733.74</v>
      </c>
      <c r="AX106">
        <f t="shared" si="52"/>
        <v>1366.87</v>
      </c>
      <c r="AY106" s="115" t="b">
        <f t="shared" si="74"/>
        <v>0</v>
      </c>
      <c r="AZ106">
        <v>11444.470000000001</v>
      </c>
      <c r="BA106">
        <v>11226.13</v>
      </c>
      <c r="BB106">
        <v>10844.98</v>
      </c>
      <c r="BC106">
        <v>10462.779999999999</v>
      </c>
      <c r="BD106" s="122" t="s">
        <v>192</v>
      </c>
      <c r="BE106" s="118" t="str">
        <f t="shared" si="53"/>
        <v>P-476/2020</v>
      </c>
      <c r="BF106" s="125" t="str">
        <f t="shared" si="54"/>
        <v>P-476/2020 projekta "Vilku ielas pārbūve posmā no Vilku ielas 5 līdz Saules ielai, Cēsīs, Cēsu novadā" īstenošanai</v>
      </c>
      <c r="BG106" s="125" t="str">
        <f t="shared" si="55"/>
        <v>09.12.2020</v>
      </c>
      <c r="BH106" s="125">
        <f t="shared" si="56"/>
        <v>10305</v>
      </c>
      <c r="BI106">
        <f t="shared" si="57"/>
        <v>5152.5</v>
      </c>
      <c r="BJ106" s="136">
        <f t="shared" si="58"/>
        <v>15457.5</v>
      </c>
      <c r="BK106">
        <v>11444.470000000001</v>
      </c>
      <c r="BL106">
        <v>11226.13</v>
      </c>
      <c r="BM106">
        <v>10844.98</v>
      </c>
      <c r="BN106">
        <v>10462.779999999999</v>
      </c>
      <c r="BO106" s="118" t="s">
        <v>193</v>
      </c>
      <c r="BP106">
        <f t="shared" si="59"/>
        <v>9799.14</v>
      </c>
      <c r="BQ106" s="118" t="s">
        <v>193</v>
      </c>
      <c r="BR106">
        <f t="shared" si="60"/>
        <v>9482.627778</v>
      </c>
      <c r="BS106" s="118" t="s">
        <v>193</v>
      </c>
      <c r="BT106">
        <f t="shared" si="61"/>
        <v>24786.28</v>
      </c>
      <c r="BW106" t="s">
        <v>191</v>
      </c>
      <c r="BX106">
        <v>0</v>
      </c>
      <c r="BY106">
        <v>0</v>
      </c>
      <c r="BZ106">
        <v>0</v>
      </c>
    </row>
    <row r="107" spans="1:78" ht="20.25" customHeight="1" outlineLevel="1" x14ac:dyDescent="0.25">
      <c r="A107" s="39">
        <v>102</v>
      </c>
      <c r="B107" s="26" t="s">
        <v>192</v>
      </c>
      <c r="C107" s="26" t="s">
        <v>193</v>
      </c>
      <c r="D107" s="34" t="str">
        <f t="shared" si="72"/>
        <v>P-476/2020 projekta "Vilku ielas pārbūve posmā no Vilku ielas 5 līdz Saules ielai, Cēsīs, Cēsu novadā" īstenošanai</v>
      </c>
      <c r="E107" s="34" t="str">
        <f t="shared" si="73"/>
        <v>09.12.2020</v>
      </c>
      <c r="F107" s="27">
        <v>10305</v>
      </c>
      <c r="G107" s="128">
        <f t="shared" si="69"/>
        <v>11019.2</v>
      </c>
      <c r="H107" s="128">
        <f>VLOOKUP(C107,$AE:$AF,2,0)</f>
        <v>10758.52</v>
      </c>
      <c r="I107" s="128">
        <f>VLOOKUP($C107,$AI:$AJ,2,0)</f>
        <v>10438.119999999999</v>
      </c>
      <c r="J107" s="128">
        <f>VLOOKUP($C107,$AM:$AN,2,0)</f>
        <v>10116.83</v>
      </c>
      <c r="K107" s="128">
        <f>VLOOKUP($C107,$AQ:$AR,2,0)</f>
        <v>9799.14</v>
      </c>
      <c r="L107" s="129">
        <f t="shared" si="64"/>
        <v>9482.627778</v>
      </c>
      <c r="M107" s="128">
        <f>VLOOKUP($C107,$AS:$AT,2,0)-9843</f>
        <v>24786.28</v>
      </c>
      <c r="N107" s="36">
        <f t="shared" si="50"/>
        <v>96705.717777999991</v>
      </c>
      <c r="Q107" t="str">
        <f t="shared" si="70"/>
        <v>P-476/2020 projekta "Vilku ielas pārbūve posmā no Vilku ielas 5 līdz Saules ielai, Cēsīs, Cēsu novadā" īstenošanai</v>
      </c>
      <c r="R107" t="str">
        <f t="shared" si="71"/>
        <v>09.12.2020</v>
      </c>
      <c r="U107" s="8" t="s">
        <v>265</v>
      </c>
      <c r="V107" s="9" t="s">
        <v>467</v>
      </c>
      <c r="W107" s="8" t="s">
        <v>265</v>
      </c>
      <c r="X107" s="13" t="s">
        <v>468</v>
      </c>
      <c r="Z107" s="1" t="s">
        <v>202</v>
      </c>
      <c r="AA107" s="1" t="s">
        <v>203</v>
      </c>
      <c r="AB107" s="2">
        <v>58151.08</v>
      </c>
      <c r="AD107" s="1" t="s">
        <v>214</v>
      </c>
      <c r="AE107" s="1" t="s">
        <v>215</v>
      </c>
      <c r="AF107" s="2">
        <v>39365.64</v>
      </c>
      <c r="AH107" s="1" t="s">
        <v>222</v>
      </c>
      <c r="AI107" s="1" t="s">
        <v>223</v>
      </c>
      <c r="AJ107" s="2">
        <v>473691.3</v>
      </c>
      <c r="AL107" s="1" t="s">
        <v>232</v>
      </c>
      <c r="AM107" s="1" t="s">
        <v>233</v>
      </c>
      <c r="AN107" s="2">
        <v>32762.29</v>
      </c>
      <c r="AP107" s="1" t="s">
        <v>244</v>
      </c>
      <c r="AQ107" s="1" t="s">
        <v>245</v>
      </c>
      <c r="AR107" s="2">
        <v>26727.85</v>
      </c>
      <c r="AS107" s="1" t="s">
        <v>245</v>
      </c>
      <c r="AT107" s="2">
        <v>37694.31</v>
      </c>
      <c r="AV107" s="119" t="s">
        <v>194</v>
      </c>
      <c r="AW107" s="113">
        <v>15710.66</v>
      </c>
      <c r="AX107">
        <f t="shared" si="52"/>
        <v>7855.33</v>
      </c>
      <c r="AY107" s="115" t="b">
        <f t="shared" si="74"/>
        <v>0</v>
      </c>
      <c r="AZ107">
        <v>65874.789999999994</v>
      </c>
      <c r="BA107">
        <v>64688.01</v>
      </c>
      <c r="BB107">
        <v>62507.42</v>
      </c>
      <c r="BC107">
        <v>60320.82</v>
      </c>
      <c r="BD107" s="122" t="s">
        <v>194</v>
      </c>
      <c r="BE107" s="118" t="str">
        <f t="shared" si="53"/>
        <v>P-489/2020</v>
      </c>
      <c r="BF107" s="125" t="str">
        <f t="shared" si="54"/>
        <v>P-489/2020 ERAF projekta(Nr.9.3.1.1/18/I/006)"Daudzfunkcionālais sociālo pakalpojumu centrs "Cēsis"" īstenošanai</v>
      </c>
      <c r="BG107" s="125" t="str">
        <f t="shared" si="55"/>
        <v>11.12.2020</v>
      </c>
      <c r="BH107" s="125">
        <f t="shared" si="56"/>
        <v>59024</v>
      </c>
      <c r="BI107">
        <f t="shared" si="57"/>
        <v>29512</v>
      </c>
      <c r="BJ107" s="136">
        <f t="shared" si="58"/>
        <v>88536</v>
      </c>
      <c r="BK107">
        <v>65874.789999999994</v>
      </c>
      <c r="BL107">
        <v>64688.01</v>
      </c>
      <c r="BM107">
        <v>62507.42</v>
      </c>
      <c r="BN107">
        <v>60320.82</v>
      </c>
      <c r="BO107" s="118" t="s">
        <v>195</v>
      </c>
      <c r="BP107">
        <f t="shared" si="59"/>
        <v>56386.2</v>
      </c>
      <c r="BQ107" s="118" t="s">
        <v>195</v>
      </c>
      <c r="BR107">
        <f t="shared" si="60"/>
        <v>54564.925739999999</v>
      </c>
      <c r="BS107" s="118" t="s">
        <v>195</v>
      </c>
      <c r="BT107">
        <f t="shared" si="61"/>
        <v>166919.13999999996</v>
      </c>
      <c r="BW107" t="s">
        <v>193</v>
      </c>
      <c r="BX107">
        <v>9799.14</v>
      </c>
      <c r="BY107">
        <v>9482.627778</v>
      </c>
      <c r="BZ107">
        <v>24786.28</v>
      </c>
    </row>
    <row r="108" spans="1:78" ht="20.25" customHeight="1" outlineLevel="1" x14ac:dyDescent="0.25">
      <c r="A108" s="39">
        <v>103</v>
      </c>
      <c r="B108" s="26" t="s">
        <v>194</v>
      </c>
      <c r="C108" s="26" t="s">
        <v>195</v>
      </c>
      <c r="D108" s="34" t="str">
        <f t="shared" si="72"/>
        <v>P-489/2020 ERAF projekta(Nr.9.3.1.1/18/I/006)"Daudzfunkcionālais sociālo pakalpojumu centrs "Cēsis"" īstenošanai</v>
      </c>
      <c r="E108" s="34" t="str">
        <f t="shared" si="73"/>
        <v>11.12.2020</v>
      </c>
      <c r="F108" s="27">
        <v>59024</v>
      </c>
      <c r="G108" s="128">
        <f t="shared" si="69"/>
        <v>63358.34</v>
      </c>
      <c r="H108" s="128">
        <f>VLOOKUP(C108,$AE:$AF,2,0)</f>
        <v>61884.65</v>
      </c>
      <c r="I108" s="128">
        <f>VLOOKUP($C108,$AI:$AJ,2,0)</f>
        <v>60047.55</v>
      </c>
      <c r="J108" s="128">
        <f>VLOOKUP($C108,$AM:$AN,2,0)</f>
        <v>58205.4</v>
      </c>
      <c r="K108" s="128">
        <f>VLOOKUP($C108,$AQ:$AR,2,0)</f>
        <v>56386.2</v>
      </c>
      <c r="L108" s="129">
        <f t="shared" si="64"/>
        <v>54564.925739999999</v>
      </c>
      <c r="M108" s="128">
        <f>VLOOKUP($C108,$AS:$AT,2,0)-54565</f>
        <v>166919.13999999996</v>
      </c>
      <c r="N108" s="36">
        <f t="shared" si="50"/>
        <v>580390.20573999989</v>
      </c>
      <c r="Q108" t="str">
        <f t="shared" si="70"/>
        <v>P-489/2020 ERAF projekta(Nr.9.3.1.1/18/I/006)"Daudzfunkcionālais sociālo pakalpojumu centrs "Cēsis"" īstenošanai</v>
      </c>
      <c r="R108" t="str">
        <f t="shared" si="71"/>
        <v>11.12.2020</v>
      </c>
      <c r="U108" s="9" t="s">
        <v>159</v>
      </c>
      <c r="V108" s="9" t="s">
        <v>469</v>
      </c>
      <c r="W108" s="9" t="s">
        <v>159</v>
      </c>
      <c r="X108" s="13" t="s">
        <v>470</v>
      </c>
      <c r="Z108" s="1" t="s">
        <v>204</v>
      </c>
      <c r="AA108" s="1" t="s">
        <v>205</v>
      </c>
      <c r="AB108" s="2">
        <v>19079.84</v>
      </c>
      <c r="AD108" s="1" t="s">
        <v>218</v>
      </c>
      <c r="AE108" s="1" t="s">
        <v>219</v>
      </c>
      <c r="AF108" s="2">
        <v>10591.84</v>
      </c>
      <c r="AH108" s="1" t="s">
        <v>224</v>
      </c>
      <c r="AI108" s="1" t="s">
        <v>225</v>
      </c>
      <c r="AJ108" s="2">
        <v>38548.65</v>
      </c>
      <c r="AL108" s="1" t="s">
        <v>234</v>
      </c>
      <c r="AM108" s="1" t="s">
        <v>235</v>
      </c>
      <c r="AN108" s="2">
        <v>19998.690000000002</v>
      </c>
      <c r="AP108" s="1" t="s">
        <v>246</v>
      </c>
      <c r="AQ108" s="1" t="s">
        <v>247</v>
      </c>
      <c r="AR108" s="2">
        <v>10581.31</v>
      </c>
      <c r="AS108" s="1" t="s">
        <v>247</v>
      </c>
      <c r="AT108" s="2">
        <v>53186.210000000006</v>
      </c>
      <c r="AV108" s="119" t="s">
        <v>196</v>
      </c>
      <c r="AW108" s="113">
        <v>6267.33</v>
      </c>
      <c r="AX108">
        <f t="shared" si="52"/>
        <v>3133.665</v>
      </c>
      <c r="AY108" s="115" t="b">
        <f t="shared" si="74"/>
        <v>0</v>
      </c>
      <c r="AZ108">
        <v>10699.239999999998</v>
      </c>
      <c r="BA108">
        <v>0</v>
      </c>
      <c r="BB108">
        <v>0</v>
      </c>
      <c r="BC108">
        <v>0</v>
      </c>
      <c r="BD108" s="122" t="s">
        <v>196</v>
      </c>
      <c r="BE108" s="118" t="str">
        <f t="shared" si="53"/>
        <v>P-504/2020</v>
      </c>
      <c r="BF108" s="125" t="str">
        <f t="shared" si="54"/>
        <v>Pāvila Rozīša ielas atjaunošana Priekuļu novada Liepas pagastā</v>
      </c>
      <c r="BG108" s="125" t="str">
        <f t="shared" si="55"/>
        <v>17.12.2020</v>
      </c>
      <c r="BH108" s="125">
        <f t="shared" si="56"/>
        <v>25066</v>
      </c>
      <c r="BI108">
        <f t="shared" si="57"/>
        <v>12533</v>
      </c>
      <c r="BJ108" s="136">
        <f t="shared" si="58"/>
        <v>37599</v>
      </c>
      <c r="BK108">
        <v>10699.239999999998</v>
      </c>
      <c r="BL108">
        <v>0</v>
      </c>
      <c r="BM108">
        <v>0</v>
      </c>
      <c r="BN108">
        <v>0</v>
      </c>
      <c r="BO108" s="118" t="s">
        <v>197</v>
      </c>
      <c r="BP108">
        <f t="shared" si="59"/>
        <v>0</v>
      </c>
      <c r="BQ108" s="118" t="s">
        <v>197</v>
      </c>
      <c r="BR108">
        <f t="shared" si="60"/>
        <v>0</v>
      </c>
      <c r="BS108" s="118" t="s">
        <v>197</v>
      </c>
      <c r="BT108">
        <f t="shared" si="61"/>
        <v>0</v>
      </c>
      <c r="BW108" t="s">
        <v>195</v>
      </c>
      <c r="BX108">
        <v>56386.2</v>
      </c>
      <c r="BY108">
        <v>54564.925739999999</v>
      </c>
      <c r="BZ108">
        <v>166919.13999999996</v>
      </c>
    </row>
    <row r="109" spans="1:78" ht="20.25" customHeight="1" outlineLevel="1" x14ac:dyDescent="0.25">
      <c r="A109" s="39">
        <v>104</v>
      </c>
      <c r="B109" s="26" t="s">
        <v>196</v>
      </c>
      <c r="C109" s="26" t="s">
        <v>197</v>
      </c>
      <c r="D109" s="34" t="str">
        <f t="shared" si="72"/>
        <v>Pāvila Rozīša ielas atjaunošana Priekuļu novada Liepas pagastā</v>
      </c>
      <c r="E109" s="34" t="str">
        <f t="shared" si="73"/>
        <v>17.12.2020</v>
      </c>
      <c r="F109" s="27">
        <v>25066</v>
      </c>
      <c r="G109" s="128">
        <f t="shared" si="69"/>
        <v>10699.24</v>
      </c>
      <c r="H109" s="128">
        <v>0</v>
      </c>
      <c r="I109" s="128">
        <v>0</v>
      </c>
      <c r="J109" s="128">
        <v>0</v>
      </c>
      <c r="K109" s="128">
        <v>0</v>
      </c>
      <c r="L109" s="129">
        <f t="shared" si="64"/>
        <v>0</v>
      </c>
      <c r="M109" s="128">
        <v>0</v>
      </c>
      <c r="N109" s="36">
        <f t="shared" si="50"/>
        <v>35765.24</v>
      </c>
      <c r="Q109" t="str">
        <f t="shared" si="70"/>
        <v>Pāvila Rozīša ielas atjaunošana Priekuļu novada Liepas pagastā</v>
      </c>
      <c r="R109" t="str">
        <f t="shared" si="71"/>
        <v>17.12.2020</v>
      </c>
      <c r="U109" s="9" t="s">
        <v>127</v>
      </c>
      <c r="V109" s="9" t="s">
        <v>471</v>
      </c>
      <c r="W109" s="9" t="s">
        <v>127</v>
      </c>
      <c r="X109" s="13" t="s">
        <v>472</v>
      </c>
      <c r="Z109" s="1" t="s">
        <v>206</v>
      </c>
      <c r="AA109" s="1" t="s">
        <v>207</v>
      </c>
      <c r="AB109" s="2">
        <v>20956.68</v>
      </c>
      <c r="AD109" s="1" t="s">
        <v>220</v>
      </c>
      <c r="AE109" s="1" t="s">
        <v>221</v>
      </c>
      <c r="AF109" s="2">
        <v>18481.02</v>
      </c>
      <c r="AH109" s="1" t="s">
        <v>228</v>
      </c>
      <c r="AI109" s="1" t="s">
        <v>229</v>
      </c>
      <c r="AJ109" s="2">
        <v>24170.440000000002</v>
      </c>
      <c r="AL109" s="1" t="s">
        <v>236</v>
      </c>
      <c r="AM109" s="1" t="s">
        <v>237</v>
      </c>
      <c r="AN109" s="2">
        <v>70413.16</v>
      </c>
      <c r="AP109" s="1" t="s">
        <v>248</v>
      </c>
      <c r="AQ109" s="1" t="s">
        <v>249</v>
      </c>
      <c r="AR109" s="2">
        <v>24671.43</v>
      </c>
      <c r="AS109" s="1" t="s">
        <v>249</v>
      </c>
      <c r="AT109" s="2">
        <v>124885.11000000002</v>
      </c>
      <c r="AV109" s="119" t="s">
        <v>198</v>
      </c>
      <c r="AW109" s="113">
        <v>56917.27</v>
      </c>
      <c r="AX109">
        <f t="shared" si="52"/>
        <v>28458.634999999998</v>
      </c>
      <c r="AY109" s="115" t="b">
        <f t="shared" si="74"/>
        <v>0</v>
      </c>
      <c r="AZ109">
        <v>215119.43</v>
      </c>
      <c r="BA109">
        <v>138912.95999999999</v>
      </c>
      <c r="BB109">
        <v>111352.05</v>
      </c>
      <c r="BC109">
        <v>74238.91</v>
      </c>
      <c r="BD109" s="122" t="s">
        <v>198</v>
      </c>
      <c r="BE109" s="118" t="str">
        <f t="shared" si="53"/>
        <v>PP-7/2021</v>
      </c>
      <c r="BF109" s="125" t="str">
        <f t="shared" si="54"/>
        <v>PP-7/2021 Investīciju projektu īstenošanai (saistību pārjaunojums)</v>
      </c>
      <c r="BG109" s="125" t="str">
        <f t="shared" si="55"/>
        <v>29.03.2021</v>
      </c>
      <c r="BH109" s="125">
        <f t="shared" si="56"/>
        <v>215127</v>
      </c>
      <c r="BI109">
        <f t="shared" si="57"/>
        <v>107563.5</v>
      </c>
      <c r="BJ109" s="136">
        <f t="shared" si="58"/>
        <v>322690.5</v>
      </c>
      <c r="BK109">
        <v>215119.43</v>
      </c>
      <c r="BL109">
        <v>138912.95999999999</v>
      </c>
      <c r="BM109">
        <v>111352.05</v>
      </c>
      <c r="BN109">
        <v>74238.91</v>
      </c>
      <c r="BO109" s="118" t="s">
        <v>199</v>
      </c>
      <c r="BP109">
        <f t="shared" si="59"/>
        <v>45115.68</v>
      </c>
      <c r="BQ109" s="118" t="s">
        <v>199</v>
      </c>
      <c r="BR109">
        <f t="shared" si="60"/>
        <v>10718</v>
      </c>
      <c r="BS109" s="118" t="s">
        <v>199</v>
      </c>
      <c r="BT109">
        <f t="shared" si="61"/>
        <v>0</v>
      </c>
      <c r="BW109" t="s">
        <v>197</v>
      </c>
      <c r="BX109">
        <v>0</v>
      </c>
      <c r="BY109">
        <v>0</v>
      </c>
      <c r="BZ109">
        <v>0</v>
      </c>
    </row>
    <row r="110" spans="1:78" ht="20.25" customHeight="1" outlineLevel="1" x14ac:dyDescent="0.25">
      <c r="A110" s="39">
        <v>105</v>
      </c>
      <c r="B110" s="26" t="s">
        <v>198</v>
      </c>
      <c r="C110" s="26" t="s">
        <v>199</v>
      </c>
      <c r="D110" s="34" t="str">
        <f t="shared" si="72"/>
        <v>PP-7/2021 Investīciju projektu īstenošanai (saistību pārjaunojums)</v>
      </c>
      <c r="E110" s="34" t="str">
        <f t="shared" si="73"/>
        <v>29.03.2021</v>
      </c>
      <c r="F110" s="27">
        <v>215127</v>
      </c>
      <c r="G110" s="128">
        <f t="shared" si="69"/>
        <v>212030.66</v>
      </c>
      <c r="H110" s="128">
        <f t="shared" ref="H110:H118" si="75">VLOOKUP(C110,$AE:$AF,2,0)</f>
        <v>136289.44</v>
      </c>
      <c r="I110" s="128">
        <f t="shared" ref="I110:I118" si="76">VLOOKUP($C110,$AI:$AJ,2,0)</f>
        <v>109696.33</v>
      </c>
      <c r="J110" s="128">
        <f t="shared" ref="J110:J118" si="77">VLOOKUP($C110,$AM:$AN,2,0)</f>
        <v>73341.709999999992</v>
      </c>
      <c r="K110" s="128">
        <f t="shared" ref="K110:K118" si="78">VLOOKUP($C110,$AQ:$AR,2,0)</f>
        <v>45115.68</v>
      </c>
      <c r="L110" s="129">
        <v>10718</v>
      </c>
      <c r="M110" s="128">
        <v>0</v>
      </c>
      <c r="N110" s="36">
        <f t="shared" si="50"/>
        <v>802318.82000000007</v>
      </c>
      <c r="Q110" t="str">
        <f t="shared" si="70"/>
        <v>PP-7/2021 Investīciju projektu īstenošanai (saistību pārjaunojums)</v>
      </c>
      <c r="R110" t="str">
        <f t="shared" si="71"/>
        <v>29.03.2021</v>
      </c>
      <c r="U110" s="9" t="s">
        <v>121</v>
      </c>
      <c r="V110" s="9" t="s">
        <v>473</v>
      </c>
      <c r="W110" s="9" t="s">
        <v>121</v>
      </c>
      <c r="X110" s="13" t="s">
        <v>474</v>
      </c>
      <c r="Z110" s="1" t="s">
        <v>208</v>
      </c>
      <c r="AA110" s="1" t="s">
        <v>209</v>
      </c>
      <c r="AB110" s="2">
        <v>53730.520000000004</v>
      </c>
      <c r="AD110" s="1" t="s">
        <v>222</v>
      </c>
      <c r="AE110" s="1" t="s">
        <v>223</v>
      </c>
      <c r="AF110" s="2">
        <v>484034.02</v>
      </c>
      <c r="AH110" s="1" t="s">
        <v>230</v>
      </c>
      <c r="AI110" s="1" t="s">
        <v>231</v>
      </c>
      <c r="AJ110" s="2">
        <v>42604.11</v>
      </c>
      <c r="AL110" s="1" t="s">
        <v>238</v>
      </c>
      <c r="AM110" s="1" t="s">
        <v>239</v>
      </c>
      <c r="AN110" s="2">
        <v>20552.88</v>
      </c>
      <c r="AP110" s="1" t="s">
        <v>250</v>
      </c>
      <c r="AQ110" s="1" t="s">
        <v>251</v>
      </c>
      <c r="AR110" s="2">
        <v>19401.11</v>
      </c>
      <c r="AS110" s="1" t="s">
        <v>251</v>
      </c>
      <c r="AT110" s="2">
        <v>98207</v>
      </c>
      <c r="AV110" s="119" t="s">
        <v>202</v>
      </c>
      <c r="AW110" s="113">
        <v>14573.16</v>
      </c>
      <c r="AX110">
        <f t="shared" si="52"/>
        <v>7286.58</v>
      </c>
      <c r="AY110" s="115" t="b">
        <f t="shared" si="74"/>
        <v>0</v>
      </c>
      <c r="AZ110">
        <v>58151.08</v>
      </c>
      <c r="BA110">
        <v>69328.950000000012</v>
      </c>
      <c r="BB110">
        <v>69097.030000000013</v>
      </c>
      <c r="BC110">
        <v>80233.94</v>
      </c>
      <c r="BD110" s="122" t="s">
        <v>202</v>
      </c>
      <c r="BE110" s="118" t="str">
        <f t="shared" si="53"/>
        <v>PP-12/2021</v>
      </c>
      <c r="BF110" s="125" t="str">
        <f t="shared" si="54"/>
        <v>Saistību pārjaunojuma līgums</v>
      </c>
      <c r="BG110" s="125" t="str">
        <f t="shared" si="55"/>
        <v>08.04.2021.</v>
      </c>
      <c r="BH110" s="125">
        <f t="shared" si="56"/>
        <v>199433</v>
      </c>
      <c r="BI110">
        <f t="shared" si="57"/>
        <v>99716.5</v>
      </c>
      <c r="BJ110" s="136">
        <f t="shared" si="58"/>
        <v>299149.5</v>
      </c>
      <c r="BK110">
        <v>58151.08</v>
      </c>
      <c r="BL110">
        <v>69328.950000000012</v>
      </c>
      <c r="BM110">
        <v>69097.030000000013</v>
      </c>
      <c r="BN110">
        <v>80233.94</v>
      </c>
      <c r="BO110" s="118" t="s">
        <v>203</v>
      </c>
      <c r="BP110">
        <f t="shared" si="59"/>
        <v>79965.710000000006</v>
      </c>
      <c r="BQ110" s="118" t="s">
        <v>203</v>
      </c>
      <c r="BR110">
        <f t="shared" si="60"/>
        <v>77382.817567000006</v>
      </c>
      <c r="BS110" s="118" t="s">
        <v>203</v>
      </c>
      <c r="BT110">
        <f t="shared" si="61"/>
        <v>361300.86</v>
      </c>
      <c r="BW110" t="s">
        <v>199</v>
      </c>
      <c r="BX110">
        <v>45115.68</v>
      </c>
      <c r="BY110">
        <v>10718</v>
      </c>
      <c r="BZ110">
        <v>0</v>
      </c>
    </row>
    <row r="111" spans="1:78" ht="20.25" customHeight="1" outlineLevel="1" x14ac:dyDescent="0.25">
      <c r="A111" s="39">
        <v>106</v>
      </c>
      <c r="B111" s="26" t="s">
        <v>200</v>
      </c>
      <c r="C111" s="26" t="s">
        <v>201</v>
      </c>
      <c r="D111" s="34" t="str">
        <f t="shared" si="72"/>
        <v>Saistību pārjaunojuma līgums</v>
      </c>
      <c r="E111" s="34" t="str">
        <f t="shared" si="73"/>
        <v>08.04.2021.</v>
      </c>
      <c r="F111" s="27">
        <v>199433</v>
      </c>
      <c r="G111" s="128">
        <f t="shared" si="69"/>
        <v>189965.56000000003</v>
      </c>
      <c r="H111" s="128">
        <f t="shared" si="75"/>
        <v>134720.69</v>
      </c>
      <c r="I111" s="128">
        <f t="shared" si="76"/>
        <v>105283.75</v>
      </c>
      <c r="J111" s="128">
        <f t="shared" si="77"/>
        <v>87105.569999999992</v>
      </c>
      <c r="K111" s="128">
        <f t="shared" si="78"/>
        <v>33910</v>
      </c>
      <c r="L111" s="129">
        <f t="shared" si="64"/>
        <v>32814.707000000002</v>
      </c>
      <c r="M111" s="128">
        <f>VLOOKUP($C111,$AS:$AT,2,0)-32815</f>
        <v>30836.75</v>
      </c>
      <c r="N111" s="36">
        <f t="shared" si="50"/>
        <v>814070.027</v>
      </c>
      <c r="Q111" t="str">
        <f t="shared" si="70"/>
        <v>Saistību pārjaunojuma līgums</v>
      </c>
      <c r="R111" t="str">
        <f t="shared" si="71"/>
        <v>08.04.2021.</v>
      </c>
      <c r="U111" s="9" t="s">
        <v>99</v>
      </c>
      <c r="V111" s="9" t="s">
        <v>475</v>
      </c>
      <c r="W111" s="9" t="s">
        <v>99</v>
      </c>
      <c r="X111" s="13" t="s">
        <v>476</v>
      </c>
      <c r="Z111" s="1" t="s">
        <v>210</v>
      </c>
      <c r="AA111" s="1" t="s">
        <v>211</v>
      </c>
      <c r="AB111" s="2">
        <v>37111.68</v>
      </c>
      <c r="AD111" s="1" t="s">
        <v>224</v>
      </c>
      <c r="AE111" s="1" t="s">
        <v>225</v>
      </c>
      <c r="AF111" s="2">
        <v>39596.410000000003</v>
      </c>
      <c r="AH111" s="1" t="s">
        <v>232</v>
      </c>
      <c r="AI111" s="1" t="s">
        <v>233</v>
      </c>
      <c r="AJ111" s="2">
        <v>33789.29</v>
      </c>
      <c r="AL111" s="1" t="s">
        <v>240</v>
      </c>
      <c r="AM111" s="1" t="s">
        <v>241</v>
      </c>
      <c r="AN111" s="2">
        <v>72972.02</v>
      </c>
      <c r="AP111" s="1" t="s">
        <v>252</v>
      </c>
      <c r="AQ111" s="1" t="s">
        <v>253</v>
      </c>
      <c r="AR111" s="2">
        <v>28167.48</v>
      </c>
      <c r="AS111" s="1" t="s">
        <v>253</v>
      </c>
      <c r="AT111" s="2">
        <v>111415.95</v>
      </c>
      <c r="AV111" s="119" t="s">
        <v>200</v>
      </c>
      <c r="AW111" s="113">
        <v>53123.59</v>
      </c>
      <c r="AX111">
        <f t="shared" si="52"/>
        <v>26561.794999999998</v>
      </c>
      <c r="AY111" s="115" t="b">
        <f t="shared" si="74"/>
        <v>1</v>
      </c>
      <c r="AZ111">
        <v>192837.71</v>
      </c>
      <c r="BA111">
        <v>137647.94</v>
      </c>
      <c r="BB111">
        <v>107279.9</v>
      </c>
      <c r="BC111">
        <v>88359.030000000013</v>
      </c>
      <c r="BD111" s="122" t="s">
        <v>200</v>
      </c>
      <c r="BE111" s="118" t="str">
        <f t="shared" si="53"/>
        <v>PP-10/2021</v>
      </c>
      <c r="BF111" s="125" t="str">
        <f t="shared" si="54"/>
        <v>Saistību pārjaunojuma līgums</v>
      </c>
      <c r="BG111" s="125" t="str">
        <f t="shared" si="55"/>
        <v>08.04.2021.</v>
      </c>
      <c r="BH111" s="125">
        <f t="shared" si="56"/>
        <v>199433</v>
      </c>
      <c r="BI111">
        <f t="shared" si="57"/>
        <v>99716.5</v>
      </c>
      <c r="BJ111" s="136">
        <f t="shared" si="58"/>
        <v>299149.5</v>
      </c>
      <c r="BK111">
        <v>192837.71</v>
      </c>
      <c r="BL111">
        <v>137647.94</v>
      </c>
      <c r="BM111">
        <v>107279.9</v>
      </c>
      <c r="BN111">
        <v>88359.030000000013</v>
      </c>
      <c r="BO111" s="118" t="s">
        <v>201</v>
      </c>
      <c r="BP111">
        <f t="shared" si="59"/>
        <v>33910</v>
      </c>
      <c r="BQ111" s="118" t="s">
        <v>201</v>
      </c>
      <c r="BR111">
        <f t="shared" si="60"/>
        <v>32814.707000000002</v>
      </c>
      <c r="BS111" s="118" t="s">
        <v>201</v>
      </c>
      <c r="BT111">
        <f t="shared" si="61"/>
        <v>30836.75</v>
      </c>
      <c r="BW111" t="s">
        <v>201</v>
      </c>
      <c r="BX111">
        <v>33910</v>
      </c>
      <c r="BY111">
        <v>32814.707000000002</v>
      </c>
      <c r="BZ111">
        <v>30836.75</v>
      </c>
    </row>
    <row r="112" spans="1:78" ht="20.25" customHeight="1" outlineLevel="1" x14ac:dyDescent="0.25">
      <c r="A112" s="39">
        <v>107</v>
      </c>
      <c r="B112" s="26" t="s">
        <v>202</v>
      </c>
      <c r="C112" s="26" t="s">
        <v>203</v>
      </c>
      <c r="D112" s="34" t="str">
        <f t="shared" si="72"/>
        <v>Saistību pārjaunojuma līgums</v>
      </c>
      <c r="E112" s="34" t="str">
        <f t="shared" si="73"/>
        <v>08.04.2021.</v>
      </c>
      <c r="F112" s="27">
        <v>57604</v>
      </c>
      <c r="G112" s="128">
        <f t="shared" si="69"/>
        <v>58151.08</v>
      </c>
      <c r="H112" s="128">
        <f t="shared" si="75"/>
        <v>69328.950000000012</v>
      </c>
      <c r="I112" s="128">
        <f t="shared" si="76"/>
        <v>69097.030000000013</v>
      </c>
      <c r="J112" s="128">
        <f t="shared" si="77"/>
        <v>80233.939999999988</v>
      </c>
      <c r="K112" s="128">
        <f t="shared" si="78"/>
        <v>79965.710000000006</v>
      </c>
      <c r="L112" s="129">
        <f t="shared" si="64"/>
        <v>77382.817567000006</v>
      </c>
      <c r="M112" s="128">
        <f>VLOOKUP($C112,$AS:$AT,2,0)-77383</f>
        <v>361300.86</v>
      </c>
      <c r="N112" s="36">
        <f t="shared" si="50"/>
        <v>853064.387567</v>
      </c>
      <c r="Q112" t="str">
        <f t="shared" si="70"/>
        <v>Saistību pārjaunojuma līgums</v>
      </c>
      <c r="R112" t="str">
        <f t="shared" si="71"/>
        <v>08.04.2021.</v>
      </c>
      <c r="U112" s="9" t="s">
        <v>207</v>
      </c>
      <c r="V112" s="9" t="s">
        <v>477</v>
      </c>
      <c r="W112" s="9" t="s">
        <v>207</v>
      </c>
      <c r="X112" s="14" t="s">
        <v>478</v>
      </c>
      <c r="Z112" s="1" t="s">
        <v>212</v>
      </c>
      <c r="AA112" s="1" t="s">
        <v>213</v>
      </c>
      <c r="AB112" s="2">
        <v>38690.32</v>
      </c>
      <c r="AD112" s="1" t="s">
        <v>228</v>
      </c>
      <c r="AE112" s="1" t="s">
        <v>229</v>
      </c>
      <c r="AF112" s="2">
        <v>24906.95</v>
      </c>
      <c r="AH112" s="1" t="s">
        <v>234</v>
      </c>
      <c r="AI112" s="1" t="s">
        <v>235</v>
      </c>
      <c r="AJ112" s="2">
        <v>20553.080000000002</v>
      </c>
      <c r="AL112" s="1" t="s">
        <v>242</v>
      </c>
      <c r="AM112" s="1" t="s">
        <v>243</v>
      </c>
      <c r="AN112" s="2">
        <v>24680.75</v>
      </c>
      <c r="AP112" s="1" t="s">
        <v>254</v>
      </c>
      <c r="AQ112" s="1" t="s">
        <v>255</v>
      </c>
      <c r="AR112" s="2">
        <v>32777.1</v>
      </c>
      <c r="AS112" s="1" t="s">
        <v>255</v>
      </c>
      <c r="AT112" s="2">
        <v>166101.53</v>
      </c>
      <c r="AV112" s="119" t="s">
        <v>204</v>
      </c>
      <c r="AW112" s="113">
        <v>5087.8999999999996</v>
      </c>
      <c r="AX112">
        <f t="shared" si="52"/>
        <v>2543.9499999999998</v>
      </c>
      <c r="AY112" s="115" t="b">
        <f t="shared" si="74"/>
        <v>0</v>
      </c>
      <c r="AZ112">
        <v>20110.969999999998</v>
      </c>
      <c r="BA112">
        <v>19735.54</v>
      </c>
      <c r="BB112">
        <v>19166.12</v>
      </c>
      <c r="BC112">
        <v>18595.14</v>
      </c>
      <c r="BD112" s="122" t="s">
        <v>204</v>
      </c>
      <c r="BE112" s="118" t="str">
        <f t="shared" si="53"/>
        <v>P-100/2021</v>
      </c>
      <c r="BF112" s="125" t="str">
        <f t="shared" si="54"/>
        <v>P-100/2021 Latvijas-Krievijas pārrobežu sadarbības programmas proj."Ilgtsp.zaļās infrastruktūras un atraktīvās atpūtas zonas attīstība dabā" investīciju daļas īstenošanai</v>
      </c>
      <c r="BG112" s="125" t="str">
        <f t="shared" si="55"/>
        <v>05.05.2021</v>
      </c>
      <c r="BH112" s="125">
        <f t="shared" si="56"/>
        <v>15899</v>
      </c>
      <c r="BI112">
        <f t="shared" si="57"/>
        <v>7949.5</v>
      </c>
      <c r="BJ112" s="136">
        <f t="shared" si="58"/>
        <v>23848.5</v>
      </c>
      <c r="BK112">
        <v>20110.969999999998</v>
      </c>
      <c r="BL112">
        <v>19735.54</v>
      </c>
      <c r="BM112">
        <v>19166.12</v>
      </c>
      <c r="BN112">
        <v>18595.14</v>
      </c>
      <c r="BO112" s="118" t="s">
        <v>205</v>
      </c>
      <c r="BP112">
        <f t="shared" si="59"/>
        <v>17164.98</v>
      </c>
      <c r="BQ112" s="118" t="s">
        <v>205</v>
      </c>
      <c r="BR112">
        <f t="shared" si="60"/>
        <v>16610.551145999998</v>
      </c>
      <c r="BS112" s="118" t="s">
        <v>205</v>
      </c>
      <c r="BT112">
        <f t="shared" si="61"/>
        <v>109929.05</v>
      </c>
      <c r="BW112" t="s">
        <v>203</v>
      </c>
      <c r="BX112">
        <v>79965.710000000006</v>
      </c>
      <c r="BY112">
        <v>77382.817567000006</v>
      </c>
      <c r="BZ112">
        <v>361300.86</v>
      </c>
    </row>
    <row r="113" spans="1:78" ht="20.25" customHeight="1" outlineLevel="1" x14ac:dyDescent="0.25">
      <c r="A113" s="39">
        <v>108</v>
      </c>
      <c r="B113" s="26" t="s">
        <v>204</v>
      </c>
      <c r="C113" s="26" t="s">
        <v>205</v>
      </c>
      <c r="D113" s="34" t="str">
        <f t="shared" si="72"/>
        <v>P-100/2021 Latvijas-Krievijas pārrobežu sadarbības programmas proj."Ilgtsp.zaļās infrastruktūras un atraktīvās atpūtas zonas attīstība dabā" investīciju daļas īstenošanai</v>
      </c>
      <c r="E113" s="34" t="str">
        <f t="shared" si="73"/>
        <v>05.05.2021</v>
      </c>
      <c r="F113" s="27">
        <v>15899</v>
      </c>
      <c r="G113" s="128">
        <f t="shared" si="69"/>
        <v>19079.84</v>
      </c>
      <c r="H113" s="128">
        <f t="shared" si="75"/>
        <v>18585.43</v>
      </c>
      <c r="I113" s="128">
        <f t="shared" si="76"/>
        <v>18109.010000000002</v>
      </c>
      <c r="J113" s="128">
        <f t="shared" si="77"/>
        <v>17631.25</v>
      </c>
      <c r="K113" s="128">
        <f t="shared" si="78"/>
        <v>17164.98</v>
      </c>
      <c r="L113" s="129">
        <f t="shared" si="64"/>
        <v>16610.551145999998</v>
      </c>
      <c r="M113" s="128">
        <f>VLOOKUP($C113,$AS:$AT,2,0)-16611</f>
        <v>109929.05</v>
      </c>
      <c r="N113" s="36">
        <f t="shared" si="50"/>
        <v>233009.11114599998</v>
      </c>
      <c r="Q113" t="str">
        <f t="shared" si="70"/>
        <v>P-100/2021 Latvijas-Krievijas pārrobežu sadarbības programmas proj."Ilgtsp.zaļās infrastruktūras un atraktīvās atpūtas zonas attīstība dabā" investīciju daļas īstenošanai</v>
      </c>
      <c r="R113" t="str">
        <f t="shared" si="71"/>
        <v>05.05.2021</v>
      </c>
      <c r="U113" s="9" t="s">
        <v>129</v>
      </c>
      <c r="V113" s="9" t="s">
        <v>479</v>
      </c>
      <c r="W113" s="9" t="s">
        <v>129</v>
      </c>
      <c r="X113" s="13" t="s">
        <v>480</v>
      </c>
      <c r="Z113" s="1" t="s">
        <v>214</v>
      </c>
      <c r="AA113" s="1" t="s">
        <v>215</v>
      </c>
      <c r="AB113" s="2">
        <v>40450.119999999995</v>
      </c>
      <c r="AD113" s="1" t="s">
        <v>230</v>
      </c>
      <c r="AE113" s="1" t="s">
        <v>231</v>
      </c>
      <c r="AF113" s="2">
        <v>43750.14</v>
      </c>
      <c r="AH113" s="1" t="s">
        <v>236</v>
      </c>
      <c r="AI113" s="1" t="s">
        <v>237</v>
      </c>
      <c r="AJ113" s="2">
        <v>72153.63</v>
      </c>
      <c r="AL113" s="1" t="s">
        <v>244</v>
      </c>
      <c r="AM113" s="1" t="s">
        <v>245</v>
      </c>
      <c r="AN113" s="2">
        <v>27839.89</v>
      </c>
      <c r="AP113" s="1" t="s">
        <v>256</v>
      </c>
      <c r="AQ113" s="1" t="s">
        <v>257</v>
      </c>
      <c r="AR113" s="2">
        <v>23013.190000000002</v>
      </c>
      <c r="AS113" s="1" t="s">
        <v>257</v>
      </c>
      <c r="AT113" s="2">
        <v>119391.26000000001</v>
      </c>
      <c r="AV113" s="119" t="s">
        <v>206</v>
      </c>
      <c r="AW113" s="113">
        <v>5612.92</v>
      </c>
      <c r="AX113">
        <f t="shared" si="52"/>
        <v>2806.46</v>
      </c>
      <c r="AY113" s="115" t="b">
        <f t="shared" si="74"/>
        <v>0</v>
      </c>
      <c r="AZ113">
        <v>22078.560000000001</v>
      </c>
      <c r="BA113">
        <v>21562.79</v>
      </c>
      <c r="BB113">
        <v>20912.39</v>
      </c>
      <c r="BC113">
        <v>20260.200000000004</v>
      </c>
      <c r="BD113" s="122" t="s">
        <v>206</v>
      </c>
      <c r="BE113" s="118" t="str">
        <f t="shared" si="53"/>
        <v>P-193/2021</v>
      </c>
      <c r="BF113" s="125" t="str">
        <f t="shared" si="54"/>
        <v>Stalbes pamatskolas sporta stadiona skrejceļa pārbūve</v>
      </c>
      <c r="BG113" s="125" t="str">
        <f t="shared" si="55"/>
        <v>08.06.2021</v>
      </c>
      <c r="BH113" s="125">
        <f t="shared" si="56"/>
        <v>17424</v>
      </c>
      <c r="BI113">
        <f t="shared" si="57"/>
        <v>8712</v>
      </c>
      <c r="BJ113" s="136">
        <f t="shared" si="58"/>
        <v>26136</v>
      </c>
      <c r="BK113">
        <v>22078.560000000001</v>
      </c>
      <c r="BL113">
        <v>21562.79</v>
      </c>
      <c r="BM113">
        <v>20912.39</v>
      </c>
      <c r="BN113">
        <v>20260.200000000004</v>
      </c>
      <c r="BO113" s="118" t="s">
        <v>207</v>
      </c>
      <c r="BP113">
        <f t="shared" si="59"/>
        <v>18763.22</v>
      </c>
      <c r="BQ113" s="118" t="s">
        <v>207</v>
      </c>
      <c r="BR113">
        <f t="shared" si="60"/>
        <v>18157.167993999999</v>
      </c>
      <c r="BS113" s="118" t="s">
        <v>207</v>
      </c>
      <c r="BT113">
        <f t="shared" si="61"/>
        <v>102449.45000000001</v>
      </c>
      <c r="BW113" t="s">
        <v>205</v>
      </c>
      <c r="BX113">
        <v>17164.98</v>
      </c>
      <c r="BY113">
        <v>16610.551145999998</v>
      </c>
      <c r="BZ113">
        <v>109929.05</v>
      </c>
    </row>
    <row r="114" spans="1:78" ht="20.25" customHeight="1" outlineLevel="1" x14ac:dyDescent="0.25">
      <c r="A114" s="39">
        <v>109</v>
      </c>
      <c r="B114" s="26" t="s">
        <v>206</v>
      </c>
      <c r="C114" s="26" t="s">
        <v>207</v>
      </c>
      <c r="D114" s="34" t="str">
        <f t="shared" si="72"/>
        <v>Stalbes pamatskolas sporta stadiona skrejceļa pārbūve</v>
      </c>
      <c r="E114" s="34" t="str">
        <f t="shared" si="73"/>
        <v>08.06.2021</v>
      </c>
      <c r="F114" s="27">
        <v>17424</v>
      </c>
      <c r="G114" s="128">
        <f t="shared" si="69"/>
        <v>20956.68</v>
      </c>
      <c r="H114" s="128">
        <f t="shared" si="75"/>
        <v>20392.099999999999</v>
      </c>
      <c r="I114" s="128">
        <f t="shared" si="76"/>
        <v>19846.349999999999</v>
      </c>
      <c r="J114" s="128">
        <f t="shared" si="77"/>
        <v>19299.12</v>
      </c>
      <c r="K114" s="128">
        <f t="shared" si="78"/>
        <v>18763.22</v>
      </c>
      <c r="L114" s="129">
        <f t="shared" si="64"/>
        <v>18157.167993999999</v>
      </c>
      <c r="M114" s="128">
        <f>VLOOKUP($C114,$AS:$AT,2,0)-18157</f>
        <v>102449.45000000001</v>
      </c>
      <c r="N114" s="36">
        <f t="shared" si="50"/>
        <v>237288.087994</v>
      </c>
      <c r="Q114" t="str">
        <f t="shared" si="70"/>
        <v>Stalbes pamatskolas sporta stadiona skrejceļa pārbūve</v>
      </c>
      <c r="R114" t="str">
        <f t="shared" si="71"/>
        <v>08.06.2021</v>
      </c>
      <c r="U114" s="9" t="s">
        <v>131</v>
      </c>
      <c r="V114" s="9" t="s">
        <v>481</v>
      </c>
      <c r="W114" s="9" t="s">
        <v>131</v>
      </c>
      <c r="X114" s="13" t="s">
        <v>480</v>
      </c>
      <c r="Z114" s="1" t="s">
        <v>216</v>
      </c>
      <c r="AA114" s="1" t="s">
        <v>217</v>
      </c>
      <c r="AB114" s="2">
        <v>10118.030000000001</v>
      </c>
      <c r="AD114" s="1" t="s">
        <v>232</v>
      </c>
      <c r="AE114" s="1" t="s">
        <v>233</v>
      </c>
      <c r="AF114" s="2">
        <v>34813.49</v>
      </c>
      <c r="AH114" s="1" t="s">
        <v>238</v>
      </c>
      <c r="AI114" s="1" t="s">
        <v>239</v>
      </c>
      <c r="AJ114" s="2">
        <v>21204.21</v>
      </c>
      <c r="AL114" s="1" t="s">
        <v>246</v>
      </c>
      <c r="AM114" s="1" t="s">
        <v>247</v>
      </c>
      <c r="AN114" s="2">
        <v>10949.65</v>
      </c>
      <c r="AP114" s="1" t="s">
        <v>258</v>
      </c>
      <c r="AQ114" s="1" t="s">
        <v>259</v>
      </c>
      <c r="AR114" s="2">
        <v>25350.92</v>
      </c>
      <c r="AS114" s="1" t="s">
        <v>259</v>
      </c>
      <c r="AT114" s="2">
        <v>131519.34999999998</v>
      </c>
      <c r="AV114" s="119" t="s">
        <v>208</v>
      </c>
      <c r="AW114" s="113">
        <v>14345.3</v>
      </c>
      <c r="AX114">
        <f t="shared" si="52"/>
        <v>7172.65</v>
      </c>
      <c r="AY114" s="115" t="b">
        <f t="shared" si="74"/>
        <v>0</v>
      </c>
      <c r="AZ114">
        <v>56078.28</v>
      </c>
      <c r="BA114">
        <v>54082.969999999994</v>
      </c>
      <c r="BB114">
        <v>52199.4</v>
      </c>
      <c r="BC114">
        <v>50310.65</v>
      </c>
      <c r="BD114" s="122" t="s">
        <v>208</v>
      </c>
      <c r="BE114" s="118" t="str">
        <f t="shared" si="53"/>
        <v>P-222/2021</v>
      </c>
      <c r="BF114" s="125" t="str">
        <f t="shared" si="54"/>
        <v>P-222/2021 PRIO Amatas novada pašvaldības Drabešu ciema grants ceļu (Drabeši - Lāčkalni, Drabeši -Vējdzirnavas) posmu pārbūve un atjaunošana</v>
      </c>
      <c r="BG114" s="125" t="str">
        <f t="shared" si="55"/>
        <v>21.06.2021</v>
      </c>
      <c r="BH114" s="125">
        <f t="shared" si="56"/>
        <v>48220</v>
      </c>
      <c r="BI114">
        <f t="shared" si="57"/>
        <v>24110</v>
      </c>
      <c r="BJ114" s="136">
        <f t="shared" si="58"/>
        <v>72330</v>
      </c>
      <c r="BK114">
        <v>56078.28</v>
      </c>
      <c r="BL114">
        <v>54082.969999999994</v>
      </c>
      <c r="BM114">
        <v>52199.4</v>
      </c>
      <c r="BN114">
        <v>50310.65</v>
      </c>
      <c r="BO114" s="118" t="s">
        <v>209</v>
      </c>
      <c r="BP114">
        <f t="shared" si="59"/>
        <v>47399.82</v>
      </c>
      <c r="BQ114" s="118" t="s">
        <v>209</v>
      </c>
      <c r="BR114">
        <f t="shared" si="60"/>
        <v>45868.805813999999</v>
      </c>
      <c r="BS114" s="118" t="s">
        <v>209</v>
      </c>
      <c r="BT114">
        <f t="shared" si="61"/>
        <v>65772.820000000007</v>
      </c>
      <c r="BW114" t="s">
        <v>207</v>
      </c>
      <c r="BX114">
        <v>18763.22</v>
      </c>
      <c r="BY114">
        <v>18157.167993999999</v>
      </c>
      <c r="BZ114">
        <v>102449.45000000001</v>
      </c>
    </row>
    <row r="115" spans="1:78" ht="20.25" customHeight="1" outlineLevel="1" x14ac:dyDescent="0.25">
      <c r="A115" s="39">
        <v>110</v>
      </c>
      <c r="B115" s="26" t="s">
        <v>208</v>
      </c>
      <c r="C115" s="26" t="s">
        <v>209</v>
      </c>
      <c r="D115" s="34" t="str">
        <f t="shared" si="72"/>
        <v>P-222/2021 PRIO Amatas novada pašvaldības Drabešu ciema grants ceļu (Drabeši - Lāčkalni, Drabeši -Vējdzirnavas) posmu pārbūve un atjaunošana</v>
      </c>
      <c r="E115" s="34" t="str">
        <f t="shared" si="73"/>
        <v>21.06.2021</v>
      </c>
      <c r="F115" s="27">
        <v>48220</v>
      </c>
      <c r="G115" s="128">
        <f t="shared" si="69"/>
        <v>53730.520000000004</v>
      </c>
      <c r="H115" s="128">
        <f t="shared" si="75"/>
        <v>52121.9</v>
      </c>
      <c r="I115" s="128">
        <f t="shared" si="76"/>
        <v>42108</v>
      </c>
      <c r="J115" s="128">
        <f t="shared" si="77"/>
        <v>48967.360000000001</v>
      </c>
      <c r="K115" s="128">
        <f t="shared" si="78"/>
        <v>47399.82</v>
      </c>
      <c r="L115" s="129">
        <f t="shared" si="64"/>
        <v>45868.805813999999</v>
      </c>
      <c r="M115" s="128">
        <f>VLOOKUP($C115,$AS:$AT,2,0)-45869</f>
        <v>65772.820000000007</v>
      </c>
      <c r="N115" s="36">
        <f t="shared" si="50"/>
        <v>404189.22581400006</v>
      </c>
      <c r="Q115" t="str">
        <f t="shared" si="70"/>
        <v>P-222/2021 PRIO Amatas novada pašvaldības Drabešu ciema grants ceļu (Drabeši - Lāčkalni, Drabeši -Vējdzirnavas) posmu pārbūve un atjaunošana</v>
      </c>
      <c r="R115" t="str">
        <f t="shared" si="71"/>
        <v>21.06.2021</v>
      </c>
      <c r="U115" s="9" t="s">
        <v>105</v>
      </c>
      <c r="V115" s="9" t="s">
        <v>482</v>
      </c>
      <c r="W115" s="9" t="s">
        <v>105</v>
      </c>
      <c r="X115" s="13" t="s">
        <v>483</v>
      </c>
      <c r="Z115" s="1" t="s">
        <v>218</v>
      </c>
      <c r="AA115" s="1" t="s">
        <v>219</v>
      </c>
      <c r="AB115" s="2">
        <v>10916.91</v>
      </c>
      <c r="AD115" s="1" t="s">
        <v>234</v>
      </c>
      <c r="AE115" s="1" t="s">
        <v>235</v>
      </c>
      <c r="AF115" s="2">
        <v>21105.96</v>
      </c>
      <c r="AH115" s="1" t="s">
        <v>240</v>
      </c>
      <c r="AI115" s="1" t="s">
        <v>241</v>
      </c>
      <c r="AJ115" s="2">
        <v>75072.73</v>
      </c>
      <c r="AL115" s="1" t="s">
        <v>248</v>
      </c>
      <c r="AM115" s="1" t="s">
        <v>249</v>
      </c>
      <c r="AN115" s="2">
        <v>25528.82</v>
      </c>
      <c r="AV115" s="119" t="s">
        <v>210</v>
      </c>
      <c r="AW115" s="113">
        <v>9908.2999999999993</v>
      </c>
      <c r="AX115">
        <f t="shared" si="52"/>
        <v>4954.1499999999996</v>
      </c>
      <c r="AY115" s="115" t="b">
        <f t="shared" si="74"/>
        <v>0</v>
      </c>
      <c r="AZ115">
        <v>38733.279999999999</v>
      </c>
      <c r="BA115">
        <v>37355.120000000003</v>
      </c>
      <c r="BB115">
        <v>36054.14</v>
      </c>
      <c r="BC115">
        <v>34749.57</v>
      </c>
      <c r="BD115" s="122" t="s">
        <v>210</v>
      </c>
      <c r="BE115" s="118" t="str">
        <f t="shared" si="53"/>
        <v>P-221/2021</v>
      </c>
      <c r="BF115" s="125" t="str">
        <f t="shared" si="54"/>
        <v>P-221/2021 COVID VARAM Amatas novada pašvaldības autoceļu atjaunošana</v>
      </c>
      <c r="BG115" s="125" t="str">
        <f t="shared" si="55"/>
        <v>21.06.2021</v>
      </c>
      <c r="BH115" s="125">
        <f t="shared" si="56"/>
        <v>48220</v>
      </c>
      <c r="BI115">
        <f t="shared" si="57"/>
        <v>24110</v>
      </c>
      <c r="BJ115" s="136">
        <f t="shared" si="58"/>
        <v>72330</v>
      </c>
      <c r="BK115">
        <v>38733.279999999999</v>
      </c>
      <c r="BL115">
        <v>37355.120000000003</v>
      </c>
      <c r="BM115">
        <v>36054.14</v>
      </c>
      <c r="BN115">
        <v>34749.57</v>
      </c>
      <c r="BO115" s="118" t="s">
        <v>211</v>
      </c>
      <c r="BP115">
        <f t="shared" si="59"/>
        <v>32739.040000000001</v>
      </c>
      <c r="BQ115" s="118" t="s">
        <v>211</v>
      </c>
      <c r="BR115">
        <f t="shared" si="60"/>
        <v>31681.569008000002</v>
      </c>
      <c r="BS115" s="118" t="s">
        <v>211</v>
      </c>
      <c r="BT115">
        <f t="shared" si="61"/>
        <v>45429.010000000009</v>
      </c>
      <c r="BW115" t="s">
        <v>209</v>
      </c>
      <c r="BX115">
        <v>47399.82</v>
      </c>
      <c r="BY115">
        <v>45868.805813999999</v>
      </c>
      <c r="BZ115">
        <v>65772.820000000007</v>
      </c>
    </row>
    <row r="116" spans="1:78" ht="20.25" customHeight="1" outlineLevel="1" x14ac:dyDescent="0.25">
      <c r="A116" s="39">
        <v>111</v>
      </c>
      <c r="B116" s="26" t="s">
        <v>210</v>
      </c>
      <c r="C116" s="26" t="s">
        <v>211</v>
      </c>
      <c r="D116" s="34" t="str">
        <f t="shared" si="72"/>
        <v>P-221/2021 COVID VARAM Amatas novada pašvaldības autoceļu atjaunošana</v>
      </c>
      <c r="E116" s="34" t="str">
        <f t="shared" si="73"/>
        <v>21.06.2021</v>
      </c>
      <c r="F116" s="27">
        <v>33305</v>
      </c>
      <c r="G116" s="128">
        <f t="shared" si="69"/>
        <v>37111.68</v>
      </c>
      <c r="H116" s="128">
        <f t="shared" si="75"/>
        <v>36000.61</v>
      </c>
      <c r="I116" s="128">
        <f t="shared" si="76"/>
        <v>34912.660000000003</v>
      </c>
      <c r="J116" s="128">
        <f t="shared" si="77"/>
        <v>33821.75</v>
      </c>
      <c r="K116" s="128">
        <f t="shared" si="78"/>
        <v>32739.040000000001</v>
      </c>
      <c r="L116" s="129">
        <f t="shared" si="64"/>
        <v>31681.569008000002</v>
      </c>
      <c r="M116" s="128">
        <f>VLOOKUP($C116,$AS:$AT,2,0)-31682</f>
        <v>45429.010000000009</v>
      </c>
      <c r="N116" s="36">
        <f t="shared" si="50"/>
        <v>285001.31900800002</v>
      </c>
      <c r="Q116" t="str">
        <f t="shared" si="70"/>
        <v>P-221/2021 COVID VARAM Amatas novada pašvaldības autoceļu atjaunošana</v>
      </c>
      <c r="R116" t="str">
        <f t="shared" si="71"/>
        <v>21.06.2021</v>
      </c>
      <c r="U116" s="9" t="s">
        <v>107</v>
      </c>
      <c r="V116" s="9" t="s">
        <v>484</v>
      </c>
      <c r="W116" s="9" t="s">
        <v>107</v>
      </c>
      <c r="X116" s="13" t="s">
        <v>483</v>
      </c>
      <c r="Z116" s="1" t="s">
        <v>220</v>
      </c>
      <c r="AA116" s="1" t="s">
        <v>221</v>
      </c>
      <c r="AB116" s="2">
        <v>19037.66</v>
      </c>
      <c r="AD116" s="1" t="s">
        <v>236</v>
      </c>
      <c r="AE116" s="1" t="s">
        <v>237</v>
      </c>
      <c r="AF116" s="2">
        <v>73889.33</v>
      </c>
      <c r="AH116" s="1" t="s">
        <v>242</v>
      </c>
      <c r="AI116" s="1" t="s">
        <v>243</v>
      </c>
      <c r="AJ116" s="2">
        <v>25539.72</v>
      </c>
      <c r="AL116" s="1" t="s">
        <v>250</v>
      </c>
      <c r="AM116" s="1" t="s">
        <v>251</v>
      </c>
      <c r="AN116" s="2">
        <v>20075.32</v>
      </c>
      <c r="AV116" s="119" t="s">
        <v>212</v>
      </c>
      <c r="AW116" s="113">
        <v>10410.950000000001</v>
      </c>
      <c r="AX116">
        <f t="shared" si="52"/>
        <v>5205.4750000000004</v>
      </c>
      <c r="AY116" s="115" t="b">
        <f t="shared" si="74"/>
        <v>0</v>
      </c>
      <c r="AZ116">
        <v>40729.18</v>
      </c>
      <c r="BA116">
        <v>39333.869999999995</v>
      </c>
      <c r="BB116">
        <v>38046.819999999992</v>
      </c>
      <c r="BC116">
        <v>36756.25</v>
      </c>
      <c r="BD116" s="122" t="s">
        <v>212</v>
      </c>
      <c r="BE116" s="118" t="str">
        <f t="shared" si="53"/>
        <v>P-205/2021</v>
      </c>
      <c r="BF116" s="125" t="str">
        <f t="shared" si="54"/>
        <v>P-205/2021 Ieguldījumam pašvaldības SIA "Cēsu klīnika"pamatkapitālā ERAF projekta (Nr.4.2.2.0/20/I/005) "Cēsu klīnikas diagnostikas korpusa energoef.uzlabošana" īstenošanai</v>
      </c>
      <c r="BG116" s="125" t="str">
        <f t="shared" si="55"/>
        <v>22.06.2021</v>
      </c>
      <c r="BH116" s="125">
        <f t="shared" si="56"/>
        <v>33817</v>
      </c>
      <c r="BI116">
        <f t="shared" si="57"/>
        <v>16908.5</v>
      </c>
      <c r="BJ116" s="136">
        <f t="shared" si="58"/>
        <v>50725.5</v>
      </c>
      <c r="BK116">
        <v>40729.18</v>
      </c>
      <c r="BL116">
        <v>39333.869999999995</v>
      </c>
      <c r="BM116">
        <v>38046.819999999992</v>
      </c>
      <c r="BN116">
        <v>36756.25</v>
      </c>
      <c r="BO116" s="118" t="s">
        <v>213</v>
      </c>
      <c r="BP116">
        <f t="shared" si="59"/>
        <v>34358.639999999999</v>
      </c>
      <c r="BQ116" s="118" t="s">
        <v>213</v>
      </c>
      <c r="BR116">
        <f t="shared" si="60"/>
        <v>33248.855927999997</v>
      </c>
      <c r="BS116" s="118" t="s">
        <v>213</v>
      </c>
      <c r="BT116">
        <f t="shared" si="61"/>
        <v>107996.02000000002</v>
      </c>
      <c r="BW116" t="s">
        <v>211</v>
      </c>
      <c r="BX116">
        <v>32739.040000000001</v>
      </c>
      <c r="BY116">
        <v>31681.569008000002</v>
      </c>
      <c r="BZ116">
        <v>45429.010000000009</v>
      </c>
    </row>
    <row r="117" spans="1:78" ht="20.25" customHeight="1" outlineLevel="1" x14ac:dyDescent="0.25">
      <c r="A117" s="39">
        <v>112</v>
      </c>
      <c r="B117" s="26" t="s">
        <v>212</v>
      </c>
      <c r="C117" s="26" t="s">
        <v>213</v>
      </c>
      <c r="D117" s="34" t="str">
        <f t="shared" si="72"/>
        <v>P-205/2021 Ieguldījumam pašvaldības SIA "Cēsu klīnika"pamatkapitālā ERAF projekta (Nr.4.2.2.0/20/I/005) "Cēsu klīnikas diagnostikas korpusa energoef.uzlabošana" īstenošanai</v>
      </c>
      <c r="E117" s="34" t="str">
        <f t="shared" si="73"/>
        <v>22.06.2021</v>
      </c>
      <c r="F117" s="27">
        <v>33817</v>
      </c>
      <c r="G117" s="128">
        <f t="shared" si="69"/>
        <v>38690.32</v>
      </c>
      <c r="H117" s="128">
        <f t="shared" si="75"/>
        <v>37583.74</v>
      </c>
      <c r="I117" s="128">
        <f t="shared" si="76"/>
        <v>36505.99</v>
      </c>
      <c r="J117" s="128">
        <f t="shared" si="77"/>
        <v>35425.29</v>
      </c>
      <c r="K117" s="128">
        <f t="shared" si="78"/>
        <v>34358.639999999999</v>
      </c>
      <c r="L117" s="129">
        <f t="shared" si="64"/>
        <v>33248.855927999997</v>
      </c>
      <c r="M117" s="128">
        <f>VLOOKUP($C117,$AS:$AT,2,0)-33249</f>
        <v>107996.02000000002</v>
      </c>
      <c r="N117" s="36">
        <f t="shared" si="50"/>
        <v>357625.855928</v>
      </c>
      <c r="Q117" t="str">
        <f t="shared" si="70"/>
        <v>P-205/2021 Ieguldījumam pašvaldības SIA "Cēsu klīnika"pamatkapitālā ERAF projekta (Nr.4.2.2.0/20/I/005) "Cēsu klīnikas diagnostikas korpusa energoef.uzlabošana" īstenošanai</v>
      </c>
      <c r="R117" t="str">
        <f t="shared" si="71"/>
        <v>22.06.2021</v>
      </c>
      <c r="U117" s="8" t="s">
        <v>229</v>
      </c>
      <c r="V117" s="8" t="s">
        <v>485</v>
      </c>
      <c r="W117" s="8" t="s">
        <v>229</v>
      </c>
      <c r="X117" s="14" t="s">
        <v>486</v>
      </c>
      <c r="Z117" s="1" t="s">
        <v>222</v>
      </c>
      <c r="AA117" s="1" t="s">
        <v>223</v>
      </c>
      <c r="AB117" s="2">
        <v>495058.52</v>
      </c>
      <c r="AD117" s="1" t="s">
        <v>238</v>
      </c>
      <c r="AE117" s="1" t="s">
        <v>239</v>
      </c>
      <c r="AF117" s="2">
        <v>21853.73</v>
      </c>
      <c r="AH117" s="1" t="s">
        <v>244</v>
      </c>
      <c r="AI117" s="1" t="s">
        <v>245</v>
      </c>
      <c r="AJ117" s="2">
        <v>28957.279999999999</v>
      </c>
      <c r="AL117" s="1" t="s">
        <v>252</v>
      </c>
      <c r="AM117" s="1" t="s">
        <v>253</v>
      </c>
      <c r="AN117" s="2">
        <v>29199.56</v>
      </c>
      <c r="AV117" s="119" t="s">
        <v>214</v>
      </c>
      <c r="AW117" s="113">
        <v>10895.44</v>
      </c>
      <c r="AX117">
        <f t="shared" si="52"/>
        <v>5447.72</v>
      </c>
      <c r="AY117" s="115" t="b">
        <f t="shared" si="74"/>
        <v>0</v>
      </c>
      <c r="AZ117">
        <v>43230.55</v>
      </c>
      <c r="BA117">
        <v>41636.46</v>
      </c>
      <c r="BB117">
        <v>40386.22</v>
      </c>
      <c r="BC117">
        <v>39132.549999999996</v>
      </c>
      <c r="BD117" s="122" t="s">
        <v>214</v>
      </c>
      <c r="BE117" s="118" t="str">
        <f t="shared" si="53"/>
        <v>P-260/2021</v>
      </c>
      <c r="BF117" s="125" t="str">
        <f t="shared" si="54"/>
        <v>Prioritārā investīciju projekta "Fasādes atjaunošana un energoefektivitātes paaugstināšana valsts kultūras piemineklim - PII ēkai Gaujas ielā 7, Līgatnē, Līgatnes novadā" īstenošanai P-260/2021</v>
      </c>
      <c r="BG117" s="125" t="str">
        <f t="shared" si="55"/>
        <v>06.07.2021.</v>
      </c>
      <c r="BH117" s="125">
        <f t="shared" si="56"/>
        <v>33510</v>
      </c>
      <c r="BI117">
        <f t="shared" si="57"/>
        <v>16755</v>
      </c>
      <c r="BJ117" s="136">
        <f t="shared" si="58"/>
        <v>50265</v>
      </c>
      <c r="BK117">
        <v>43230.55</v>
      </c>
      <c r="BL117">
        <v>41636.46</v>
      </c>
      <c r="BM117">
        <v>40386.22</v>
      </c>
      <c r="BN117">
        <v>39132.549999999996</v>
      </c>
      <c r="BO117" s="118" t="s">
        <v>215</v>
      </c>
      <c r="BP117">
        <f t="shared" si="59"/>
        <v>36237.32</v>
      </c>
      <c r="BQ117" s="118" t="s">
        <v>215</v>
      </c>
      <c r="BR117">
        <f t="shared" si="60"/>
        <v>35066.854564000001</v>
      </c>
      <c r="BS117" s="118" t="s">
        <v>215</v>
      </c>
      <c r="BT117">
        <f t="shared" si="61"/>
        <v>199482.45</v>
      </c>
      <c r="BW117" t="s">
        <v>213</v>
      </c>
      <c r="BX117">
        <v>34358.639999999999</v>
      </c>
      <c r="BY117">
        <v>33248.855927999997</v>
      </c>
      <c r="BZ117">
        <v>107996.02000000002</v>
      </c>
    </row>
    <row r="118" spans="1:78" ht="20.25" customHeight="1" outlineLevel="1" x14ac:dyDescent="0.25">
      <c r="A118" s="39">
        <v>113</v>
      </c>
      <c r="B118" s="26" t="s">
        <v>214</v>
      </c>
      <c r="C118" s="26" t="s">
        <v>215</v>
      </c>
      <c r="D118" s="28" t="s">
        <v>452</v>
      </c>
      <c r="E118" s="29" t="s">
        <v>453</v>
      </c>
      <c r="F118" s="27">
        <v>33510</v>
      </c>
      <c r="G118" s="128">
        <f t="shared" si="69"/>
        <v>40450.119999999995</v>
      </c>
      <c r="H118" s="128">
        <f t="shared" si="75"/>
        <v>39365.64</v>
      </c>
      <c r="I118" s="128">
        <f t="shared" si="76"/>
        <v>38317.47</v>
      </c>
      <c r="J118" s="128">
        <f t="shared" si="77"/>
        <v>37266.449999999997</v>
      </c>
      <c r="K118" s="128">
        <f t="shared" si="78"/>
        <v>36237.32</v>
      </c>
      <c r="L118" s="129">
        <f t="shared" si="64"/>
        <v>35066.854564000001</v>
      </c>
      <c r="M118" s="128">
        <f>VLOOKUP($C118,$AS:$AT,2,0)-35067</f>
        <v>199482.45</v>
      </c>
      <c r="N118" s="36">
        <f t="shared" si="50"/>
        <v>459696.30456399999</v>
      </c>
      <c r="Q118" t="e">
        <f t="shared" si="70"/>
        <v>#N/A</v>
      </c>
      <c r="R118" t="e">
        <f t="shared" si="71"/>
        <v>#N/A</v>
      </c>
      <c r="U118" s="9" t="s">
        <v>17</v>
      </c>
      <c r="V118" s="9" t="s">
        <v>487</v>
      </c>
      <c r="W118" s="9" t="s">
        <v>17</v>
      </c>
      <c r="X118" s="13" t="s">
        <v>374</v>
      </c>
      <c r="Z118" s="1" t="s">
        <v>224</v>
      </c>
      <c r="AA118" s="1" t="s">
        <v>225</v>
      </c>
      <c r="AB118" s="2">
        <v>40685.18</v>
      </c>
      <c r="AD118" s="1" t="s">
        <v>240</v>
      </c>
      <c r="AE118" s="1" t="s">
        <v>241</v>
      </c>
      <c r="AF118" s="2">
        <v>77167.72</v>
      </c>
      <c r="AH118" s="1" t="s">
        <v>246</v>
      </c>
      <c r="AI118" s="1" t="s">
        <v>247</v>
      </c>
      <c r="AJ118" s="2">
        <v>11324.1</v>
      </c>
      <c r="AL118" s="1" t="s">
        <v>254</v>
      </c>
      <c r="AM118" s="1" t="s">
        <v>255</v>
      </c>
      <c r="AN118" s="2">
        <v>33909.24</v>
      </c>
      <c r="AV118" s="119" t="s">
        <v>216</v>
      </c>
      <c r="AW118" s="113">
        <v>5062.5200000000004</v>
      </c>
      <c r="AX118">
        <f t="shared" si="52"/>
        <v>2531.2600000000002</v>
      </c>
      <c r="AY118" s="115" t="b">
        <f t="shared" si="74"/>
        <v>0</v>
      </c>
      <c r="AZ118">
        <v>10118.029999999999</v>
      </c>
      <c r="BA118">
        <v>0</v>
      </c>
      <c r="BB118">
        <v>0</v>
      </c>
      <c r="BC118">
        <v>0</v>
      </c>
      <c r="BD118" s="122" t="s">
        <v>216</v>
      </c>
      <c r="BE118" s="118" t="str">
        <f t="shared" si="53"/>
        <v>P-257/2021</v>
      </c>
      <c r="BF118" s="125" t="str">
        <f t="shared" si="54"/>
        <v>Informācijas un komunikācijas tehnoloģiju infrastruktūras pilnveide un e-pakalpojumu nodrošināšana (Priekuļi)</v>
      </c>
      <c r="BG118" s="125" t="str">
        <f t="shared" si="55"/>
        <v>16.07.2021.</v>
      </c>
      <c r="BH118" s="125">
        <f t="shared" si="56"/>
        <v>20247</v>
      </c>
      <c r="BI118">
        <f t="shared" si="57"/>
        <v>10123.5</v>
      </c>
      <c r="BJ118" s="136">
        <f t="shared" si="58"/>
        <v>30370.5</v>
      </c>
      <c r="BK118">
        <v>10118.029999999999</v>
      </c>
      <c r="BL118">
        <v>0</v>
      </c>
      <c r="BM118">
        <v>0</v>
      </c>
      <c r="BN118">
        <v>0</v>
      </c>
      <c r="BO118" s="118" t="s">
        <v>217</v>
      </c>
      <c r="BP118">
        <f t="shared" si="59"/>
        <v>0</v>
      </c>
      <c r="BQ118" s="118" t="s">
        <v>217</v>
      </c>
      <c r="BR118">
        <f t="shared" si="60"/>
        <v>0</v>
      </c>
      <c r="BS118" s="118" t="s">
        <v>217</v>
      </c>
      <c r="BT118">
        <f t="shared" si="61"/>
        <v>0</v>
      </c>
      <c r="BW118" t="s">
        <v>215</v>
      </c>
      <c r="BX118">
        <v>36237.32</v>
      </c>
      <c r="BY118">
        <v>35066.854564000001</v>
      </c>
      <c r="BZ118">
        <v>199482.45</v>
      </c>
    </row>
    <row r="119" spans="1:78" ht="20.25" customHeight="1" outlineLevel="1" x14ac:dyDescent="0.25">
      <c r="A119" s="39">
        <v>114</v>
      </c>
      <c r="B119" s="26" t="s">
        <v>216</v>
      </c>
      <c r="C119" s="26" t="s">
        <v>217</v>
      </c>
      <c r="D119" s="34" t="str">
        <f t="shared" ref="D119:D134" si="79">VLOOKUP($C119,$U:$X,2,0)</f>
        <v>Informācijas un komunikācijas tehnoloģiju infrastruktūras pilnveide un e-pakalpojumu nodrošināšana (Priekuļi)</v>
      </c>
      <c r="E119" s="34" t="str">
        <f t="shared" ref="E119:E134" si="80">VLOOKUP($C119,$W:$X,2,0)</f>
        <v>16.07.2021.</v>
      </c>
      <c r="F119" s="27">
        <v>20247</v>
      </c>
      <c r="G119" s="128">
        <f t="shared" si="69"/>
        <v>10118.030000000001</v>
      </c>
      <c r="H119" s="128">
        <v>0</v>
      </c>
      <c r="I119" s="128">
        <v>0</v>
      </c>
      <c r="J119" s="128">
        <v>0</v>
      </c>
      <c r="K119" s="128">
        <v>0</v>
      </c>
      <c r="L119" s="129">
        <f t="shared" si="64"/>
        <v>0</v>
      </c>
      <c r="M119" s="128">
        <v>0</v>
      </c>
      <c r="N119" s="36">
        <f t="shared" si="50"/>
        <v>30365.03</v>
      </c>
      <c r="Q119" t="str">
        <f t="shared" si="70"/>
        <v>Informācijas un komunikācijas tehnoloģiju infrastruktūras pilnveide un e-pakalpojumu nodrošināšana (Priekuļi)</v>
      </c>
      <c r="R119" t="str">
        <f t="shared" si="71"/>
        <v>16.07.2021.</v>
      </c>
      <c r="U119" s="9" t="s">
        <v>15</v>
      </c>
      <c r="V119" s="9" t="s">
        <v>488</v>
      </c>
      <c r="W119" s="9" t="s">
        <v>15</v>
      </c>
      <c r="X119" s="13" t="s">
        <v>374</v>
      </c>
      <c r="Z119" s="1" t="s">
        <v>226</v>
      </c>
      <c r="AA119" s="1" t="s">
        <v>227</v>
      </c>
      <c r="AB119" s="2">
        <v>29244.42</v>
      </c>
      <c r="AD119" s="1" t="s">
        <v>242</v>
      </c>
      <c r="AE119" s="1" t="s">
        <v>243</v>
      </c>
      <c r="AF119" s="2">
        <v>26396.36</v>
      </c>
      <c r="AH119" s="1" t="s">
        <v>248</v>
      </c>
      <c r="AI119" s="1" t="s">
        <v>249</v>
      </c>
      <c r="AJ119" s="2">
        <v>26400.52</v>
      </c>
      <c r="AL119" s="1" t="s">
        <v>256</v>
      </c>
      <c r="AM119" s="1" t="s">
        <v>257</v>
      </c>
      <c r="AN119" s="2">
        <v>23884.79</v>
      </c>
      <c r="AV119" s="119" t="s">
        <v>218</v>
      </c>
      <c r="AW119" s="113">
        <v>2835.77</v>
      </c>
      <c r="AX119">
        <f t="shared" si="52"/>
        <v>1417.885</v>
      </c>
      <c r="AY119" s="115" t="b">
        <f t="shared" si="74"/>
        <v>0</v>
      </c>
      <c r="AZ119">
        <v>11422.550000000001</v>
      </c>
      <c r="BA119">
        <v>10990.84</v>
      </c>
      <c r="BB119">
        <v>10609.75</v>
      </c>
      <c r="BC119">
        <v>10227.61</v>
      </c>
      <c r="BD119" s="122" t="s">
        <v>218</v>
      </c>
      <c r="BE119" s="118" t="str">
        <f t="shared" si="53"/>
        <v>P-291/2021</v>
      </c>
      <c r="BF119" s="125" t="str">
        <f t="shared" si="54"/>
        <v xml:space="preserve">C-19 "Vecpiebalgas vidusskolas stadiona pārbūve" </v>
      </c>
      <c r="BG119" s="125" t="str">
        <f t="shared" si="55"/>
        <v>16.07.2021.</v>
      </c>
      <c r="BH119" s="125">
        <f t="shared" si="56"/>
        <v>20247</v>
      </c>
      <c r="BI119">
        <f t="shared" si="57"/>
        <v>10123.5</v>
      </c>
      <c r="BJ119" s="136">
        <f t="shared" si="58"/>
        <v>30370.5</v>
      </c>
      <c r="BK119">
        <v>11422.550000000001</v>
      </c>
      <c r="BL119">
        <v>10990.84</v>
      </c>
      <c r="BM119">
        <v>10609.75</v>
      </c>
      <c r="BN119">
        <v>10227.61</v>
      </c>
      <c r="BO119" s="118" t="s">
        <v>219</v>
      </c>
      <c r="BP119">
        <f t="shared" si="59"/>
        <v>9637.48</v>
      </c>
      <c r="BQ119" s="118" t="s">
        <v>219</v>
      </c>
      <c r="BR119">
        <f t="shared" si="60"/>
        <v>9326.1893959999998</v>
      </c>
      <c r="BS119" s="118" t="s">
        <v>219</v>
      </c>
      <c r="BT119">
        <f t="shared" si="61"/>
        <v>13381.75</v>
      </c>
      <c r="BW119" t="s">
        <v>217</v>
      </c>
      <c r="BX119">
        <v>0</v>
      </c>
      <c r="BY119">
        <v>0</v>
      </c>
      <c r="BZ119">
        <v>0</v>
      </c>
    </row>
    <row r="120" spans="1:78" ht="20.25" customHeight="1" outlineLevel="1" x14ac:dyDescent="0.25">
      <c r="A120" s="39">
        <v>115</v>
      </c>
      <c r="B120" s="26" t="s">
        <v>218</v>
      </c>
      <c r="C120" s="26" t="s">
        <v>219</v>
      </c>
      <c r="D120" s="34" t="str">
        <f t="shared" si="79"/>
        <v xml:space="preserve">C-19 "Vecpiebalgas vidusskolas stadiona pārbūve" </v>
      </c>
      <c r="E120" s="34" t="str">
        <f t="shared" si="80"/>
        <v>16.07.2021.</v>
      </c>
      <c r="F120" s="27">
        <v>9671</v>
      </c>
      <c r="G120" s="128">
        <f t="shared" si="69"/>
        <v>10916.91</v>
      </c>
      <c r="H120" s="128">
        <f>VLOOKUP(C120,$AE:$AF,2,0)</f>
        <v>10591.84</v>
      </c>
      <c r="I120" s="128">
        <f>VLOOKUP($C120,$AI:$AJ,2,0)</f>
        <v>10273.49</v>
      </c>
      <c r="J120" s="128">
        <f>VLOOKUP($C120,$AM:$AN,2,0)</f>
        <v>9954.2900000000009</v>
      </c>
      <c r="K120" s="128">
        <f>VLOOKUP($C120,$AQ:$AR,2,0)</f>
        <v>9637.48</v>
      </c>
      <c r="L120" s="129">
        <f t="shared" si="64"/>
        <v>9326.1893959999998</v>
      </c>
      <c r="M120" s="128">
        <f>VLOOKUP($C120,$AS:$AT,2,0)-9326</f>
        <v>13381.75</v>
      </c>
      <c r="N120" s="36">
        <f t="shared" si="50"/>
        <v>83752.949395999996</v>
      </c>
      <c r="Q120" t="str">
        <f t="shared" si="70"/>
        <v xml:space="preserve">C-19 "Vecpiebalgas vidusskolas stadiona pārbūve" </v>
      </c>
      <c r="R120" t="str">
        <f t="shared" si="71"/>
        <v>16.07.2021.</v>
      </c>
      <c r="U120" s="9" t="s">
        <v>189</v>
      </c>
      <c r="V120" s="9" t="s">
        <v>489</v>
      </c>
      <c r="W120" s="9" t="s">
        <v>189</v>
      </c>
      <c r="X120" s="13" t="s">
        <v>349</v>
      </c>
      <c r="Z120" s="1" t="s">
        <v>228</v>
      </c>
      <c r="AA120" s="1" t="s">
        <v>229</v>
      </c>
      <c r="AB120" s="2">
        <v>25662.57</v>
      </c>
      <c r="AD120" s="1" t="s">
        <v>244</v>
      </c>
      <c r="AE120" s="1" t="s">
        <v>245</v>
      </c>
      <c r="AF120" s="2">
        <v>17591.47</v>
      </c>
      <c r="AH120" s="1" t="s">
        <v>250</v>
      </c>
      <c r="AI120" s="1" t="s">
        <v>251</v>
      </c>
      <c r="AJ120" s="2">
        <v>20760.809999999998</v>
      </c>
      <c r="AL120" s="1" t="s">
        <v>258</v>
      </c>
      <c r="AM120" s="1" t="s">
        <v>259</v>
      </c>
      <c r="AN120" s="2">
        <v>26311.07</v>
      </c>
      <c r="AV120" s="119" t="s">
        <v>220</v>
      </c>
      <c r="AW120" s="113">
        <v>4773.5</v>
      </c>
      <c r="AX120">
        <f t="shared" si="52"/>
        <v>2386.75</v>
      </c>
      <c r="AY120" s="115" t="b">
        <f t="shared" si="74"/>
        <v>0</v>
      </c>
      <c r="AZ120">
        <v>20044.940000000002</v>
      </c>
      <c r="BA120">
        <v>19317.23</v>
      </c>
      <c r="BB120">
        <v>18671.560000000001</v>
      </c>
      <c r="BC120">
        <v>18024.099999999999</v>
      </c>
      <c r="BD120" s="122" t="s">
        <v>220</v>
      </c>
      <c r="BE120" s="118" t="str">
        <f t="shared" si="53"/>
        <v>P-314/2021</v>
      </c>
      <c r="BF120" s="125" t="str">
        <f t="shared" si="54"/>
        <v>Ielu seguma atjaunošana Cēsīs</v>
      </c>
      <c r="BG120" s="125" t="str">
        <f t="shared" si="55"/>
        <v>30.07.2021.</v>
      </c>
      <c r="BH120" s="125">
        <f t="shared" si="56"/>
        <v>16152</v>
      </c>
      <c r="BI120">
        <f t="shared" si="57"/>
        <v>8076</v>
      </c>
      <c r="BJ120" s="136">
        <f t="shared" si="58"/>
        <v>24228</v>
      </c>
      <c r="BK120">
        <v>20044.940000000002</v>
      </c>
      <c r="BL120">
        <v>19317.23</v>
      </c>
      <c r="BM120">
        <v>18671.560000000001</v>
      </c>
      <c r="BN120">
        <v>18024.099999999999</v>
      </c>
      <c r="BO120" s="118" t="s">
        <v>221</v>
      </c>
      <c r="BP120">
        <f t="shared" si="59"/>
        <v>16857.2</v>
      </c>
      <c r="BQ120" s="118" t="s">
        <v>221</v>
      </c>
      <c r="BR120">
        <f t="shared" si="60"/>
        <v>16312.712440000001</v>
      </c>
      <c r="BS120" s="118" t="s">
        <v>221</v>
      </c>
      <c r="BT120">
        <f t="shared" si="61"/>
        <v>49178.680000000008</v>
      </c>
      <c r="BW120" t="s">
        <v>219</v>
      </c>
      <c r="BX120">
        <v>9637.48</v>
      </c>
      <c r="BY120">
        <v>9326.1893959999998</v>
      </c>
      <c r="BZ120">
        <v>13381.75</v>
      </c>
    </row>
    <row r="121" spans="1:78" ht="20.25" customHeight="1" outlineLevel="1" x14ac:dyDescent="0.25">
      <c r="A121" s="39">
        <v>116</v>
      </c>
      <c r="B121" s="26" t="s">
        <v>220</v>
      </c>
      <c r="C121" s="26" t="s">
        <v>221</v>
      </c>
      <c r="D121" s="34" t="str">
        <f t="shared" si="79"/>
        <v>Ielu seguma atjaunošana Cēsīs</v>
      </c>
      <c r="E121" s="34" t="str">
        <f t="shared" si="80"/>
        <v>30.07.2021.</v>
      </c>
      <c r="F121" s="27">
        <v>16152</v>
      </c>
      <c r="G121" s="128">
        <f t="shared" si="69"/>
        <v>19037.66</v>
      </c>
      <c r="H121" s="128">
        <f>VLOOKUP(C121,$AE:$AF,2,0)</f>
        <v>18481.02</v>
      </c>
      <c r="I121" s="128">
        <f>VLOOKUP($C121,$AI:$AJ,2,0)</f>
        <v>17938.53</v>
      </c>
      <c r="J121" s="128">
        <f>VLOOKUP($C121,$AM:$AN,2,0)</f>
        <v>17394.510000000002</v>
      </c>
      <c r="K121" s="128">
        <f>VLOOKUP($C121,$AQ:$AR,2,0)</f>
        <v>16857.2</v>
      </c>
      <c r="L121" s="129">
        <f t="shared" si="64"/>
        <v>16312.712440000001</v>
      </c>
      <c r="M121" s="128">
        <f>VLOOKUP($C121,$AS:$AT,2,0)-16313</f>
        <v>49178.680000000008</v>
      </c>
      <c r="N121" s="36">
        <f t="shared" si="50"/>
        <v>171352.31244000001</v>
      </c>
      <c r="Q121" t="str">
        <f t="shared" si="70"/>
        <v>Ielu seguma atjaunošana Cēsīs</v>
      </c>
      <c r="R121" t="str">
        <f t="shared" si="71"/>
        <v>30.07.2021.</v>
      </c>
      <c r="U121" s="9" t="s">
        <v>197</v>
      </c>
      <c r="V121" s="9" t="s">
        <v>490</v>
      </c>
      <c r="W121" s="9" t="s">
        <v>197</v>
      </c>
      <c r="X121" s="13" t="s">
        <v>491</v>
      </c>
      <c r="Z121" s="1" t="s">
        <v>230</v>
      </c>
      <c r="AA121" s="1" t="s">
        <v>231</v>
      </c>
      <c r="AB121" s="2">
        <v>44710.26</v>
      </c>
      <c r="AD121" s="1" t="s">
        <v>246</v>
      </c>
      <c r="AE121" s="1" t="s">
        <v>247</v>
      </c>
      <c r="AF121" s="2">
        <v>11697.52</v>
      </c>
      <c r="AH121" s="1" t="s">
        <v>252</v>
      </c>
      <c r="AI121" s="1" t="s">
        <v>253</v>
      </c>
      <c r="AJ121" s="2">
        <v>30244.94</v>
      </c>
      <c r="AV121" s="119" t="s">
        <v>222</v>
      </c>
      <c r="AW121" s="113">
        <v>121464.57</v>
      </c>
      <c r="AX121">
        <f t="shared" si="52"/>
        <v>60732.285000000003</v>
      </c>
      <c r="AY121" s="115" t="b">
        <f t="shared" si="74"/>
        <v>0</v>
      </c>
      <c r="AZ121">
        <v>537306</v>
      </c>
      <c r="BA121">
        <v>521397.51</v>
      </c>
      <c r="BB121">
        <v>509225.33999999997</v>
      </c>
      <c r="BC121">
        <v>497019.69999999995</v>
      </c>
      <c r="BD121" s="122" t="s">
        <v>222</v>
      </c>
      <c r="BE121" s="118" t="str">
        <f t="shared" si="53"/>
        <v>P-312/2021</v>
      </c>
      <c r="BF121" s="125" t="str">
        <f t="shared" si="54"/>
        <v>Enerģētiski pašpietiekamas ēkas būvniecība Cēsīs, nākotnes tehnoloģiju zinātnes centra vajadzībām (Cēsis)</v>
      </c>
      <c r="BG121" s="125" t="str">
        <f t="shared" si="55"/>
        <v>30.07.2021</v>
      </c>
      <c r="BH121" s="125">
        <f t="shared" si="56"/>
        <v>355004</v>
      </c>
      <c r="BI121">
        <f t="shared" si="57"/>
        <v>177502</v>
      </c>
      <c r="BJ121" s="136">
        <f t="shared" si="58"/>
        <v>532506</v>
      </c>
      <c r="BK121">
        <v>537306</v>
      </c>
      <c r="BL121">
        <v>521397.51</v>
      </c>
      <c r="BM121">
        <v>509225.33999999997</v>
      </c>
      <c r="BN121">
        <v>497019.69999999995</v>
      </c>
      <c r="BO121" s="118" t="s">
        <v>223</v>
      </c>
      <c r="BP121">
        <f t="shared" si="59"/>
        <v>453488.94</v>
      </c>
      <c r="BQ121" s="118" t="s">
        <v>223</v>
      </c>
      <c r="BR121">
        <f t="shared" si="60"/>
        <v>438841.24723799998</v>
      </c>
      <c r="BS121" s="118" t="s">
        <v>223</v>
      </c>
      <c r="BT121">
        <f t="shared" si="61"/>
        <v>6149047.54</v>
      </c>
      <c r="BW121" t="s">
        <v>221</v>
      </c>
      <c r="BX121">
        <v>16857.2</v>
      </c>
      <c r="BY121">
        <v>16312.712440000001</v>
      </c>
      <c r="BZ121">
        <v>49178.680000000008</v>
      </c>
    </row>
    <row r="122" spans="1:78" ht="20.25" customHeight="1" outlineLevel="1" x14ac:dyDescent="0.25">
      <c r="A122" s="39">
        <v>117</v>
      </c>
      <c r="B122" s="26" t="s">
        <v>222</v>
      </c>
      <c r="C122" s="26" t="s">
        <v>223</v>
      </c>
      <c r="D122" s="34" t="str">
        <f t="shared" si="79"/>
        <v>Enerģētiski pašpietiekamas ēkas būvniecība Cēsīs, nākotnes tehnoloģiju zinātnes centra vajadzībām (Cēsis)</v>
      </c>
      <c r="E122" s="34" t="str">
        <f t="shared" si="80"/>
        <v>30.07.2021</v>
      </c>
      <c r="F122" s="27">
        <v>355004</v>
      </c>
      <c r="G122" s="128">
        <f t="shared" si="69"/>
        <v>495058.52</v>
      </c>
      <c r="H122" s="128">
        <f>VLOOKUP(C122,$AE:$AF,2,0)</f>
        <v>484034.02</v>
      </c>
      <c r="I122" s="128">
        <f>VLOOKUP($C122,$AI:$AJ,2,0)</f>
        <v>473691.3</v>
      </c>
      <c r="J122" s="128">
        <f>VLOOKUP($C122,$AM:$AN,2,0)</f>
        <v>463320.22</v>
      </c>
      <c r="K122" s="128">
        <f>VLOOKUP($C122,$AQ:$AR,2,0)</f>
        <v>453488.94</v>
      </c>
      <c r="L122" s="129">
        <f t="shared" si="64"/>
        <v>438841.24723799998</v>
      </c>
      <c r="M122" s="128">
        <f>VLOOKUP($C122,$AS:$AT,2,0)-438841</f>
        <v>6149047.54</v>
      </c>
      <c r="N122" s="36">
        <f t="shared" si="50"/>
        <v>9312485.787238</v>
      </c>
      <c r="Q122" t="str">
        <f t="shared" si="70"/>
        <v>Enerģētiski pašpietiekamas ēkas būvniecība Cēsīs, nākotnes tehnoloģiju zinātnes centra vajadzībām (Cēsis)</v>
      </c>
      <c r="R122" t="str">
        <f t="shared" si="71"/>
        <v>30.07.2021</v>
      </c>
      <c r="U122" s="8" t="s">
        <v>217</v>
      </c>
      <c r="V122" s="9" t="s">
        <v>492</v>
      </c>
      <c r="W122" s="8" t="s">
        <v>217</v>
      </c>
      <c r="X122" s="13" t="s">
        <v>493</v>
      </c>
      <c r="Z122" s="1" t="s">
        <v>232</v>
      </c>
      <c r="AA122" s="1" t="s">
        <v>233</v>
      </c>
      <c r="AB122" s="2">
        <v>35726.75</v>
      </c>
      <c r="AD122" s="1" t="s">
        <v>248</v>
      </c>
      <c r="AE122" s="1" t="s">
        <v>249</v>
      </c>
      <c r="AF122" s="2">
        <v>27269.83</v>
      </c>
      <c r="AH122" s="1" t="s">
        <v>254</v>
      </c>
      <c r="AI122" s="1" t="s">
        <v>255</v>
      </c>
      <c r="AJ122" s="2">
        <v>35060.29</v>
      </c>
      <c r="AV122" s="119" t="s">
        <v>224</v>
      </c>
      <c r="AW122" s="113">
        <v>10141.07</v>
      </c>
      <c r="AX122">
        <f t="shared" si="52"/>
        <v>5070.5349999999999</v>
      </c>
      <c r="AY122" s="115" t="b">
        <f t="shared" si="74"/>
        <v>0</v>
      </c>
      <c r="AZ122">
        <v>43529.979999999996</v>
      </c>
      <c r="BA122">
        <v>42058.87</v>
      </c>
      <c r="BB122">
        <v>40819.86</v>
      </c>
      <c r="BC122">
        <v>39577.46</v>
      </c>
      <c r="BD122" s="122" t="s">
        <v>224</v>
      </c>
      <c r="BE122" s="118" t="str">
        <f t="shared" si="53"/>
        <v>P-311/2021</v>
      </c>
      <c r="BF122" s="125" t="str">
        <f t="shared" si="54"/>
        <v>Cēsu novada vispārējās izglītības iestāžu modernizācija</v>
      </c>
      <c r="BG122" s="125" t="str">
        <f t="shared" si="55"/>
        <v>30.07.2021.</v>
      </c>
      <c r="BH122" s="125">
        <f t="shared" si="56"/>
        <v>16152</v>
      </c>
      <c r="BI122">
        <f t="shared" si="57"/>
        <v>8076</v>
      </c>
      <c r="BJ122" s="136">
        <f t="shared" si="58"/>
        <v>24228</v>
      </c>
      <c r="BK122">
        <v>43529.979999999996</v>
      </c>
      <c r="BL122">
        <v>42058.87</v>
      </c>
      <c r="BM122">
        <v>40819.86</v>
      </c>
      <c r="BN122">
        <v>39577.46</v>
      </c>
      <c r="BO122" s="118" t="s">
        <v>225</v>
      </c>
      <c r="BP122">
        <f t="shared" si="59"/>
        <v>36473.97</v>
      </c>
      <c r="BQ122" s="118" t="s">
        <v>225</v>
      </c>
      <c r="BR122">
        <f t="shared" si="60"/>
        <v>35295.860768999999</v>
      </c>
      <c r="BS122" s="118" t="s">
        <v>225</v>
      </c>
      <c r="BT122">
        <f t="shared" si="61"/>
        <v>245723.12</v>
      </c>
      <c r="BW122" t="s">
        <v>223</v>
      </c>
      <c r="BX122">
        <v>453488.94</v>
      </c>
      <c r="BY122">
        <v>438841.24723799998</v>
      </c>
      <c r="BZ122">
        <v>6149047.54</v>
      </c>
    </row>
    <row r="123" spans="1:78" ht="20.25" customHeight="1" outlineLevel="1" x14ac:dyDescent="0.25">
      <c r="A123" s="39">
        <v>118</v>
      </c>
      <c r="B123" s="26" t="s">
        <v>224</v>
      </c>
      <c r="C123" s="26" t="s">
        <v>225</v>
      </c>
      <c r="D123" s="34" t="str">
        <f t="shared" si="79"/>
        <v>Cēsu novada vispārējās izglītības iestāžu modernizācija</v>
      </c>
      <c r="E123" s="34" t="str">
        <f t="shared" si="80"/>
        <v>30.07.2021.</v>
      </c>
      <c r="F123" s="27">
        <v>32324</v>
      </c>
      <c r="G123" s="128">
        <f t="shared" si="69"/>
        <v>40685.18</v>
      </c>
      <c r="H123" s="128">
        <f>VLOOKUP(C123,$AE:$AF,2,0)</f>
        <v>39596.410000000003</v>
      </c>
      <c r="I123" s="128">
        <f>VLOOKUP($C123,$AI:$AJ,2,0)</f>
        <v>38548.65</v>
      </c>
      <c r="J123" s="128">
        <f>VLOOKUP($C123,$AM:$AN,2,0)</f>
        <v>37498.009999999995</v>
      </c>
      <c r="K123" s="128">
        <f>VLOOKUP($C123,$AQ:$AR,2,0)</f>
        <v>36473.97</v>
      </c>
      <c r="L123" s="129">
        <f t="shared" si="64"/>
        <v>35295.860768999999</v>
      </c>
      <c r="M123" s="128">
        <f>VLOOKUP($C123,$AS:$AT,2,0)-35296</f>
        <v>245723.12</v>
      </c>
      <c r="N123" s="36">
        <f t="shared" si="50"/>
        <v>506145.20076899999</v>
      </c>
      <c r="Q123" t="str">
        <f t="shared" si="70"/>
        <v>Cēsu novada vispārējās izglītības iestāžu modernizācija</v>
      </c>
      <c r="R123" t="str">
        <f t="shared" si="71"/>
        <v>30.07.2021.</v>
      </c>
      <c r="U123" s="9" t="s">
        <v>227</v>
      </c>
      <c r="V123" s="9" t="s">
        <v>494</v>
      </c>
      <c r="W123" s="9" t="s">
        <v>227</v>
      </c>
      <c r="X123" s="13" t="s">
        <v>495</v>
      </c>
      <c r="Z123" s="1" t="s">
        <v>234</v>
      </c>
      <c r="AA123" s="1" t="s">
        <v>235</v>
      </c>
      <c r="AB123" s="2">
        <v>21569.13</v>
      </c>
      <c r="AD123" s="1" t="s">
        <v>250</v>
      </c>
      <c r="AE123" s="1" t="s">
        <v>251</v>
      </c>
      <c r="AF123" s="2">
        <v>21444.43</v>
      </c>
      <c r="AH123" s="1" t="s">
        <v>256</v>
      </c>
      <c r="AI123" s="1" t="s">
        <v>257</v>
      </c>
      <c r="AJ123" s="2">
        <v>24771.57</v>
      </c>
      <c r="AV123" s="119" t="s">
        <v>226</v>
      </c>
      <c r="AW123" s="113">
        <v>15876.68</v>
      </c>
      <c r="AX123">
        <f t="shared" si="52"/>
        <v>7938.34</v>
      </c>
      <c r="AY123" s="115" t="b">
        <f t="shared" si="74"/>
        <v>0</v>
      </c>
      <c r="AZ123">
        <v>29244.42</v>
      </c>
      <c r="BA123">
        <v>0</v>
      </c>
      <c r="BB123">
        <v>0</v>
      </c>
      <c r="BC123">
        <v>0</v>
      </c>
      <c r="BD123" s="122" t="s">
        <v>226</v>
      </c>
      <c r="BE123" s="118" t="str">
        <f t="shared" si="53"/>
        <v>P-313/2021</v>
      </c>
      <c r="BF123" s="125" t="str">
        <f t="shared" si="54"/>
        <v>C-19 "Pašvaldības transporta infrastruktūras ( ielas) attīstībai (Priekuļi)</v>
      </c>
      <c r="BG123" s="125" t="str">
        <f t="shared" si="55"/>
        <v>04.08.2021.</v>
      </c>
      <c r="BH123" s="125">
        <f t="shared" si="56"/>
        <v>63497</v>
      </c>
      <c r="BI123">
        <f t="shared" si="57"/>
        <v>31748.5</v>
      </c>
      <c r="BJ123" s="136">
        <f t="shared" si="58"/>
        <v>95245.5</v>
      </c>
      <c r="BK123">
        <v>29244.42</v>
      </c>
      <c r="BL123">
        <v>0</v>
      </c>
      <c r="BM123">
        <v>0</v>
      </c>
      <c r="BN123">
        <v>0</v>
      </c>
      <c r="BO123" s="118" t="s">
        <v>227</v>
      </c>
      <c r="BP123">
        <f t="shared" si="59"/>
        <v>0</v>
      </c>
      <c r="BQ123" s="118" t="s">
        <v>227</v>
      </c>
      <c r="BR123">
        <f t="shared" si="60"/>
        <v>0</v>
      </c>
      <c r="BS123" s="118" t="s">
        <v>227</v>
      </c>
      <c r="BT123">
        <f t="shared" si="61"/>
        <v>0</v>
      </c>
      <c r="BW123" t="s">
        <v>225</v>
      </c>
      <c r="BX123">
        <v>36473.97</v>
      </c>
      <c r="BY123">
        <v>35295.860768999999</v>
      </c>
      <c r="BZ123">
        <v>245723.12</v>
      </c>
    </row>
    <row r="124" spans="1:78" ht="20.25" customHeight="1" outlineLevel="1" x14ac:dyDescent="0.25">
      <c r="A124" s="39">
        <v>119</v>
      </c>
      <c r="B124" s="26" t="s">
        <v>226</v>
      </c>
      <c r="C124" s="26" t="s">
        <v>227</v>
      </c>
      <c r="D124" s="34" t="str">
        <f t="shared" si="79"/>
        <v>C-19 "Pašvaldības transporta infrastruktūras ( ielas) attīstībai (Priekuļi)</v>
      </c>
      <c r="E124" s="34" t="str">
        <f t="shared" si="80"/>
        <v>04.08.2021.</v>
      </c>
      <c r="F124" s="27">
        <v>63497</v>
      </c>
      <c r="G124" s="128">
        <f t="shared" si="69"/>
        <v>29244.42</v>
      </c>
      <c r="H124" s="128">
        <v>0</v>
      </c>
      <c r="I124" s="128">
        <v>0</v>
      </c>
      <c r="J124" s="128">
        <v>0</v>
      </c>
      <c r="K124" s="128">
        <v>0</v>
      </c>
      <c r="L124" s="129">
        <f t="shared" si="64"/>
        <v>0</v>
      </c>
      <c r="M124" s="128">
        <v>0</v>
      </c>
      <c r="N124" s="36">
        <f t="shared" si="50"/>
        <v>92741.42</v>
      </c>
      <c r="Q124" t="str">
        <f t="shared" si="70"/>
        <v>C-19 "Pašvaldības transporta infrastruktūras ( ielas) attīstībai (Priekuļi)</v>
      </c>
      <c r="R124" t="str">
        <f t="shared" si="71"/>
        <v>04.08.2021.</v>
      </c>
      <c r="U124" s="9" t="s">
        <v>27</v>
      </c>
      <c r="V124" s="9" t="s">
        <v>496</v>
      </c>
      <c r="W124" s="9" t="s">
        <v>27</v>
      </c>
      <c r="X124" s="13" t="s">
        <v>497</v>
      </c>
      <c r="Z124" s="1" t="s">
        <v>236</v>
      </c>
      <c r="AA124" s="1" t="s">
        <v>237</v>
      </c>
      <c r="AB124" s="2">
        <v>75256.990000000005</v>
      </c>
      <c r="AD124" s="1" t="s">
        <v>252</v>
      </c>
      <c r="AE124" s="1" t="s">
        <v>253</v>
      </c>
      <c r="AF124" s="2">
        <v>31287.449999999997</v>
      </c>
      <c r="AH124" s="1" t="s">
        <v>258</v>
      </c>
      <c r="AI124" s="1" t="s">
        <v>259</v>
      </c>
      <c r="AJ124" s="2">
        <v>27287.93</v>
      </c>
      <c r="AV124" s="119" t="s">
        <v>228</v>
      </c>
      <c r="AW124" s="113">
        <v>6125.53</v>
      </c>
      <c r="AX124">
        <f t="shared" si="52"/>
        <v>3062.7649999999999</v>
      </c>
      <c r="AY124" s="115" t="b">
        <f t="shared" si="74"/>
        <v>0</v>
      </c>
      <c r="AZ124">
        <v>26927.08</v>
      </c>
      <c r="BA124">
        <v>26028.94</v>
      </c>
      <c r="BB124">
        <v>25153.57</v>
      </c>
      <c r="BC124">
        <v>24275.8</v>
      </c>
      <c r="BD124" s="122" t="s">
        <v>228</v>
      </c>
      <c r="BE124" s="118" t="str">
        <f t="shared" si="53"/>
        <v>P-389/2021</v>
      </c>
      <c r="BF124" s="125" t="str">
        <f t="shared" si="54"/>
        <v>Pārgaujas novada pašvaldības autoceļu atjaunošana</v>
      </c>
      <c r="BG124" s="125" t="str">
        <f t="shared" si="55"/>
        <v>08.09.2021</v>
      </c>
      <c r="BH124" s="125">
        <f t="shared" si="56"/>
        <v>22604</v>
      </c>
      <c r="BI124">
        <f t="shared" si="57"/>
        <v>11302</v>
      </c>
      <c r="BJ124" s="136">
        <f t="shared" si="58"/>
        <v>33906</v>
      </c>
      <c r="BK124">
        <v>26927.08</v>
      </c>
      <c r="BL124">
        <v>26028.94</v>
      </c>
      <c r="BM124">
        <v>25153.57</v>
      </c>
      <c r="BN124">
        <v>24275.8</v>
      </c>
      <c r="BO124" s="118" t="s">
        <v>229</v>
      </c>
      <c r="BP124">
        <f t="shared" si="59"/>
        <v>22702.43</v>
      </c>
      <c r="BQ124" s="118" t="s">
        <v>229</v>
      </c>
      <c r="BR124">
        <f t="shared" si="60"/>
        <v>21969.141511000002</v>
      </c>
      <c r="BS124" s="118" t="s">
        <v>229</v>
      </c>
      <c r="BT124">
        <f t="shared" si="61"/>
        <v>65689.260000000009</v>
      </c>
      <c r="BW124" t="s">
        <v>227</v>
      </c>
      <c r="BX124">
        <v>0</v>
      </c>
      <c r="BY124">
        <v>0</v>
      </c>
      <c r="BZ124">
        <v>0</v>
      </c>
    </row>
    <row r="125" spans="1:78" ht="20.25" customHeight="1" outlineLevel="1" x14ac:dyDescent="0.25">
      <c r="A125" s="39">
        <v>120</v>
      </c>
      <c r="B125" s="26" t="s">
        <v>228</v>
      </c>
      <c r="C125" s="26" t="s">
        <v>229</v>
      </c>
      <c r="D125" s="34" t="str">
        <f t="shared" si="79"/>
        <v>Pārgaujas novada pašvaldības autoceļu atjaunošana</v>
      </c>
      <c r="E125" s="34" t="str">
        <f t="shared" si="80"/>
        <v>08.09.2021</v>
      </c>
      <c r="F125" s="27">
        <v>22604</v>
      </c>
      <c r="G125" s="128">
        <f t="shared" si="69"/>
        <v>25662.57</v>
      </c>
      <c r="H125" s="128">
        <f t="shared" ref="H125:H140" si="81">VLOOKUP(C125,$AE:$AF,2,0)</f>
        <v>24906.95</v>
      </c>
      <c r="I125" s="128">
        <f t="shared" ref="I125:I140" si="82">VLOOKUP($C125,$AI:$AJ,2,0)</f>
        <v>24170.440000000002</v>
      </c>
      <c r="J125" s="128">
        <f t="shared" ref="J125:J140" si="83">VLOOKUP($C125,$AM:$AN,2,0)</f>
        <v>23431.919999999998</v>
      </c>
      <c r="K125" s="128">
        <f t="shared" ref="K125:K140" si="84">VLOOKUP($C125,$AQ:$AR,2,0)</f>
        <v>22702.43</v>
      </c>
      <c r="L125" s="129">
        <f t="shared" si="64"/>
        <v>21969.141511000002</v>
      </c>
      <c r="M125" s="128">
        <f>VLOOKUP($C125,$AS:$AT,2,0)-21969</f>
        <v>65689.260000000009</v>
      </c>
      <c r="N125" s="36">
        <f t="shared" si="50"/>
        <v>231136.711511</v>
      </c>
      <c r="Q125" t="str">
        <f t="shared" si="70"/>
        <v>Pārgaujas novada pašvaldības autoceļu atjaunošana</v>
      </c>
      <c r="R125" t="str">
        <f t="shared" si="71"/>
        <v>08.09.2021</v>
      </c>
      <c r="U125" s="9" t="s">
        <v>25</v>
      </c>
      <c r="V125" s="9" t="s">
        <v>498</v>
      </c>
      <c r="W125" s="9" t="s">
        <v>25</v>
      </c>
      <c r="X125" s="13" t="s">
        <v>499</v>
      </c>
      <c r="Z125" s="1" t="s">
        <v>238</v>
      </c>
      <c r="AA125" s="1" t="s">
        <v>239</v>
      </c>
      <c r="AB125" s="2">
        <v>22390.370000000003</v>
      </c>
      <c r="AD125" s="1" t="s">
        <v>254</v>
      </c>
      <c r="AE125" s="1" t="s">
        <v>255</v>
      </c>
      <c r="AF125" s="2">
        <v>36192.29</v>
      </c>
      <c r="AV125" s="119" t="s">
        <v>234</v>
      </c>
      <c r="AW125" s="113">
        <v>5195.7</v>
      </c>
      <c r="AX125">
        <f t="shared" si="52"/>
        <v>2597.85</v>
      </c>
      <c r="AY125" s="115" t="b">
        <f t="shared" si="74"/>
        <v>0</v>
      </c>
      <c r="AZ125">
        <v>22820.06</v>
      </c>
      <c r="BA125">
        <v>22370.49</v>
      </c>
      <c r="BB125">
        <v>21711.08</v>
      </c>
      <c r="BC125">
        <v>21049.850000000002</v>
      </c>
      <c r="BD125" s="122" t="s">
        <v>234</v>
      </c>
      <c r="BE125" s="118" t="str">
        <f t="shared" si="53"/>
        <v>P-513/2021</v>
      </c>
      <c r="BF125" s="125" t="str">
        <f t="shared" si="54"/>
        <v>Vecpiebalgas vidusskolas infrastruktūras uzlabošana un materiāli tehniskās bāzes pilnveidošana"īstenošanai</v>
      </c>
      <c r="BG125" s="125" t="str">
        <f t="shared" si="55"/>
        <v>02.11.2021.</v>
      </c>
      <c r="BH125" s="125">
        <f t="shared" si="56"/>
        <v>24657.46</v>
      </c>
      <c r="BI125">
        <f t="shared" si="57"/>
        <v>12328.73</v>
      </c>
      <c r="BJ125" s="136">
        <f t="shared" si="58"/>
        <v>36986.19</v>
      </c>
      <c r="BK125">
        <v>22820.06</v>
      </c>
      <c r="BL125">
        <v>22370.49</v>
      </c>
      <c r="BM125">
        <v>21711.08</v>
      </c>
      <c r="BN125">
        <v>21049.850000000002</v>
      </c>
      <c r="BO125" s="118" t="s">
        <v>235</v>
      </c>
      <c r="BP125">
        <f t="shared" si="59"/>
        <v>19456.82</v>
      </c>
      <c r="BQ125" s="118" t="s">
        <v>235</v>
      </c>
      <c r="BR125">
        <f t="shared" si="60"/>
        <v>18828.364713999999</v>
      </c>
      <c r="BS125" s="118" t="s">
        <v>235</v>
      </c>
      <c r="BT125">
        <f t="shared" si="61"/>
        <v>116793.07999999999</v>
      </c>
      <c r="BW125" t="s">
        <v>229</v>
      </c>
      <c r="BX125">
        <v>22702.43</v>
      </c>
      <c r="BY125">
        <v>21969.141511000002</v>
      </c>
      <c r="BZ125">
        <v>65689.260000000009</v>
      </c>
    </row>
    <row r="126" spans="1:78" ht="20.25" customHeight="1" outlineLevel="1" x14ac:dyDescent="0.25">
      <c r="A126" s="39">
        <v>121</v>
      </c>
      <c r="B126" s="26" t="s">
        <v>230</v>
      </c>
      <c r="C126" s="26" t="s">
        <v>231</v>
      </c>
      <c r="D126" s="34" t="str">
        <f t="shared" si="79"/>
        <v>Alauksta ielas pārbūve (km0.545)"</v>
      </c>
      <c r="E126" s="34" t="str">
        <f t="shared" si="80"/>
        <v>02.11.2021.</v>
      </c>
      <c r="F126" s="27">
        <v>24657.46</v>
      </c>
      <c r="G126" s="128">
        <f t="shared" si="69"/>
        <v>44710.26</v>
      </c>
      <c r="H126" s="128">
        <f t="shared" si="81"/>
        <v>43750.14</v>
      </c>
      <c r="I126" s="128">
        <f t="shared" si="82"/>
        <v>42604.11</v>
      </c>
      <c r="J126" s="128">
        <f t="shared" si="83"/>
        <v>41454.93</v>
      </c>
      <c r="K126" s="128">
        <f t="shared" si="84"/>
        <v>40331.72</v>
      </c>
      <c r="L126" s="129">
        <f t="shared" si="64"/>
        <v>39029.005444000002</v>
      </c>
      <c r="M126" s="128">
        <f>VLOOKUP($C126,$AS:$AT,2,0)-30029</f>
        <v>251097.77000000002</v>
      </c>
      <c r="N126" s="36">
        <f t="shared" si="50"/>
        <v>527635.39544400002</v>
      </c>
      <c r="Q126" t="str">
        <f t="shared" si="70"/>
        <v>Alauksta ielas pārbūve (km0.545)"</v>
      </c>
      <c r="R126" t="str">
        <f t="shared" si="71"/>
        <v>02.11.2021.</v>
      </c>
      <c r="U126" s="9" t="s">
        <v>31</v>
      </c>
      <c r="V126" s="9" t="s">
        <v>500</v>
      </c>
      <c r="W126" s="9" t="s">
        <v>31</v>
      </c>
      <c r="X126" s="13" t="s">
        <v>501</v>
      </c>
      <c r="Z126" s="1" t="s">
        <v>240</v>
      </c>
      <c r="AA126" s="1" t="s">
        <v>241</v>
      </c>
      <c r="AB126" s="2">
        <v>79123.679999999993</v>
      </c>
      <c r="AD126" s="1" t="s">
        <v>256</v>
      </c>
      <c r="AE126" s="1" t="s">
        <v>257</v>
      </c>
      <c r="AF126" s="2">
        <v>25649.48</v>
      </c>
      <c r="AV126" s="119" t="s">
        <v>232</v>
      </c>
      <c r="AW126" s="113">
        <v>8740.2099999999991</v>
      </c>
      <c r="AX126">
        <f t="shared" si="52"/>
        <v>4370.1049999999996</v>
      </c>
      <c r="AY126" s="115" t="b">
        <f t="shared" si="74"/>
        <v>0</v>
      </c>
      <c r="AZ126">
        <v>37240.870000000003</v>
      </c>
      <c r="BA126">
        <v>36275.479999999996</v>
      </c>
      <c r="BB126">
        <v>35051.030000000006</v>
      </c>
      <c r="BC126">
        <v>33823.200000000004</v>
      </c>
      <c r="BD126" s="122" t="s">
        <v>232</v>
      </c>
      <c r="BE126" s="118" t="str">
        <f t="shared" si="53"/>
        <v>P-512/2021</v>
      </c>
      <c r="BF126" s="125" t="str">
        <f t="shared" si="54"/>
        <v>Grants seguma ielu virsmu divkārtu apstrāde un ietvju izbūve un atjaunošana (Cēsis)</v>
      </c>
      <c r="BG126" s="125" t="str">
        <f t="shared" si="55"/>
        <v>02.11.2021.</v>
      </c>
      <c r="BH126" s="125">
        <f t="shared" si="56"/>
        <v>24657.46</v>
      </c>
      <c r="BI126">
        <f t="shared" si="57"/>
        <v>12328.73</v>
      </c>
      <c r="BJ126" s="136">
        <f t="shared" si="58"/>
        <v>36986.19</v>
      </c>
      <c r="BK126">
        <v>37240.870000000003</v>
      </c>
      <c r="BL126">
        <v>36275.479999999996</v>
      </c>
      <c r="BM126">
        <v>35051.030000000006</v>
      </c>
      <c r="BN126">
        <v>33823.200000000004</v>
      </c>
      <c r="BO126" s="118" t="s">
        <v>233</v>
      </c>
      <c r="BP126">
        <f t="shared" si="59"/>
        <v>31745.63</v>
      </c>
      <c r="BQ126" s="118" t="s">
        <v>233</v>
      </c>
      <c r="BR126">
        <f t="shared" si="60"/>
        <v>30720.246150999999</v>
      </c>
      <c r="BS126" s="118" t="s">
        <v>233</v>
      </c>
      <c r="BT126">
        <f t="shared" si="61"/>
        <v>70706.76999999999</v>
      </c>
      <c r="BW126" t="s">
        <v>231</v>
      </c>
      <c r="BX126">
        <v>40331.72</v>
      </c>
      <c r="BY126">
        <v>39029.005444000002</v>
      </c>
      <c r="BZ126">
        <v>251097.77000000002</v>
      </c>
    </row>
    <row r="127" spans="1:78" ht="20.25" customHeight="1" outlineLevel="1" x14ac:dyDescent="0.25">
      <c r="A127" s="39">
        <v>122</v>
      </c>
      <c r="B127" s="26" t="s">
        <v>232</v>
      </c>
      <c r="C127" s="26" t="s">
        <v>233</v>
      </c>
      <c r="D127" s="34" t="str">
        <f t="shared" si="79"/>
        <v>Grants seguma ielu virsmu divkārtu apstrāde un ietvju izbūve un atjaunošana (Cēsis)</v>
      </c>
      <c r="E127" s="34" t="str">
        <f t="shared" si="80"/>
        <v>02.11.2021.</v>
      </c>
      <c r="F127" s="27">
        <v>33146</v>
      </c>
      <c r="G127" s="128">
        <f t="shared" si="69"/>
        <v>35726.75</v>
      </c>
      <c r="H127" s="128">
        <f t="shared" si="81"/>
        <v>34813.49</v>
      </c>
      <c r="I127" s="128">
        <f t="shared" si="82"/>
        <v>33789.29</v>
      </c>
      <c r="J127" s="128">
        <f t="shared" si="83"/>
        <v>32762.29</v>
      </c>
      <c r="K127" s="128">
        <f t="shared" si="84"/>
        <v>31745.63</v>
      </c>
      <c r="L127" s="129">
        <f t="shared" si="64"/>
        <v>30720.246150999999</v>
      </c>
      <c r="M127" s="128">
        <f>VLOOKUP($C127,$AS:$AT,2,0)-30720</f>
        <v>70706.76999999999</v>
      </c>
      <c r="N127" s="36">
        <f t="shared" si="50"/>
        <v>303410.466151</v>
      </c>
      <c r="Q127" t="str">
        <f t="shared" si="70"/>
        <v>Grants seguma ielu virsmu divkārtu apstrāde un ietvju izbūve un atjaunošana (Cēsis)</v>
      </c>
      <c r="R127" t="str">
        <f t="shared" si="71"/>
        <v>02.11.2021.</v>
      </c>
      <c r="U127" s="9" t="s">
        <v>147</v>
      </c>
      <c r="V127" s="9" t="s">
        <v>502</v>
      </c>
      <c r="W127" s="9" t="s">
        <v>147</v>
      </c>
      <c r="X127" s="13" t="s">
        <v>503</v>
      </c>
      <c r="Z127" s="1" t="s">
        <v>242</v>
      </c>
      <c r="AA127" s="1" t="s">
        <v>243</v>
      </c>
      <c r="AB127" s="2">
        <v>17605.98</v>
      </c>
      <c r="AD127" s="1" t="s">
        <v>258</v>
      </c>
      <c r="AE127" s="1" t="s">
        <v>259</v>
      </c>
      <c r="AF127" s="2">
        <v>28255.4</v>
      </c>
      <c r="AV127" s="119" t="s">
        <v>230</v>
      </c>
      <c r="AW127" s="113">
        <v>10770.61</v>
      </c>
      <c r="AX127">
        <f t="shared" si="52"/>
        <v>5385.3050000000003</v>
      </c>
      <c r="AY127" s="115" t="b">
        <f t="shared" si="74"/>
        <v>0</v>
      </c>
      <c r="AZ127">
        <v>47303.31</v>
      </c>
      <c r="BA127">
        <v>46371.369999999995</v>
      </c>
      <c r="BB127">
        <v>45004.490000000005</v>
      </c>
      <c r="BC127">
        <v>43633.88</v>
      </c>
      <c r="BD127" s="122" t="s">
        <v>230</v>
      </c>
      <c r="BE127" s="118" t="str">
        <f t="shared" si="53"/>
        <v>P-511/2021</v>
      </c>
      <c r="BF127" s="125" t="str">
        <f t="shared" si="54"/>
        <v>Alauksta ielas pārbūve (km0.545)"</v>
      </c>
      <c r="BG127" s="125" t="str">
        <f t="shared" si="55"/>
        <v>02.11.2021.</v>
      </c>
      <c r="BH127" s="125">
        <f t="shared" si="56"/>
        <v>24657.46</v>
      </c>
      <c r="BI127">
        <f t="shared" si="57"/>
        <v>12328.73</v>
      </c>
      <c r="BJ127" s="136">
        <f t="shared" si="58"/>
        <v>36986.19</v>
      </c>
      <c r="BK127">
        <v>47303.31</v>
      </c>
      <c r="BL127">
        <v>46371.369999999995</v>
      </c>
      <c r="BM127">
        <v>45004.490000000005</v>
      </c>
      <c r="BN127">
        <v>43633.88</v>
      </c>
      <c r="BO127" s="118" t="s">
        <v>231</v>
      </c>
      <c r="BP127">
        <f t="shared" si="59"/>
        <v>40331.72</v>
      </c>
      <c r="BQ127" s="118" t="s">
        <v>231</v>
      </c>
      <c r="BR127">
        <f t="shared" si="60"/>
        <v>39029.005444000002</v>
      </c>
      <c r="BS127" s="118" t="s">
        <v>231</v>
      </c>
      <c r="BT127">
        <f t="shared" si="61"/>
        <v>251097.77000000002</v>
      </c>
      <c r="BW127" t="s">
        <v>233</v>
      </c>
      <c r="BX127">
        <v>31745.63</v>
      </c>
      <c r="BY127">
        <v>30720.246150999999</v>
      </c>
      <c r="BZ127">
        <v>70706.76999999999</v>
      </c>
    </row>
    <row r="128" spans="1:78" ht="20.25" customHeight="1" outlineLevel="1" x14ac:dyDescent="0.25">
      <c r="A128" s="39">
        <v>123</v>
      </c>
      <c r="B128" s="26" t="s">
        <v>234</v>
      </c>
      <c r="C128" s="26" t="s">
        <v>235</v>
      </c>
      <c r="D128" s="34" t="str">
        <f t="shared" si="79"/>
        <v>Vecpiebalgas vidusskolas infrastruktūras uzlabošana un materiāli tehniskās bāzes pilnveidošana"īstenošanai</v>
      </c>
      <c r="E128" s="34" t="str">
        <f t="shared" si="80"/>
        <v>02.11.2021.</v>
      </c>
      <c r="F128" s="27">
        <v>11856.95</v>
      </c>
      <c r="G128" s="128">
        <f t="shared" si="69"/>
        <v>21569.13</v>
      </c>
      <c r="H128" s="128">
        <f t="shared" si="81"/>
        <v>21105.96</v>
      </c>
      <c r="I128" s="128">
        <f t="shared" si="82"/>
        <v>20553.080000000002</v>
      </c>
      <c r="J128" s="128">
        <f t="shared" si="83"/>
        <v>19998.690000000002</v>
      </c>
      <c r="K128" s="128">
        <f t="shared" si="84"/>
        <v>19456.82</v>
      </c>
      <c r="L128" s="129">
        <f t="shared" si="64"/>
        <v>18828.364713999999</v>
      </c>
      <c r="M128" s="128">
        <f>VLOOKUP($C128,$AS:$AT,2,0)-18828</f>
        <v>116793.07999999999</v>
      </c>
      <c r="N128" s="36">
        <f t="shared" si="50"/>
        <v>250162.07471399999</v>
      </c>
      <c r="Q128" t="str">
        <f t="shared" si="70"/>
        <v>Vecpiebalgas vidusskolas infrastruktūras uzlabošana un materiāli tehniskās bāzes pilnveidošana"īstenošanai</v>
      </c>
      <c r="R128" t="str">
        <f t="shared" si="71"/>
        <v>02.11.2021.</v>
      </c>
      <c r="U128" s="9" t="s">
        <v>149</v>
      </c>
      <c r="V128" s="9" t="s">
        <v>504</v>
      </c>
      <c r="W128" s="9" t="s">
        <v>149</v>
      </c>
      <c r="X128" s="13" t="s">
        <v>505</v>
      </c>
      <c r="Z128" s="1" t="s">
        <v>244</v>
      </c>
      <c r="AA128" s="1" t="s">
        <v>245</v>
      </c>
      <c r="AB128" s="2">
        <v>5581.62</v>
      </c>
      <c r="AV128" s="119" t="s">
        <v>236</v>
      </c>
      <c r="AW128" s="113">
        <v>17999.14</v>
      </c>
      <c r="AX128">
        <f t="shared" si="52"/>
        <v>8999.57</v>
      </c>
      <c r="AY128" s="115" t="b">
        <f t="shared" si="74"/>
        <v>0</v>
      </c>
      <c r="AZ128">
        <v>80557.27</v>
      </c>
      <c r="BA128">
        <v>79403.049999999988</v>
      </c>
      <c r="BB128">
        <v>77340.69</v>
      </c>
      <c r="BC128">
        <v>75272.659999999989</v>
      </c>
      <c r="BD128" s="122" t="s">
        <v>236</v>
      </c>
      <c r="BE128" s="118" t="str">
        <f t="shared" si="53"/>
        <v>P-510/2021</v>
      </c>
      <c r="BF128" s="125" t="str">
        <f t="shared" si="54"/>
        <v>Gaujas ielas pārbūve Līgatnē, Cēsu novadā</v>
      </c>
      <c r="BG128" s="125" t="str">
        <f t="shared" si="55"/>
        <v>04.11.2021.</v>
      </c>
      <c r="BH128" s="125">
        <f t="shared" si="56"/>
        <v>61426</v>
      </c>
      <c r="BI128">
        <f t="shared" si="57"/>
        <v>30713</v>
      </c>
      <c r="BJ128" s="136">
        <f t="shared" si="58"/>
        <v>92139</v>
      </c>
      <c r="BK128">
        <v>80557.27</v>
      </c>
      <c r="BL128">
        <v>79403.049999999988</v>
      </c>
      <c r="BM128">
        <v>77340.69</v>
      </c>
      <c r="BN128">
        <v>75272.659999999989</v>
      </c>
      <c r="BO128" s="118" t="s">
        <v>237</v>
      </c>
      <c r="BP128">
        <f t="shared" si="59"/>
        <v>68735.83</v>
      </c>
      <c r="BQ128" s="118" t="s">
        <v>237</v>
      </c>
      <c r="BR128">
        <f t="shared" si="60"/>
        <v>66515.662691000005</v>
      </c>
      <c r="BS128" s="118" t="s">
        <v>237</v>
      </c>
      <c r="BT128">
        <f t="shared" si="61"/>
        <v>668041.44000000006</v>
      </c>
      <c r="BW128" t="s">
        <v>235</v>
      </c>
      <c r="BX128">
        <v>19456.82</v>
      </c>
      <c r="BY128">
        <v>18828.364713999999</v>
      </c>
      <c r="BZ128">
        <v>116793.07999999999</v>
      </c>
    </row>
    <row r="129" spans="1:78" ht="20.25" customHeight="1" outlineLevel="1" x14ac:dyDescent="0.25">
      <c r="A129" s="39">
        <v>124</v>
      </c>
      <c r="B129" s="26" t="s">
        <v>236</v>
      </c>
      <c r="C129" s="26" t="s">
        <v>237</v>
      </c>
      <c r="D129" s="34" t="str">
        <f t="shared" si="79"/>
        <v>Gaujas ielas pārbūve Līgatnē, Cēsu novadā</v>
      </c>
      <c r="E129" s="34" t="str">
        <f t="shared" si="80"/>
        <v>04.11.2021.</v>
      </c>
      <c r="F129" s="27">
        <v>61426</v>
      </c>
      <c r="G129" s="128">
        <f t="shared" si="69"/>
        <v>75256.990000000005</v>
      </c>
      <c r="H129" s="128">
        <f t="shared" si="81"/>
        <v>73889.33</v>
      </c>
      <c r="I129" s="128">
        <f t="shared" si="82"/>
        <v>72153.63</v>
      </c>
      <c r="J129" s="128">
        <f t="shared" si="83"/>
        <v>70413.16</v>
      </c>
      <c r="K129" s="128">
        <f t="shared" si="84"/>
        <v>68735.83</v>
      </c>
      <c r="L129" s="129">
        <f t="shared" si="64"/>
        <v>66515.662691000005</v>
      </c>
      <c r="M129" s="128">
        <f>VLOOKUP($C129,$AS:$AT,2,0)-66516</f>
        <v>668041.44000000006</v>
      </c>
      <c r="N129" s="36">
        <f t="shared" si="50"/>
        <v>1156432.042691</v>
      </c>
      <c r="Q129" t="str">
        <f t="shared" si="70"/>
        <v>Gaujas ielas pārbūve Līgatnē, Cēsu novadā</v>
      </c>
      <c r="R129" t="str">
        <f t="shared" si="71"/>
        <v>04.11.2021.</v>
      </c>
      <c r="U129" s="9" t="s">
        <v>151</v>
      </c>
      <c r="V129" s="9" t="s">
        <v>506</v>
      </c>
      <c r="W129" s="9" t="s">
        <v>151</v>
      </c>
      <c r="X129" s="13" t="s">
        <v>507</v>
      </c>
      <c r="Z129" s="1" t="s">
        <v>246</v>
      </c>
      <c r="AA129" s="1" t="s">
        <v>247</v>
      </c>
      <c r="AB129" s="2">
        <v>7858.3099999999995</v>
      </c>
      <c r="AV129" s="119" t="s">
        <v>238</v>
      </c>
      <c r="AW129" s="113">
        <v>5543.98</v>
      </c>
      <c r="AX129">
        <f t="shared" si="52"/>
        <v>2771.99</v>
      </c>
      <c r="AY129" s="115" t="b">
        <f t="shared" si="74"/>
        <v>0</v>
      </c>
      <c r="AZ129">
        <v>23287.38</v>
      </c>
      <c r="BA129">
        <v>22818.13</v>
      </c>
      <c r="BB129">
        <v>22045.920000000002</v>
      </c>
      <c r="BC129">
        <v>21271.59</v>
      </c>
      <c r="BD129" s="122" t="s">
        <v>238</v>
      </c>
      <c r="BE129" s="118" t="str">
        <f t="shared" si="53"/>
        <v>P-562/2021</v>
      </c>
      <c r="BF129" s="125" t="str">
        <f t="shared" si="54"/>
        <v>Cēsu pilsētas 1. pirmsskolas izglītības iestādes teritorijas labiekārtošanas darbi</v>
      </c>
      <c r="BG129" s="125" t="str">
        <f t="shared" si="55"/>
        <v>02.12.2021.</v>
      </c>
      <c r="BH129" s="125">
        <f t="shared" si="56"/>
        <v>12403.11</v>
      </c>
      <c r="BI129">
        <f t="shared" si="57"/>
        <v>6201.5550000000003</v>
      </c>
      <c r="BJ129" s="136">
        <f t="shared" si="58"/>
        <v>18604.665000000001</v>
      </c>
      <c r="BK129">
        <v>23287.38</v>
      </c>
      <c r="BL129">
        <v>22818.13</v>
      </c>
      <c r="BM129">
        <v>22045.920000000002</v>
      </c>
      <c r="BN129">
        <v>21271.59</v>
      </c>
      <c r="BO129" s="118" t="s">
        <v>239</v>
      </c>
      <c r="BP129">
        <f t="shared" si="59"/>
        <v>19909.150000000001</v>
      </c>
      <c r="BQ129" s="118" t="s">
        <v>239</v>
      </c>
      <c r="BR129">
        <f t="shared" si="60"/>
        <v>19266.084455</v>
      </c>
      <c r="BS129" s="118" t="s">
        <v>239</v>
      </c>
      <c r="BT129">
        <f t="shared" si="61"/>
        <v>53854.420000000013</v>
      </c>
      <c r="BW129" t="s">
        <v>237</v>
      </c>
      <c r="BX129">
        <v>68735.83</v>
      </c>
      <c r="BY129">
        <v>66515.662691000005</v>
      </c>
      <c r="BZ129">
        <v>668041.44000000006</v>
      </c>
    </row>
    <row r="130" spans="1:78" ht="20.25" customHeight="1" outlineLevel="1" x14ac:dyDescent="0.25">
      <c r="A130" s="39">
        <v>125</v>
      </c>
      <c r="B130" s="26" t="s">
        <v>238</v>
      </c>
      <c r="C130" s="26" t="s">
        <v>239</v>
      </c>
      <c r="D130" s="34" t="str">
        <f t="shared" si="79"/>
        <v>Cēsu pilsētas 1. pirmsskolas izglītības iestādes teritorijas labiekārtošanas darbi</v>
      </c>
      <c r="E130" s="34" t="str">
        <f t="shared" si="80"/>
        <v>02.12.2021.</v>
      </c>
      <c r="F130" s="27">
        <v>12403.11</v>
      </c>
      <c r="G130" s="128">
        <f t="shared" si="69"/>
        <v>22390.370000000003</v>
      </c>
      <c r="H130" s="128">
        <f t="shared" si="81"/>
        <v>21853.73</v>
      </c>
      <c r="I130" s="128">
        <f t="shared" si="82"/>
        <v>21204.21</v>
      </c>
      <c r="J130" s="128">
        <f t="shared" si="83"/>
        <v>20552.88</v>
      </c>
      <c r="K130" s="128">
        <f t="shared" si="84"/>
        <v>19909.150000000001</v>
      </c>
      <c r="L130" s="129">
        <f t="shared" si="64"/>
        <v>19266.084455</v>
      </c>
      <c r="M130" s="128">
        <f>VLOOKUP($C130,$AS:$AT,2,0)-19266</f>
        <v>53854.420000000013</v>
      </c>
      <c r="N130" s="36">
        <f t="shared" si="50"/>
        <v>191433.95445500003</v>
      </c>
      <c r="Q130" t="str">
        <f t="shared" si="70"/>
        <v>Cēsu pilsētas 1. pirmsskolas izglītības iestādes teritorijas labiekārtošanas darbi</v>
      </c>
      <c r="R130" t="str">
        <f t="shared" si="71"/>
        <v>02.12.2021.</v>
      </c>
      <c r="U130" s="9" t="s">
        <v>153</v>
      </c>
      <c r="V130" s="9" t="s">
        <v>508</v>
      </c>
      <c r="W130" s="9" t="s">
        <v>153</v>
      </c>
      <c r="X130" s="13" t="s">
        <v>509</v>
      </c>
      <c r="Z130" s="1" t="s">
        <v>248</v>
      </c>
      <c r="AA130" s="1" t="s">
        <v>249</v>
      </c>
      <c r="AB130" s="2">
        <v>18370.96</v>
      </c>
      <c r="AV130" s="119" t="s">
        <v>240</v>
      </c>
      <c r="AW130" s="113">
        <v>19960.77</v>
      </c>
      <c r="AX130">
        <f t="shared" si="52"/>
        <v>9980.3850000000002</v>
      </c>
      <c r="AY130" s="115" t="b">
        <f t="shared" si="74"/>
        <v>0</v>
      </c>
      <c r="AZ130">
        <v>82889.08</v>
      </c>
      <c r="BA130">
        <v>81683.19</v>
      </c>
      <c r="BB130">
        <v>79202.66</v>
      </c>
      <c r="BC130">
        <v>76715.3</v>
      </c>
      <c r="BD130" s="122" t="s">
        <v>240</v>
      </c>
      <c r="BE130" s="118" t="str">
        <f t="shared" si="53"/>
        <v>P-584/2021</v>
      </c>
      <c r="BF130" s="125" t="str">
        <f t="shared" si="54"/>
        <v>C-19 Piebalgas pamatskolas ēkas pārbūve par sociālās aprūpes centru, Jaunpiebalgas pagasts, Jaunpiebalgas novads</v>
      </c>
      <c r="BG130" s="125" t="str">
        <f t="shared" si="55"/>
        <v>23.12.2021.</v>
      </c>
      <c r="BH130" s="125">
        <f t="shared" si="56"/>
        <v>73185</v>
      </c>
      <c r="BI130">
        <f t="shared" si="57"/>
        <v>36592.5</v>
      </c>
      <c r="BJ130" s="136">
        <f t="shared" si="58"/>
        <v>109777.5</v>
      </c>
      <c r="BK130">
        <v>82889.08</v>
      </c>
      <c r="BL130">
        <v>81683.19</v>
      </c>
      <c r="BM130">
        <v>79202.66</v>
      </c>
      <c r="BN130">
        <v>76715.3</v>
      </c>
      <c r="BO130" s="118" t="s">
        <v>241</v>
      </c>
      <c r="BP130">
        <f t="shared" si="59"/>
        <v>70917.820000000007</v>
      </c>
      <c r="BQ130" s="118" t="s">
        <v>241</v>
      </c>
      <c r="BR130">
        <f t="shared" si="60"/>
        <v>68627.174414000008</v>
      </c>
      <c r="BS130" s="118" t="s">
        <v>241</v>
      </c>
      <c r="BT130">
        <f t="shared" si="61"/>
        <v>414564.2099999999</v>
      </c>
      <c r="BW130" t="s">
        <v>239</v>
      </c>
      <c r="BX130">
        <v>19909.150000000001</v>
      </c>
      <c r="BY130">
        <v>19266.084455</v>
      </c>
      <c r="BZ130">
        <v>53854.420000000013</v>
      </c>
    </row>
    <row r="131" spans="1:78" ht="20.25" customHeight="1" outlineLevel="1" x14ac:dyDescent="0.25">
      <c r="A131" s="39">
        <v>126</v>
      </c>
      <c r="B131" s="26" t="s">
        <v>240</v>
      </c>
      <c r="C131" s="26" t="s">
        <v>241</v>
      </c>
      <c r="D131" s="34" t="str">
        <f t="shared" si="79"/>
        <v>C-19 Piebalgas pamatskolas ēkas pārbūve par sociālās aprūpes centru, Jaunpiebalgas pagasts, Jaunpiebalgas novads</v>
      </c>
      <c r="E131" s="34" t="str">
        <f t="shared" si="80"/>
        <v>23.12.2021.</v>
      </c>
      <c r="F131" s="27">
        <v>73185</v>
      </c>
      <c r="G131" s="128">
        <f t="shared" si="69"/>
        <v>79123.679999999993</v>
      </c>
      <c r="H131" s="128">
        <f t="shared" si="81"/>
        <v>77167.72</v>
      </c>
      <c r="I131" s="128">
        <f t="shared" si="82"/>
        <v>75072.73</v>
      </c>
      <c r="J131" s="128">
        <f t="shared" si="83"/>
        <v>72972.02</v>
      </c>
      <c r="K131" s="128">
        <f t="shared" si="84"/>
        <v>70917.820000000007</v>
      </c>
      <c r="L131" s="129">
        <f t="shared" si="64"/>
        <v>68627.174414000008</v>
      </c>
      <c r="M131" s="128">
        <f>VLOOKUP($C131,$AS:$AT,2,0)-68627</f>
        <v>414564.2099999999</v>
      </c>
      <c r="N131" s="36">
        <f t="shared" si="50"/>
        <v>931630.35441399994</v>
      </c>
      <c r="Q131" t="str">
        <f t="shared" si="70"/>
        <v>C-19 Piebalgas pamatskolas ēkas pārbūve par sociālās aprūpes centru, Jaunpiebalgas pagasts, Jaunpiebalgas novads</v>
      </c>
      <c r="R131" t="str">
        <f t="shared" si="71"/>
        <v>23.12.2021.</v>
      </c>
      <c r="U131" s="9" t="s">
        <v>169</v>
      </c>
      <c r="V131" s="9" t="s">
        <v>510</v>
      </c>
      <c r="W131" s="9" t="s">
        <v>169</v>
      </c>
      <c r="X131" s="13" t="s">
        <v>511</v>
      </c>
      <c r="Z131" s="1" t="s">
        <v>250</v>
      </c>
      <c r="AA131" s="1" t="s">
        <v>251</v>
      </c>
      <c r="AB131" s="2">
        <v>14422.52</v>
      </c>
      <c r="AV131" s="119" t="s">
        <v>242</v>
      </c>
      <c r="AW131" s="113">
        <v>2197.91</v>
      </c>
      <c r="AX131">
        <f t="shared" si="52"/>
        <v>1098.9549999999999</v>
      </c>
      <c r="AY131" s="115" t="b">
        <f t="shared" si="74"/>
        <v>0</v>
      </c>
      <c r="AZ131">
        <v>19092.579999999998</v>
      </c>
      <c r="BA131">
        <v>27633.09</v>
      </c>
      <c r="BB131">
        <v>26639.930000000004</v>
      </c>
      <c r="BC131">
        <v>25644.07</v>
      </c>
      <c r="BD131" s="122" t="s">
        <v>242</v>
      </c>
      <c r="BE131" s="118" t="str">
        <f t="shared" si="53"/>
        <v>P-158/2022</v>
      </c>
      <c r="BF131" s="125" t="str">
        <f t="shared" si="54"/>
        <v>Jumpravas ielas atjaunošana Līgatnē, Cēsu novadā</v>
      </c>
      <c r="BG131" s="125" t="str">
        <f t="shared" si="55"/>
        <v>19.07.2022</v>
      </c>
      <c r="BH131" s="125">
        <f t="shared" si="56"/>
        <v>3974</v>
      </c>
      <c r="BI131">
        <f t="shared" si="57"/>
        <v>1987</v>
      </c>
      <c r="BJ131" s="136">
        <f t="shared" si="58"/>
        <v>5961</v>
      </c>
      <c r="BK131">
        <v>19092.579999999998</v>
      </c>
      <c r="BL131">
        <v>27633.09</v>
      </c>
      <c r="BM131">
        <v>26639.930000000004</v>
      </c>
      <c r="BN131">
        <v>25644.07</v>
      </c>
      <c r="BO131" s="118" t="s">
        <v>243</v>
      </c>
      <c r="BP131">
        <f t="shared" si="59"/>
        <v>23834.559999999998</v>
      </c>
      <c r="BQ131" s="118" t="s">
        <v>243</v>
      </c>
      <c r="BR131">
        <f t="shared" si="60"/>
        <v>23064.703711999999</v>
      </c>
      <c r="BS131" s="118" t="s">
        <v>243</v>
      </c>
      <c r="BT131">
        <f t="shared" si="61"/>
        <v>86948.950000000012</v>
      </c>
      <c r="BW131" t="s">
        <v>241</v>
      </c>
      <c r="BX131">
        <v>70917.820000000007</v>
      </c>
      <c r="BY131">
        <v>68627.174414000008</v>
      </c>
      <c r="BZ131">
        <v>414564.2099999999</v>
      </c>
    </row>
    <row r="132" spans="1:78" ht="20.25" customHeight="1" outlineLevel="1" x14ac:dyDescent="0.25">
      <c r="A132" s="39">
        <v>127</v>
      </c>
      <c r="B132" s="26" t="s">
        <v>242</v>
      </c>
      <c r="C132" s="26" t="s">
        <v>243</v>
      </c>
      <c r="D132" s="34" t="str">
        <f t="shared" si="79"/>
        <v>Jumpravas ielas atjaunošana Līgatnē, Cēsu novadā</v>
      </c>
      <c r="E132" s="34" t="str">
        <f t="shared" si="80"/>
        <v>19.07.2022</v>
      </c>
      <c r="F132" s="27">
        <v>3974</v>
      </c>
      <c r="G132" s="128">
        <f t="shared" si="69"/>
        <v>17605.98</v>
      </c>
      <c r="H132" s="128">
        <f t="shared" si="81"/>
        <v>26396.36</v>
      </c>
      <c r="I132" s="128">
        <f t="shared" si="82"/>
        <v>25539.72</v>
      </c>
      <c r="J132" s="128">
        <f t="shared" si="83"/>
        <v>24680.75</v>
      </c>
      <c r="K132" s="128">
        <f t="shared" si="84"/>
        <v>23834.559999999998</v>
      </c>
      <c r="L132" s="129">
        <f t="shared" si="64"/>
        <v>23064.703711999999</v>
      </c>
      <c r="M132" s="128">
        <f>VLOOKUP($C132,$AS:$AT,2,0)-23064</f>
        <v>86948.950000000012</v>
      </c>
      <c r="N132" s="36">
        <f t="shared" si="50"/>
        <v>232045.02371199999</v>
      </c>
      <c r="Q132" t="str">
        <f t="shared" si="70"/>
        <v>Jumpravas ielas atjaunošana Līgatnē, Cēsu novadā</v>
      </c>
      <c r="R132" t="str">
        <f t="shared" si="71"/>
        <v>19.07.2022</v>
      </c>
      <c r="U132" s="9" t="s">
        <v>173</v>
      </c>
      <c r="V132" s="9" t="s">
        <v>512</v>
      </c>
      <c r="W132" s="9" t="s">
        <v>173</v>
      </c>
      <c r="X132" s="13" t="s">
        <v>513</v>
      </c>
      <c r="Z132" s="1" t="s">
        <v>252</v>
      </c>
      <c r="AA132" s="1" t="s">
        <v>253</v>
      </c>
      <c r="AB132" s="2">
        <v>20605.260000000002</v>
      </c>
      <c r="AV132" s="119" t="s">
        <v>244</v>
      </c>
      <c r="AW132" s="113">
        <v>2522.79</v>
      </c>
      <c r="AX132">
        <f t="shared" si="52"/>
        <v>1261.395</v>
      </c>
      <c r="AY132" s="115" t="b">
        <f t="shared" si="74"/>
        <v>0</v>
      </c>
      <c r="AZ132">
        <v>11740.779999999999</v>
      </c>
      <c r="BA132">
        <v>23540.800000000003</v>
      </c>
      <c r="BB132">
        <v>34794.65</v>
      </c>
      <c r="BC132">
        <v>33500.11</v>
      </c>
      <c r="BD132" s="122" t="s">
        <v>244</v>
      </c>
      <c r="BE132" s="118" t="str">
        <f t="shared" si="53"/>
        <v>P-157/2022</v>
      </c>
      <c r="BF132" s="125" t="str">
        <f t="shared" si="54"/>
        <v>Energoefektivitātes paaugstināšana pašvaldības ēkā Rūpnīcas ielā 8, Liepā, Liepas pagastā</v>
      </c>
      <c r="BG132" s="125" t="str">
        <f t="shared" si="55"/>
        <v>19.07.2022</v>
      </c>
      <c r="BH132" s="125">
        <f t="shared" si="56"/>
        <v>3974</v>
      </c>
      <c r="BI132">
        <f t="shared" si="57"/>
        <v>1987</v>
      </c>
      <c r="BJ132" s="136">
        <f t="shared" si="58"/>
        <v>5961</v>
      </c>
      <c r="BK132">
        <v>11740.779999999999</v>
      </c>
      <c r="BL132">
        <v>23540.800000000003</v>
      </c>
      <c r="BM132">
        <v>34794.65</v>
      </c>
      <c r="BN132">
        <v>33500.11</v>
      </c>
      <c r="BO132" s="118" t="s">
        <v>245</v>
      </c>
      <c r="BP132">
        <f t="shared" si="59"/>
        <v>26727.85</v>
      </c>
      <c r="BQ132" s="118" t="s">
        <v>245</v>
      </c>
      <c r="BR132">
        <f t="shared" si="60"/>
        <v>25864.540444999999</v>
      </c>
      <c r="BS132" s="118" t="s">
        <v>245</v>
      </c>
      <c r="BT132">
        <f t="shared" si="61"/>
        <v>100262.31</v>
      </c>
      <c r="BW132" t="s">
        <v>243</v>
      </c>
      <c r="BX132">
        <v>23834.559999999998</v>
      </c>
      <c r="BY132">
        <v>23064.703711999999</v>
      </c>
      <c r="BZ132">
        <v>86948.950000000012</v>
      </c>
    </row>
    <row r="133" spans="1:78" ht="20.25" customHeight="1" x14ac:dyDescent="0.25">
      <c r="A133" s="93">
        <v>128</v>
      </c>
      <c r="B133" s="94" t="s">
        <v>244</v>
      </c>
      <c r="C133" s="94" t="s">
        <v>245</v>
      </c>
      <c r="D133" s="95" t="str">
        <f t="shared" si="79"/>
        <v>Energoefektivitātes paaugstināšana pašvaldības ēkā Rūpnīcas ielā 8, Liepā, Liepas pagastā</v>
      </c>
      <c r="E133" s="95" t="str">
        <f t="shared" si="80"/>
        <v>19.07.2022</v>
      </c>
      <c r="F133" s="96">
        <v>2666</v>
      </c>
      <c r="G133" s="130">
        <f t="shared" si="69"/>
        <v>5581.62</v>
      </c>
      <c r="H133" s="130">
        <f t="shared" si="81"/>
        <v>17591.47</v>
      </c>
      <c r="I133" s="130">
        <f t="shared" si="82"/>
        <v>28957.279999999999</v>
      </c>
      <c r="J133" s="130">
        <f t="shared" si="83"/>
        <v>27839.89</v>
      </c>
      <c r="K133" s="130">
        <f t="shared" si="84"/>
        <v>26727.85</v>
      </c>
      <c r="L133" s="131">
        <f t="shared" si="64"/>
        <v>25864.540444999999</v>
      </c>
      <c r="M133" s="132">
        <f>VLOOKUP($C133,$AS:$AT,2,0)-25865+88433</f>
        <v>100262.31</v>
      </c>
      <c r="N133" s="97">
        <f t="shared" si="50"/>
        <v>235490.96044499998</v>
      </c>
      <c r="Q133" t="str">
        <f t="shared" si="70"/>
        <v>Energoefektivitātes paaugstināšana pašvaldības ēkā Rūpnīcas ielā 8, Liepā, Liepas pagastā</v>
      </c>
      <c r="R133" t="str">
        <f t="shared" si="71"/>
        <v>19.07.2022</v>
      </c>
      <c r="U133" s="9" t="s">
        <v>175</v>
      </c>
      <c r="V133" s="9" t="s">
        <v>514</v>
      </c>
      <c r="W133" s="9" t="s">
        <v>175</v>
      </c>
      <c r="X133" s="13" t="s">
        <v>515</v>
      </c>
      <c r="Z133" s="1" t="s">
        <v>254</v>
      </c>
      <c r="AA133" s="1" t="s">
        <v>255</v>
      </c>
      <c r="AB133" s="2">
        <v>17810.38</v>
      </c>
      <c r="AV133" s="119" t="s">
        <v>246</v>
      </c>
      <c r="AW133" s="113">
        <v>1008.38</v>
      </c>
      <c r="AX133">
        <f t="shared" si="52"/>
        <v>504.19</v>
      </c>
      <c r="AY133" s="115" t="b">
        <f t="shared" si="74"/>
        <v>0</v>
      </c>
      <c r="AZ133">
        <v>8540.41</v>
      </c>
      <c r="BA133">
        <v>12267.02</v>
      </c>
      <c r="BB133">
        <v>11834.090000000002</v>
      </c>
      <c r="BC133">
        <v>11399.95</v>
      </c>
      <c r="BD133" s="122" t="s">
        <v>246</v>
      </c>
      <c r="BE133" s="118" t="str">
        <f t="shared" si="53"/>
        <v>P-156/2022</v>
      </c>
      <c r="BF133" s="125" t="str">
        <f t="shared" si="54"/>
        <v xml:space="preserve">Pašvaldības autoceļa Lieltītmaņi - Upesmuižnieki atjaunošana Līgatnes pagastā, Cēsu novadā </v>
      </c>
      <c r="BG133" s="125" t="str">
        <f t="shared" si="55"/>
        <v>19.07.2022</v>
      </c>
      <c r="BH133" s="125">
        <f t="shared" si="56"/>
        <v>3974</v>
      </c>
      <c r="BI133">
        <f t="shared" si="57"/>
        <v>1987</v>
      </c>
      <c r="BJ133" s="136">
        <f t="shared" si="58"/>
        <v>5961</v>
      </c>
      <c r="BK133">
        <v>8540.41</v>
      </c>
      <c r="BL133">
        <v>12267.02</v>
      </c>
      <c r="BM133">
        <v>11834.090000000002</v>
      </c>
      <c r="BN133">
        <v>11399.95</v>
      </c>
      <c r="BO133" s="118" t="s">
        <v>247</v>
      </c>
      <c r="BP133">
        <f t="shared" si="59"/>
        <v>10581.31</v>
      </c>
      <c r="BQ133" s="118" t="s">
        <v>247</v>
      </c>
      <c r="BR133">
        <f t="shared" si="60"/>
        <v>10239.533686999999</v>
      </c>
      <c r="BS133" s="118" t="s">
        <v>247</v>
      </c>
      <c r="BT133">
        <f t="shared" si="61"/>
        <v>42946.210000000006</v>
      </c>
      <c r="BW133" t="s">
        <v>245</v>
      </c>
      <c r="BX133">
        <v>26727.85</v>
      </c>
      <c r="BY133">
        <v>25864.540444999999</v>
      </c>
      <c r="BZ133">
        <v>100262.31</v>
      </c>
    </row>
    <row r="134" spans="1:78" ht="20.25" customHeight="1" outlineLevel="1" x14ac:dyDescent="0.25">
      <c r="A134" s="39">
        <v>129</v>
      </c>
      <c r="B134" s="26" t="s">
        <v>246</v>
      </c>
      <c r="C134" s="26" t="s">
        <v>247</v>
      </c>
      <c r="D134" s="34" t="str">
        <f t="shared" si="79"/>
        <v xml:space="preserve">Pašvaldības autoceļa Lieltītmaņi - Upesmuižnieki atjaunošana Līgatnes pagastā, Cēsu novadā </v>
      </c>
      <c r="E134" s="34" t="str">
        <f t="shared" si="80"/>
        <v>19.07.2022</v>
      </c>
      <c r="F134" s="27">
        <v>1823</v>
      </c>
      <c r="G134" s="128">
        <f t="shared" si="69"/>
        <v>7858.3099999999995</v>
      </c>
      <c r="H134" s="128">
        <f t="shared" si="81"/>
        <v>11697.52</v>
      </c>
      <c r="I134" s="128">
        <f t="shared" si="82"/>
        <v>11324.1</v>
      </c>
      <c r="J134" s="128">
        <f t="shared" si="83"/>
        <v>10949.65</v>
      </c>
      <c r="K134" s="128">
        <f t="shared" si="84"/>
        <v>10581.31</v>
      </c>
      <c r="L134" s="129">
        <f t="shared" si="64"/>
        <v>10239.533686999999</v>
      </c>
      <c r="M134" s="128">
        <f>VLOOKUP($C134,$AS:$AT,2,0)-10240</f>
        <v>42946.210000000006</v>
      </c>
      <c r="N134" s="36">
        <f t="shared" si="50"/>
        <v>107419.63368700001</v>
      </c>
      <c r="Q134" t="str">
        <f t="shared" ref="Q134:Q141" si="85">VLOOKUP($C134,$U:$X,2,0)</f>
        <v xml:space="preserve">Pašvaldības autoceļa Lieltītmaņi - Upesmuižnieki atjaunošana Līgatnes pagastā, Cēsu novadā </v>
      </c>
      <c r="R134" t="str">
        <f t="shared" ref="R134:R141" si="86">VLOOKUP($C134,$W:$X,2,0)</f>
        <v>19.07.2022</v>
      </c>
      <c r="U134" s="9" t="s">
        <v>177</v>
      </c>
      <c r="V134" s="9" t="s">
        <v>516</v>
      </c>
      <c r="W134" s="9" t="s">
        <v>177</v>
      </c>
      <c r="X134" s="13" t="s">
        <v>515</v>
      </c>
      <c r="Z134" s="1" t="s">
        <v>256</v>
      </c>
      <c r="AA134" s="1" t="s">
        <v>257</v>
      </c>
      <c r="AB134" s="2">
        <v>13207.26</v>
      </c>
      <c r="AV134" s="119" t="s">
        <v>248</v>
      </c>
      <c r="AW134" s="113">
        <v>2358.16</v>
      </c>
      <c r="AX134">
        <f t="shared" si="52"/>
        <v>1179.08</v>
      </c>
      <c r="AY134" s="115" t="b">
        <f t="shared" si="74"/>
        <v>0</v>
      </c>
      <c r="AZ134">
        <v>19966.11</v>
      </c>
      <c r="BA134">
        <v>28601.79</v>
      </c>
      <c r="BB134">
        <v>27593.93</v>
      </c>
      <c r="BC134">
        <v>26583.309999999998</v>
      </c>
      <c r="BD134" s="122" t="s">
        <v>248</v>
      </c>
      <c r="BE134" s="118" t="str">
        <f t="shared" si="53"/>
        <v>P-155/2022</v>
      </c>
      <c r="BF134" s="125" t="str">
        <f t="shared" si="54"/>
        <v>Pašvaldības autoceļa Zaube-Jaungalžēni posma km 0,450-1,650 pārbūve, Zaubes pagasts, Cēsu novads</v>
      </c>
      <c r="BG134" s="125" t="str">
        <f t="shared" si="55"/>
        <v>19.07.2022</v>
      </c>
      <c r="BH134" s="125">
        <f t="shared" si="56"/>
        <v>3974</v>
      </c>
      <c r="BI134">
        <f t="shared" si="57"/>
        <v>1987</v>
      </c>
      <c r="BJ134" s="136">
        <f t="shared" si="58"/>
        <v>5961</v>
      </c>
      <c r="BK134">
        <v>19966.11</v>
      </c>
      <c r="BL134">
        <v>28601.79</v>
      </c>
      <c r="BM134">
        <v>27593.93</v>
      </c>
      <c r="BN134">
        <v>26583.309999999998</v>
      </c>
      <c r="BO134" s="118" t="s">
        <v>249</v>
      </c>
      <c r="BP134">
        <f t="shared" si="59"/>
        <v>24671.43</v>
      </c>
      <c r="BQ134" s="118" t="s">
        <v>249</v>
      </c>
      <c r="BR134">
        <f t="shared" si="60"/>
        <v>23874.542810999999</v>
      </c>
      <c r="BS134" s="118" t="s">
        <v>249</v>
      </c>
      <c r="BT134">
        <f t="shared" si="61"/>
        <v>101010.11000000002</v>
      </c>
      <c r="BW134" t="s">
        <v>247</v>
      </c>
      <c r="BX134">
        <v>10581.31</v>
      </c>
      <c r="BY134">
        <v>10239.533686999999</v>
      </c>
      <c r="BZ134">
        <v>42946.210000000006</v>
      </c>
    </row>
    <row r="135" spans="1:78" ht="26.25" customHeight="1" outlineLevel="1" x14ac:dyDescent="0.25">
      <c r="A135" s="39">
        <v>130</v>
      </c>
      <c r="B135" s="26" t="s">
        <v>248</v>
      </c>
      <c r="C135" s="26" t="s">
        <v>249</v>
      </c>
      <c r="D135" s="22" t="s">
        <v>528</v>
      </c>
      <c r="E135" s="30" t="s">
        <v>525</v>
      </c>
      <c r="F135" s="27">
        <v>4264</v>
      </c>
      <c r="G135" s="128">
        <f t="shared" si="69"/>
        <v>18370.96</v>
      </c>
      <c r="H135" s="128">
        <f t="shared" si="81"/>
        <v>27269.83</v>
      </c>
      <c r="I135" s="128">
        <f t="shared" si="82"/>
        <v>26400.52</v>
      </c>
      <c r="J135" s="128">
        <f t="shared" si="83"/>
        <v>25528.82</v>
      </c>
      <c r="K135" s="128">
        <f t="shared" si="84"/>
        <v>24671.43</v>
      </c>
      <c r="L135" s="129">
        <f t="shared" si="64"/>
        <v>23874.542810999999</v>
      </c>
      <c r="M135" s="128">
        <f>VLOOKUP($C135,$AS:$AT,2,0)-23875</f>
        <v>101010.11000000002</v>
      </c>
      <c r="N135" s="36">
        <f t="shared" ref="N135:N150" si="87">SUM(F135:M135)</f>
        <v>251390.212811</v>
      </c>
      <c r="Q135" t="e">
        <f t="shared" si="85"/>
        <v>#N/A</v>
      </c>
      <c r="R135" t="e">
        <f t="shared" si="86"/>
        <v>#N/A</v>
      </c>
      <c r="U135" s="10" t="s">
        <v>269</v>
      </c>
      <c r="V135" s="9" t="s">
        <v>517</v>
      </c>
      <c r="W135" s="10" t="s">
        <v>269</v>
      </c>
      <c r="X135" s="13" t="s">
        <v>518</v>
      </c>
      <c r="Z135" s="1" t="s">
        <v>258</v>
      </c>
      <c r="AA135" s="1" t="s">
        <v>259</v>
      </c>
      <c r="AB135" s="2">
        <v>14587.35</v>
      </c>
      <c r="AV135" s="119" t="s">
        <v>250</v>
      </c>
      <c r="AW135" s="113">
        <v>1854.12</v>
      </c>
      <c r="AX135">
        <f t="shared" si="52"/>
        <v>927.06</v>
      </c>
      <c r="AY135" s="115" t="b">
        <f t="shared" si="74"/>
        <v>0</v>
      </c>
      <c r="AZ135">
        <v>15676.710000000001</v>
      </c>
      <c r="BA135">
        <v>22491.84</v>
      </c>
      <c r="BB135">
        <v>21699.3</v>
      </c>
      <c r="BC135">
        <v>20904.550000000003</v>
      </c>
      <c r="BD135" s="122" t="s">
        <v>250</v>
      </c>
      <c r="BE135" s="118" t="str">
        <f t="shared" si="53"/>
        <v>P-154/2022</v>
      </c>
      <c r="BF135" s="125" t="str">
        <f t="shared" si="54"/>
        <v>Notekūdeņu attīrīšanas iekārtas (NAI) un sadzīves notekūdeņu tīklu izbūve Spārē, Amatas pagastā</v>
      </c>
      <c r="BG135" s="125" t="str">
        <f t="shared" si="55"/>
        <v>19.07.2022</v>
      </c>
      <c r="BH135" s="125">
        <f t="shared" si="56"/>
        <v>3974</v>
      </c>
      <c r="BI135">
        <f t="shared" si="57"/>
        <v>1987</v>
      </c>
      <c r="BJ135" s="136">
        <f t="shared" si="58"/>
        <v>5961</v>
      </c>
      <c r="BK135">
        <v>15676.710000000001</v>
      </c>
      <c r="BL135">
        <v>22491.84</v>
      </c>
      <c r="BM135">
        <v>21699.3</v>
      </c>
      <c r="BN135">
        <v>20904.550000000003</v>
      </c>
      <c r="BO135" s="118" t="s">
        <v>251</v>
      </c>
      <c r="BP135">
        <f t="shared" si="59"/>
        <v>19401.11</v>
      </c>
      <c r="BQ135" s="118" t="s">
        <v>251</v>
      </c>
      <c r="BR135">
        <f t="shared" si="60"/>
        <v>18774.454147</v>
      </c>
      <c r="BS135" s="118" t="s">
        <v>251</v>
      </c>
      <c r="BT135">
        <f t="shared" si="61"/>
        <v>79433</v>
      </c>
      <c r="BW135" t="s">
        <v>249</v>
      </c>
      <c r="BX135">
        <v>24671.43</v>
      </c>
      <c r="BY135">
        <v>23874.542810999999</v>
      </c>
      <c r="BZ135">
        <v>101010.11000000002</v>
      </c>
    </row>
    <row r="136" spans="1:78" ht="27.75" customHeight="1" outlineLevel="1" x14ac:dyDescent="0.25">
      <c r="A136" s="39">
        <v>131</v>
      </c>
      <c r="B136" s="26" t="s">
        <v>250</v>
      </c>
      <c r="C136" s="26" t="s">
        <v>251</v>
      </c>
      <c r="D136" s="31" t="s">
        <v>529</v>
      </c>
      <c r="E136" s="32" t="s">
        <v>525</v>
      </c>
      <c r="F136" s="27">
        <v>3353</v>
      </c>
      <c r="G136" s="128">
        <f t="shared" si="69"/>
        <v>14422.52</v>
      </c>
      <c r="H136" s="128">
        <f t="shared" si="81"/>
        <v>21444.43</v>
      </c>
      <c r="I136" s="128">
        <f t="shared" si="82"/>
        <v>20760.809999999998</v>
      </c>
      <c r="J136" s="128">
        <f t="shared" si="83"/>
        <v>20075.32</v>
      </c>
      <c r="K136" s="128">
        <f t="shared" si="84"/>
        <v>19401.11</v>
      </c>
      <c r="L136" s="129">
        <f t="shared" si="64"/>
        <v>18774.454147</v>
      </c>
      <c r="M136" s="128">
        <f>VLOOKUP($C136,$AS:$AT,2,0)-18774</f>
        <v>79433</v>
      </c>
      <c r="N136" s="36">
        <f t="shared" si="87"/>
        <v>197664.64414699998</v>
      </c>
      <c r="Q136" t="e">
        <f t="shared" si="85"/>
        <v>#N/A</v>
      </c>
      <c r="R136" t="e">
        <f t="shared" si="86"/>
        <v>#N/A</v>
      </c>
      <c r="U136" s="8" t="s">
        <v>201</v>
      </c>
      <c r="V136" s="9" t="s">
        <v>519</v>
      </c>
      <c r="W136" s="8" t="s">
        <v>201</v>
      </c>
      <c r="X136" s="13" t="s">
        <v>520</v>
      </c>
      <c r="Z136" s="3"/>
      <c r="AA136" s="3"/>
      <c r="AB136" s="4">
        <v>4891075.2599999979</v>
      </c>
      <c r="AV136" s="119" t="s">
        <v>252</v>
      </c>
      <c r="AW136" s="113">
        <v>2454.02</v>
      </c>
      <c r="AX136">
        <f t="shared" si="52"/>
        <v>1227.01</v>
      </c>
      <c r="AY136" s="115" t="b">
        <f t="shared" ref="AY136:AY146" si="88">B136=AV136</f>
        <v>0</v>
      </c>
      <c r="AZ136">
        <v>22264.77</v>
      </c>
      <c r="BA136">
        <v>32659.199999999997</v>
      </c>
      <c r="BB136">
        <v>31450.54</v>
      </c>
      <c r="BC136">
        <v>30238.560000000001</v>
      </c>
      <c r="BD136" s="122" t="s">
        <v>252</v>
      </c>
      <c r="BE136" s="118" t="str">
        <f t="shared" si="53"/>
        <v>P-153/2022</v>
      </c>
      <c r="BF136" s="125" t="str">
        <f t="shared" si="54"/>
        <v>Vecpiebalgas vidusskolas pirmsskolas izglītības iestādes ēkas jumta nomaiņai</v>
      </c>
      <c r="BG136" s="125" t="str">
        <f t="shared" si="55"/>
        <v>19.07.2022</v>
      </c>
      <c r="BH136" s="125">
        <f t="shared" si="56"/>
        <v>3974</v>
      </c>
      <c r="BI136">
        <f t="shared" si="57"/>
        <v>1987</v>
      </c>
      <c r="BJ136" s="136">
        <f t="shared" si="58"/>
        <v>5961</v>
      </c>
      <c r="BK136">
        <v>22264.77</v>
      </c>
      <c r="BL136">
        <v>32659.199999999997</v>
      </c>
      <c r="BM136">
        <v>31450.54</v>
      </c>
      <c r="BN136">
        <v>30238.560000000001</v>
      </c>
      <c r="BO136" s="118" t="s">
        <v>253</v>
      </c>
      <c r="BP136">
        <f t="shared" si="59"/>
        <v>28167.48</v>
      </c>
      <c r="BQ136" s="118" t="s">
        <v>253</v>
      </c>
      <c r="BR136">
        <f t="shared" si="60"/>
        <v>27257.670396000001</v>
      </c>
      <c r="BS136" s="118" t="s">
        <v>253</v>
      </c>
      <c r="BT136">
        <f t="shared" si="61"/>
        <v>84157.95</v>
      </c>
      <c r="BW136" t="s">
        <v>251</v>
      </c>
      <c r="BX136">
        <v>19401.11</v>
      </c>
      <c r="BY136">
        <v>18774.454147</v>
      </c>
      <c r="BZ136">
        <v>79433</v>
      </c>
    </row>
    <row r="137" spans="1:78" ht="20.25" customHeight="1" outlineLevel="1" x14ac:dyDescent="0.25">
      <c r="A137" s="39">
        <v>132</v>
      </c>
      <c r="B137" s="26" t="s">
        <v>252</v>
      </c>
      <c r="C137" s="26" t="s">
        <v>253</v>
      </c>
      <c r="D137" s="33" t="s">
        <v>530</v>
      </c>
      <c r="E137" s="32" t="s">
        <v>525</v>
      </c>
      <c r="F137" s="27">
        <v>4437</v>
      </c>
      <c r="G137" s="128">
        <f t="shared" si="69"/>
        <v>20605.260000000002</v>
      </c>
      <c r="H137" s="128">
        <f t="shared" si="81"/>
        <v>31287.449999999997</v>
      </c>
      <c r="I137" s="128">
        <f t="shared" si="82"/>
        <v>30244.94</v>
      </c>
      <c r="J137" s="128">
        <f t="shared" si="83"/>
        <v>29199.56</v>
      </c>
      <c r="K137" s="128">
        <f t="shared" si="84"/>
        <v>28167.48</v>
      </c>
      <c r="L137" s="129">
        <f t="shared" si="64"/>
        <v>27257.670396000001</v>
      </c>
      <c r="M137" s="128">
        <f>VLOOKUP($C137,$AS:$AT,2,0)-27258</f>
        <v>84157.95</v>
      </c>
      <c r="N137" s="36">
        <f t="shared" si="87"/>
        <v>255357.31039599999</v>
      </c>
      <c r="Q137" t="e">
        <f t="shared" si="85"/>
        <v>#N/A</v>
      </c>
      <c r="R137" t="e">
        <f t="shared" si="86"/>
        <v>#N/A</v>
      </c>
      <c r="U137" s="8" t="s">
        <v>203</v>
      </c>
      <c r="V137" s="9" t="s">
        <v>519</v>
      </c>
      <c r="W137" s="8" t="s">
        <v>203</v>
      </c>
      <c r="X137" s="13" t="s">
        <v>520</v>
      </c>
      <c r="AV137" s="119" t="s">
        <v>254</v>
      </c>
      <c r="AW137" s="113">
        <v>2449.11</v>
      </c>
      <c r="AX137">
        <f t="shared" ref="AX137:AX150" si="89">AW137/2</f>
        <v>1224.5550000000001</v>
      </c>
      <c r="AY137" s="115" t="b">
        <f t="shared" si="88"/>
        <v>0</v>
      </c>
      <c r="AZ137">
        <v>19663.079999999998</v>
      </c>
      <c r="BA137">
        <v>37962.589999999997</v>
      </c>
      <c r="BB137">
        <v>36648.729999999996</v>
      </c>
      <c r="BC137">
        <v>35312.780000000006</v>
      </c>
      <c r="BD137" s="122" t="s">
        <v>254</v>
      </c>
      <c r="BE137" s="118" t="str">
        <f t="shared" ref="BE137:BE146" si="90">VLOOKUP(BD137,$B$8:$C$150,2,0)</f>
        <v>P-277/2022</v>
      </c>
      <c r="BF137" s="125" t="str">
        <f t="shared" ref="BF137:BF146" si="91">VLOOKUP(BE137,$C$8:$D$150,2,0)</f>
        <v>Pašvaldības autoceļa Čaukas–Kūdums atjaunošana ar divkārtu virsmas apstrāde Raiskuma pagastā, Cēsu novadā</v>
      </c>
      <c r="BG137" s="125" t="str">
        <f t="shared" ref="BG137:BG146" si="92">VLOOKUP(BF137,$D$8:$E$150,2,0)</f>
        <v>27.09.2022.</v>
      </c>
      <c r="BH137" s="125">
        <f t="shared" ref="BH137:BH146" si="93">VLOOKUP(BG137,$E$8:$F$150,2,0)</f>
        <v>7170</v>
      </c>
      <c r="BI137">
        <f t="shared" ref="BI137:BI150" si="94">BH137/2</f>
        <v>3585</v>
      </c>
      <c r="BJ137" s="136">
        <f t="shared" ref="BJ137:BJ150" si="95">BH137+BI137</f>
        <v>10755</v>
      </c>
      <c r="BK137">
        <v>19663.079999999998</v>
      </c>
      <c r="BL137">
        <v>37962.589999999997</v>
      </c>
      <c r="BM137">
        <v>36648.729999999996</v>
      </c>
      <c r="BN137">
        <v>35312.780000000006</v>
      </c>
      <c r="BO137" s="118" t="s">
        <v>255</v>
      </c>
      <c r="BP137">
        <f t="shared" ref="BP137:BP146" si="96">VLOOKUP(BO137,$BW$8:$BX$150,2,0)</f>
        <v>32777.1</v>
      </c>
      <c r="BQ137" s="118" t="s">
        <v>255</v>
      </c>
      <c r="BR137">
        <f t="shared" ref="BR137:BR146" si="97">VLOOKUP(BQ137,BW:BY,3,0)</f>
        <v>31718.399669999999</v>
      </c>
      <c r="BS137" s="118" t="s">
        <v>255</v>
      </c>
      <c r="BT137">
        <f t="shared" ref="BT137:BT146" si="98">VLOOKUP(BS137,BW:BZ,4,0)</f>
        <v>134383.53</v>
      </c>
      <c r="BW137" t="s">
        <v>253</v>
      </c>
      <c r="BX137">
        <v>28167.48</v>
      </c>
      <c r="BY137">
        <v>27257.670396000001</v>
      </c>
      <c r="BZ137">
        <v>84157.95</v>
      </c>
    </row>
    <row r="138" spans="1:78" ht="20.25" customHeight="1" outlineLevel="1" x14ac:dyDescent="0.25">
      <c r="A138" s="39">
        <v>133</v>
      </c>
      <c r="B138" s="26" t="s">
        <v>254</v>
      </c>
      <c r="C138" s="26" t="s">
        <v>255</v>
      </c>
      <c r="D138" s="34" t="str">
        <f>VLOOKUP($C138,$U:$X,2,0)</f>
        <v>Pašvaldības autoceļa Čaukas–Kūdums atjaunošana ar divkārtu virsmas apstrāde Raiskuma pagastā, Cēsu novadā</v>
      </c>
      <c r="E138" s="34" t="str">
        <f>VLOOKUP($C138,$W:$X,2,0)</f>
        <v>27.09.2022.</v>
      </c>
      <c r="F138" s="27">
        <v>7170</v>
      </c>
      <c r="G138" s="128">
        <f t="shared" si="69"/>
        <v>17810.38</v>
      </c>
      <c r="H138" s="128">
        <f t="shared" si="81"/>
        <v>36192.29</v>
      </c>
      <c r="I138" s="128">
        <f t="shared" si="82"/>
        <v>35060.29</v>
      </c>
      <c r="J138" s="128">
        <f t="shared" si="83"/>
        <v>33909.24</v>
      </c>
      <c r="K138" s="128">
        <f t="shared" si="84"/>
        <v>32777.1</v>
      </c>
      <c r="L138" s="129">
        <f t="shared" si="64"/>
        <v>31718.399669999999</v>
      </c>
      <c r="M138" s="128">
        <f>VLOOKUP($C138,$AS:$AT,2,0)-31718</f>
        <v>134383.53</v>
      </c>
      <c r="N138" s="36">
        <f t="shared" si="87"/>
        <v>329021.22967000003</v>
      </c>
      <c r="Q138" t="str">
        <f t="shared" si="85"/>
        <v>Pašvaldības autoceļa Čaukas–Kūdums atjaunošana ar divkārtu virsmas apstrāde Raiskuma pagastā, Cēsu novadā</v>
      </c>
      <c r="R138" t="str">
        <f t="shared" si="86"/>
        <v>27.09.2022.</v>
      </c>
      <c r="U138" s="8" t="s">
        <v>219</v>
      </c>
      <c r="V138" s="9" t="s">
        <v>521</v>
      </c>
      <c r="W138" s="8" t="s">
        <v>219</v>
      </c>
      <c r="X138" s="13" t="s">
        <v>493</v>
      </c>
      <c r="AV138" s="119" t="s">
        <v>258</v>
      </c>
      <c r="AW138" s="113">
        <v>2232.7800000000002</v>
      </c>
      <c r="AX138">
        <f t="shared" si="89"/>
        <v>1116.3900000000001</v>
      </c>
      <c r="AY138" s="115" t="b">
        <f t="shared" si="88"/>
        <v>0</v>
      </c>
      <c r="AZ138">
        <v>15863.849999999999</v>
      </c>
      <c r="BA138">
        <v>29602.320000000003</v>
      </c>
      <c r="BB138">
        <v>28499.15</v>
      </c>
      <c r="BC138">
        <v>27385.300000000003</v>
      </c>
      <c r="BD138" s="122" t="s">
        <v>258</v>
      </c>
      <c r="BE138" s="118" t="str">
        <f t="shared" si="90"/>
        <v>P-333/2022</v>
      </c>
      <c r="BF138" s="125" t="str">
        <f t="shared" si="91"/>
        <v>Siltumtīklu  izbūve no Br. Kaudzīšu ielas 3A līdz Gaujas ielai 25A un no Gaujas ielas 25A līdz Priežu ielai 8, Jaunpiebalgā, Jaunpiebalgas pagastā, Cēsu novadā</v>
      </c>
      <c r="BG138" s="125" t="str">
        <f t="shared" si="92"/>
        <v>04.11.2022.</v>
      </c>
      <c r="BH138" s="125">
        <f t="shared" si="93"/>
        <v>6013</v>
      </c>
      <c r="BI138">
        <f t="shared" si="94"/>
        <v>3006.5</v>
      </c>
      <c r="BJ138" s="136">
        <f t="shared" si="95"/>
        <v>9019.5</v>
      </c>
      <c r="BK138">
        <v>15863.849999999999</v>
      </c>
      <c r="BL138">
        <v>29602.320000000003</v>
      </c>
      <c r="BM138">
        <v>28499.15</v>
      </c>
      <c r="BN138">
        <v>27385.300000000003</v>
      </c>
      <c r="BO138" s="118" t="s">
        <v>259</v>
      </c>
      <c r="BP138">
        <f t="shared" si="96"/>
        <v>25350.92</v>
      </c>
      <c r="BQ138" s="118" t="s">
        <v>259</v>
      </c>
      <c r="BR138">
        <f t="shared" si="97"/>
        <v>24532.085283999997</v>
      </c>
      <c r="BS138" s="118" t="s">
        <v>259</v>
      </c>
      <c r="BT138">
        <f t="shared" si="98"/>
        <v>106987.34999999998</v>
      </c>
      <c r="BW138" t="s">
        <v>255</v>
      </c>
      <c r="BX138">
        <v>32777.1</v>
      </c>
      <c r="BY138">
        <v>31718.399669999999</v>
      </c>
      <c r="BZ138">
        <v>134383.53</v>
      </c>
    </row>
    <row r="139" spans="1:78" ht="20.25" customHeight="1" outlineLevel="1" x14ac:dyDescent="0.25">
      <c r="A139" s="39">
        <v>134</v>
      </c>
      <c r="B139" s="26" t="s">
        <v>256</v>
      </c>
      <c r="C139" s="26" t="s">
        <v>257</v>
      </c>
      <c r="D139" s="34" t="str">
        <f>VLOOKUP($C139,$U:$X,2,0)</f>
        <v>Divkārtu virsmas apstrāde Meldru, Pureņu, Viršu, Niedru, Mārtiņa, Ķiršu, Vārnu, Vālodzes, Ata Kronvalda un Kalnmuižas ielās Cēsīs</v>
      </c>
      <c r="E139" s="34" t="str">
        <f>VLOOKUP($C139,$W:$X,2,0)</f>
        <v>04.11.2022.</v>
      </c>
      <c r="F139" s="27">
        <v>6013</v>
      </c>
      <c r="G139" s="128">
        <f t="shared" si="69"/>
        <v>13207.26</v>
      </c>
      <c r="H139" s="128">
        <f t="shared" si="81"/>
        <v>25649.48</v>
      </c>
      <c r="I139" s="128">
        <f t="shared" si="82"/>
        <v>24771.57</v>
      </c>
      <c r="J139" s="128">
        <f t="shared" si="83"/>
        <v>23884.79</v>
      </c>
      <c r="K139" s="128">
        <f t="shared" si="84"/>
        <v>23013.190000000002</v>
      </c>
      <c r="L139" s="129">
        <f t="shared" si="64"/>
        <v>22269.863963000003</v>
      </c>
      <c r="M139" s="128">
        <f>VLOOKUP($C139,$AS:$AT,2,0)-22270</f>
        <v>97121.260000000009</v>
      </c>
      <c r="N139" s="36">
        <f t="shared" si="87"/>
        <v>235930.41396300003</v>
      </c>
      <c r="Q139" t="str">
        <f t="shared" si="85"/>
        <v>Divkārtu virsmas apstrāde Meldru, Pureņu, Viršu, Niedru, Mārtiņa, Ķiršu, Vārnu, Vālodzes, Ata Kronvalda un Kalnmuižas ielās Cēsīs</v>
      </c>
      <c r="R139" t="str">
        <f t="shared" si="86"/>
        <v>04.11.2022.</v>
      </c>
      <c r="U139" s="9" t="s">
        <v>231</v>
      </c>
      <c r="V139" s="9" t="s">
        <v>522</v>
      </c>
      <c r="W139" s="9" t="s">
        <v>231</v>
      </c>
      <c r="X139" s="14" t="s">
        <v>394</v>
      </c>
      <c r="AV139" s="123" t="s">
        <v>256</v>
      </c>
      <c r="AW139" s="113">
        <v>2026.5</v>
      </c>
      <c r="AX139">
        <f t="shared" si="89"/>
        <v>1013.25</v>
      </c>
      <c r="AY139" s="115" t="b">
        <f t="shared" si="88"/>
        <v>1</v>
      </c>
      <c r="AZ139">
        <v>14365.83</v>
      </c>
      <c r="BA139">
        <v>26872.18</v>
      </c>
      <c r="BB139">
        <v>25871.09</v>
      </c>
      <c r="BC139">
        <v>24859.95</v>
      </c>
      <c r="BD139" s="122" t="s">
        <v>256</v>
      </c>
      <c r="BE139" s="118" t="str">
        <f t="shared" si="90"/>
        <v>P-332/2022</v>
      </c>
      <c r="BF139" s="125" t="str">
        <f t="shared" si="91"/>
        <v>Divkārtu virsmas apstrāde Meldru, Pureņu, Viršu, Niedru, Mārtiņa, Ķiršu, Vārnu, Vālodzes, Ata Kronvalda un Kalnmuižas ielās Cēsīs</v>
      </c>
      <c r="BG139" s="125" t="str">
        <f t="shared" si="92"/>
        <v>04.11.2022.</v>
      </c>
      <c r="BH139" s="125">
        <f t="shared" si="93"/>
        <v>6013</v>
      </c>
      <c r="BI139">
        <f t="shared" si="94"/>
        <v>3006.5</v>
      </c>
      <c r="BJ139" s="136">
        <f t="shared" si="95"/>
        <v>9019.5</v>
      </c>
      <c r="BK139">
        <v>14365.83</v>
      </c>
      <c r="BL139">
        <v>26872.18</v>
      </c>
      <c r="BM139">
        <v>25871.09</v>
      </c>
      <c r="BN139">
        <v>24859.95</v>
      </c>
      <c r="BO139" s="118" t="s">
        <v>257</v>
      </c>
      <c r="BP139">
        <f t="shared" si="96"/>
        <v>23013.190000000002</v>
      </c>
      <c r="BQ139" s="118" t="s">
        <v>257</v>
      </c>
      <c r="BR139">
        <f t="shared" si="97"/>
        <v>22269.863963000003</v>
      </c>
      <c r="BS139" s="118" t="s">
        <v>257</v>
      </c>
      <c r="BT139">
        <f t="shared" si="98"/>
        <v>97121.260000000009</v>
      </c>
      <c r="BW139" t="s">
        <v>257</v>
      </c>
      <c r="BX139">
        <v>23013.190000000002</v>
      </c>
      <c r="BY139">
        <v>22269.863963000003</v>
      </c>
      <c r="BZ139">
        <v>97121.260000000009</v>
      </c>
    </row>
    <row r="140" spans="1:78" ht="20.25" customHeight="1" outlineLevel="1" x14ac:dyDescent="0.25">
      <c r="A140" s="39">
        <v>135</v>
      </c>
      <c r="B140" s="50" t="s">
        <v>258</v>
      </c>
      <c r="C140" s="50" t="s">
        <v>259</v>
      </c>
      <c r="D140" s="51" t="str">
        <f>VLOOKUP($C140,$U:$X,2,0)</f>
        <v>Siltumtīklu  izbūve no Br. Kaudzīšu ielas 3A līdz Gaujas ielai 25A un no Gaujas ielas 25A līdz Priežu ielai 8, Jaunpiebalgā, Jaunpiebalgas pagastā, Cēsu novadā</v>
      </c>
      <c r="E140" s="51" t="str">
        <f>VLOOKUP($C140,$W:$X,2,0)</f>
        <v>04.11.2022.</v>
      </c>
      <c r="F140" s="52">
        <v>6621</v>
      </c>
      <c r="G140" s="133">
        <f t="shared" si="69"/>
        <v>14587.35</v>
      </c>
      <c r="H140" s="133">
        <f t="shared" si="81"/>
        <v>28255.4</v>
      </c>
      <c r="I140" s="133">
        <f t="shared" si="82"/>
        <v>27287.93</v>
      </c>
      <c r="J140" s="133">
        <f t="shared" si="83"/>
        <v>26311.07</v>
      </c>
      <c r="K140" s="133">
        <f t="shared" si="84"/>
        <v>25350.92</v>
      </c>
      <c r="L140" s="133">
        <f t="shared" si="64"/>
        <v>24532.085283999997</v>
      </c>
      <c r="M140" s="133">
        <f>VLOOKUP($C140,$AS:$AT,2,0)-24532</f>
        <v>106987.34999999998</v>
      </c>
      <c r="N140" s="53">
        <f t="shared" si="87"/>
        <v>259933.10528399996</v>
      </c>
      <c r="Q140" t="str">
        <f t="shared" si="85"/>
        <v>Siltumtīklu  izbūve no Br. Kaudzīšu ielas 3A līdz Gaujas ielai 25A un no Gaujas ielas 25A līdz Priežu ielai 8, Jaunpiebalgā, Jaunpiebalgas pagastā, Cēsu novadā</v>
      </c>
      <c r="R140" t="str">
        <f t="shared" si="86"/>
        <v>04.11.2022.</v>
      </c>
      <c r="U140" s="9" t="s">
        <v>235</v>
      </c>
      <c r="V140" s="9" t="s">
        <v>523</v>
      </c>
      <c r="W140" s="9" t="s">
        <v>235</v>
      </c>
      <c r="X140" s="14" t="s">
        <v>394</v>
      </c>
      <c r="AV140" s="119" t="s">
        <v>572</v>
      </c>
      <c r="AW140" s="113">
        <v>2281.4899999999998</v>
      </c>
      <c r="AX140">
        <f t="shared" si="89"/>
        <v>1140.7449999999999</v>
      </c>
      <c r="AY140" s="115" t="b">
        <f t="shared" si="88"/>
        <v>0</v>
      </c>
      <c r="AZ140">
        <v>14456.73</v>
      </c>
      <c r="BA140">
        <v>43877.69</v>
      </c>
      <c r="BB140">
        <v>42247.46</v>
      </c>
      <c r="BC140">
        <v>40517.760000000002</v>
      </c>
      <c r="BD140" s="122" t="s">
        <v>572</v>
      </c>
      <c r="BE140" s="118" t="str">
        <f t="shared" si="90"/>
        <v>P-108/2023</v>
      </c>
      <c r="BF140" s="125" t="str">
        <f t="shared" si="91"/>
        <v>prioritārais investīciju projekts “Stalbes pagasta siltumtīklu pārbūve Stalbē, Stalbes pagastā, Cēsu novadā”</v>
      </c>
      <c r="BG140" s="125" t="str">
        <f t="shared" si="92"/>
        <v>28.06.2023.</v>
      </c>
      <c r="BH140" s="125">
        <f t="shared" si="93"/>
        <v>15281</v>
      </c>
      <c r="BI140">
        <f t="shared" si="94"/>
        <v>7640.5</v>
      </c>
      <c r="BJ140" s="136">
        <f t="shared" si="95"/>
        <v>22921.5</v>
      </c>
      <c r="BK140">
        <v>14456.73</v>
      </c>
      <c r="BL140">
        <v>43877.69</v>
      </c>
      <c r="BM140">
        <v>42247.46</v>
      </c>
      <c r="BN140">
        <v>40517.760000000002</v>
      </c>
      <c r="BO140" s="118" t="s">
        <v>573</v>
      </c>
      <c r="BP140">
        <f t="shared" si="96"/>
        <v>55509</v>
      </c>
      <c r="BQ140" s="118" t="s">
        <v>573</v>
      </c>
      <c r="BR140">
        <f t="shared" si="97"/>
        <v>53857</v>
      </c>
      <c r="BS140" s="118" t="s">
        <v>573</v>
      </c>
      <c r="BT140">
        <f t="shared" si="98"/>
        <v>565497</v>
      </c>
      <c r="BW140" t="s">
        <v>259</v>
      </c>
      <c r="BX140">
        <v>25350.92</v>
      </c>
      <c r="BY140">
        <v>24532.085283999997</v>
      </c>
      <c r="BZ140">
        <v>106987.34999999998</v>
      </c>
    </row>
    <row r="141" spans="1:78" ht="28.9" customHeight="1" outlineLevel="1" x14ac:dyDescent="0.25">
      <c r="A141" s="39">
        <v>136</v>
      </c>
      <c r="B141" s="50" t="s">
        <v>562</v>
      </c>
      <c r="C141" s="50" t="s">
        <v>563</v>
      </c>
      <c r="D141" s="92" t="s">
        <v>564</v>
      </c>
      <c r="E141" s="51" t="s">
        <v>565</v>
      </c>
      <c r="F141" s="52">
        <v>1078</v>
      </c>
      <c r="G141" s="133">
        <v>1078</v>
      </c>
      <c r="H141" s="133">
        <v>8458</v>
      </c>
      <c r="I141" s="133">
        <v>10817</v>
      </c>
      <c r="J141" s="133">
        <v>10682</v>
      </c>
      <c r="K141" s="133">
        <v>10547</v>
      </c>
      <c r="L141" s="133">
        <v>10412</v>
      </c>
      <c r="M141" s="133">
        <v>32893</v>
      </c>
      <c r="N141" s="53">
        <f t="shared" si="87"/>
        <v>85965</v>
      </c>
      <c r="Q141" t="e">
        <f t="shared" si="85"/>
        <v>#N/A</v>
      </c>
      <c r="R141" t="e">
        <f t="shared" si="86"/>
        <v>#N/A</v>
      </c>
      <c r="U141" s="9"/>
      <c r="V141" s="91"/>
      <c r="W141" s="9"/>
      <c r="X141" s="14"/>
      <c r="AV141" s="119" t="s">
        <v>575</v>
      </c>
      <c r="AW141" s="113">
        <v>582.54999999999995</v>
      </c>
      <c r="AX141">
        <f t="shared" si="89"/>
        <v>291.27499999999998</v>
      </c>
      <c r="AY141" s="115" t="b">
        <f t="shared" si="88"/>
        <v>0</v>
      </c>
      <c r="AZ141">
        <v>9213.369999999999</v>
      </c>
      <c r="BA141">
        <v>18662.52</v>
      </c>
      <c r="BB141">
        <v>21246</v>
      </c>
      <c r="BC141">
        <v>20507.03</v>
      </c>
      <c r="BD141" t="s">
        <v>575</v>
      </c>
      <c r="BE141" s="118" t="str">
        <f t="shared" si="90"/>
        <v>P-109/2023</v>
      </c>
      <c r="BF141" s="125" t="str">
        <f t="shared" si="91"/>
        <v>ERAF projekts (Nr.4.2.2.0/21/A/059) “Energoefektivitātes paaugstināšana Jaunpiebalgas vidusskolā Priežu ielā 8, Jaunpiebalgā, Jaunpiebalgas pagastā, Cēsu novadā”</v>
      </c>
      <c r="BG141" s="125" t="str">
        <f t="shared" si="92"/>
        <v>28.06.2023.</v>
      </c>
      <c r="BH141" s="125">
        <f t="shared" si="93"/>
        <v>15281</v>
      </c>
      <c r="BI141">
        <f t="shared" si="94"/>
        <v>7640.5</v>
      </c>
      <c r="BJ141" s="136">
        <f t="shared" si="95"/>
        <v>22921.5</v>
      </c>
      <c r="BK141">
        <v>9213.369999999999</v>
      </c>
      <c r="BL141">
        <v>18662.52</v>
      </c>
      <c r="BM141">
        <v>21246</v>
      </c>
      <c r="BN141">
        <v>20507.03</v>
      </c>
      <c r="BO141" s="118" t="s">
        <v>574</v>
      </c>
      <c r="BP141">
        <f t="shared" si="96"/>
        <v>23714</v>
      </c>
      <c r="BQ141" s="118" t="s">
        <v>574</v>
      </c>
      <c r="BR141">
        <f t="shared" si="97"/>
        <v>23008</v>
      </c>
      <c r="BS141" s="118" t="s">
        <v>574</v>
      </c>
      <c r="BT141">
        <f t="shared" si="98"/>
        <v>241547</v>
      </c>
      <c r="BW141" t="s">
        <v>563</v>
      </c>
      <c r="BX141">
        <v>10547</v>
      </c>
      <c r="BY141">
        <v>10412</v>
      </c>
      <c r="BZ141">
        <v>32893</v>
      </c>
    </row>
    <row r="142" spans="1:78" ht="28.9" customHeight="1" outlineLevel="1" x14ac:dyDescent="0.25">
      <c r="A142" s="102">
        <v>137</v>
      </c>
      <c r="B142" s="103" t="s">
        <v>566</v>
      </c>
      <c r="C142" s="103" t="s">
        <v>567</v>
      </c>
      <c r="D142" s="104" t="s">
        <v>568</v>
      </c>
      <c r="E142" s="105" t="s">
        <v>569</v>
      </c>
      <c r="F142" s="106">
        <v>966</v>
      </c>
      <c r="G142" s="134">
        <v>1931</v>
      </c>
      <c r="H142" s="134">
        <v>19751</v>
      </c>
      <c r="I142" s="134">
        <v>19524</v>
      </c>
      <c r="J142" s="134">
        <v>19297</v>
      </c>
      <c r="K142" s="134">
        <v>19070</v>
      </c>
      <c r="L142" s="134">
        <v>18842</v>
      </c>
      <c r="M142" s="134">
        <v>64182</v>
      </c>
      <c r="N142" s="107">
        <f t="shared" si="87"/>
        <v>163563</v>
      </c>
      <c r="U142" s="9"/>
      <c r="V142" s="91"/>
      <c r="W142" s="9"/>
      <c r="X142" s="14"/>
      <c r="AV142" s="119" t="s">
        <v>579</v>
      </c>
      <c r="AW142" s="113">
        <v>1413.58</v>
      </c>
      <c r="AX142">
        <f t="shared" si="89"/>
        <v>706.79</v>
      </c>
      <c r="AY142" s="115" t="b">
        <f t="shared" si="88"/>
        <v>0</v>
      </c>
      <c r="AZ142">
        <v>9913.25</v>
      </c>
      <c r="BA142">
        <v>41835.769999999997</v>
      </c>
      <c r="BB142">
        <v>71445.41</v>
      </c>
      <c r="BC142">
        <v>67570.48000000001</v>
      </c>
      <c r="BD142" t="s">
        <v>579</v>
      </c>
      <c r="BE142" s="118" t="str">
        <f t="shared" si="90"/>
        <v>P-148/2023</v>
      </c>
      <c r="BF142" s="125" t="str">
        <f t="shared" si="91"/>
        <v>Bērzaines ielas posmā no Satekles ielas līdz Emīla Dārziņa ielai pārbūve Cēsīs, Cēsu novadā</v>
      </c>
      <c r="BG142" s="125" t="str">
        <f t="shared" si="92"/>
        <v>20.07.2023.</v>
      </c>
      <c r="BH142" s="125">
        <f t="shared" si="93"/>
        <v>72525</v>
      </c>
      <c r="BI142">
        <f t="shared" si="94"/>
        <v>36262.5</v>
      </c>
      <c r="BJ142" s="136">
        <f t="shared" si="95"/>
        <v>108787.5</v>
      </c>
      <c r="BK142">
        <v>9913.25</v>
      </c>
      <c r="BL142">
        <v>41835.769999999997</v>
      </c>
      <c r="BM142">
        <v>71445.41</v>
      </c>
      <c r="BN142">
        <v>67570.48000000001</v>
      </c>
      <c r="BO142" s="118" t="s">
        <v>580</v>
      </c>
      <c r="BP142">
        <f t="shared" si="96"/>
        <v>142265</v>
      </c>
      <c r="BQ142" s="118" t="s">
        <v>580</v>
      </c>
      <c r="BR142">
        <f t="shared" si="97"/>
        <v>138382</v>
      </c>
      <c r="BS142" s="118" t="s">
        <v>580</v>
      </c>
      <c r="BT142">
        <f t="shared" si="98"/>
        <v>2007801</v>
      </c>
      <c r="BW142" t="s">
        <v>567</v>
      </c>
      <c r="BX142">
        <v>19070</v>
      </c>
      <c r="BY142">
        <v>18842</v>
      </c>
      <c r="BZ142">
        <v>64182</v>
      </c>
    </row>
    <row r="143" spans="1:78" ht="28.9" customHeight="1" outlineLevel="1" x14ac:dyDescent="0.25">
      <c r="A143" s="102">
        <v>138</v>
      </c>
      <c r="B143" s="103" t="s">
        <v>572</v>
      </c>
      <c r="C143" s="103" t="s">
        <v>573</v>
      </c>
      <c r="D143" s="25" t="s">
        <v>570</v>
      </c>
      <c r="E143" s="105" t="s">
        <v>571</v>
      </c>
      <c r="F143" s="106">
        <v>15281</v>
      </c>
      <c r="G143" s="134">
        <v>30562</v>
      </c>
      <c r="H143" s="134">
        <v>60466</v>
      </c>
      <c r="I143" s="134">
        <v>58814</v>
      </c>
      <c r="J143" s="134">
        <v>57161</v>
      </c>
      <c r="K143" s="134">
        <v>55509</v>
      </c>
      <c r="L143" s="134">
        <v>53857</v>
      </c>
      <c r="M143" s="134">
        <f>897147-331650</f>
        <v>565497</v>
      </c>
      <c r="N143" s="107">
        <f t="shared" si="87"/>
        <v>897147</v>
      </c>
      <c r="U143" s="9"/>
      <c r="V143" s="91"/>
      <c r="W143" s="9"/>
      <c r="X143" s="14"/>
      <c r="AV143" s="119" t="s">
        <v>592</v>
      </c>
      <c r="AW143" s="113">
        <v>539.96</v>
      </c>
      <c r="AX143">
        <f t="shared" si="89"/>
        <v>269.98</v>
      </c>
      <c r="AY143" s="115" t="b">
        <f t="shared" si="88"/>
        <v>0</v>
      </c>
      <c r="AZ143">
        <v>3859.1499999999996</v>
      </c>
      <c r="BA143">
        <v>10035.899999999998</v>
      </c>
      <c r="BB143">
        <v>15858.059999999998</v>
      </c>
      <c r="BC143">
        <v>15190.42</v>
      </c>
      <c r="BD143" t="s">
        <v>592</v>
      </c>
      <c r="BE143" s="118" t="str">
        <f t="shared" si="90"/>
        <v>P-152/2023</v>
      </c>
      <c r="BF143" s="125" t="str">
        <f t="shared" si="91"/>
        <v>Apvienotā gājēju - velosipēdistu celiņa izbūve gar Zvārtas ielu posmā no autoceļa P14 līdz Kalna ielai, Līvi, Drabešu pagasts, Cēsu novads</v>
      </c>
      <c r="BG143" s="125" t="str">
        <f t="shared" si="92"/>
        <v>20.07.2023.</v>
      </c>
      <c r="BH143" s="125">
        <f t="shared" si="93"/>
        <v>72525</v>
      </c>
      <c r="BI143">
        <f t="shared" si="94"/>
        <v>36262.5</v>
      </c>
      <c r="BJ143" s="136">
        <f t="shared" si="95"/>
        <v>108787.5</v>
      </c>
      <c r="BK143">
        <v>3859.1499999999996</v>
      </c>
      <c r="BL143">
        <v>10035.899999999998</v>
      </c>
      <c r="BM143">
        <v>15858.059999999998</v>
      </c>
      <c r="BN143">
        <v>15190.42</v>
      </c>
      <c r="BO143" s="118" t="s">
        <v>593</v>
      </c>
      <c r="BP143">
        <f t="shared" si="96"/>
        <v>17536</v>
      </c>
      <c r="BQ143" s="118" t="s">
        <v>593</v>
      </c>
      <c r="BR143">
        <f t="shared" si="97"/>
        <v>16865</v>
      </c>
      <c r="BS143" s="118" t="s">
        <v>593</v>
      </c>
      <c r="BT143">
        <f t="shared" si="98"/>
        <v>80847</v>
      </c>
      <c r="BW143" t="s">
        <v>573</v>
      </c>
      <c r="BX143">
        <v>55509</v>
      </c>
      <c r="BY143">
        <v>53857</v>
      </c>
      <c r="BZ143">
        <v>565497</v>
      </c>
    </row>
    <row r="144" spans="1:78" ht="29.45" customHeight="1" outlineLevel="1" x14ac:dyDescent="0.25">
      <c r="A144" s="102">
        <v>139</v>
      </c>
      <c r="B144" s="103" t="s">
        <v>575</v>
      </c>
      <c r="C144" s="103" t="s">
        <v>574</v>
      </c>
      <c r="D144" s="25" t="s">
        <v>576</v>
      </c>
      <c r="E144" s="105" t="s">
        <v>571</v>
      </c>
      <c r="F144" s="106">
        <v>6439</v>
      </c>
      <c r="G144" s="134">
        <v>12879</v>
      </c>
      <c r="H144" s="134">
        <v>22461</v>
      </c>
      <c r="I144" s="134">
        <v>25126</v>
      </c>
      <c r="J144" s="134">
        <v>24419</v>
      </c>
      <c r="K144" s="134">
        <v>23714</v>
      </c>
      <c r="L144" s="134">
        <v>23008</v>
      </c>
      <c r="M144" s="134">
        <f>379593-138046</f>
        <v>241547</v>
      </c>
      <c r="N144" s="107">
        <f t="shared" si="87"/>
        <v>379593</v>
      </c>
      <c r="U144" s="9"/>
      <c r="V144" s="91"/>
      <c r="W144" s="9"/>
      <c r="X144" s="14"/>
      <c r="AV144" s="119" t="s">
        <v>598</v>
      </c>
      <c r="AW144" s="113">
        <v>3528.42</v>
      </c>
      <c r="AX144">
        <f t="shared" si="89"/>
        <v>1764.21</v>
      </c>
      <c r="AY144" s="115" t="b">
        <f t="shared" si="88"/>
        <v>0</v>
      </c>
      <c r="AZ144">
        <v>25871.530000000002</v>
      </c>
      <c r="BA144">
        <v>106921.12</v>
      </c>
      <c r="BB144">
        <v>182037.22999999998</v>
      </c>
      <c r="BC144">
        <v>172520.02000000002</v>
      </c>
      <c r="BD144" t="s">
        <v>598</v>
      </c>
      <c r="BE144" s="124" t="e">
        <f t="shared" si="90"/>
        <v>#N/A</v>
      </c>
      <c r="BF144" s="125" t="e">
        <f t="shared" si="91"/>
        <v>#N/A</v>
      </c>
      <c r="BG144" s="125" t="e">
        <f t="shared" si="92"/>
        <v>#N/A</v>
      </c>
      <c r="BH144" s="125" t="e">
        <f t="shared" si="93"/>
        <v>#N/A</v>
      </c>
      <c r="BI144" t="e">
        <f t="shared" si="94"/>
        <v>#N/A</v>
      </c>
      <c r="BJ144" s="136" t="e">
        <f t="shared" si="95"/>
        <v>#N/A</v>
      </c>
      <c r="BK144">
        <v>25871.530000000002</v>
      </c>
      <c r="BL144">
        <v>106921.12</v>
      </c>
      <c r="BM144">
        <v>182037.22999999998</v>
      </c>
      <c r="BN144">
        <v>172520.02000000002</v>
      </c>
      <c r="BO144" s="124" t="e">
        <v>#N/A</v>
      </c>
      <c r="BP144" t="e">
        <f t="shared" si="96"/>
        <v>#N/A</v>
      </c>
      <c r="BQ144" s="124" t="e">
        <v>#N/A</v>
      </c>
      <c r="BR144" t="e">
        <f t="shared" si="97"/>
        <v>#N/A</v>
      </c>
      <c r="BS144" s="124" t="e">
        <v>#N/A</v>
      </c>
      <c r="BT144" t="e">
        <f t="shared" si="98"/>
        <v>#N/A</v>
      </c>
      <c r="BW144" t="s">
        <v>574</v>
      </c>
      <c r="BX144">
        <v>23714</v>
      </c>
      <c r="BY144">
        <v>23008</v>
      </c>
      <c r="BZ144">
        <v>241547</v>
      </c>
    </row>
    <row r="145" spans="1:78" ht="29.45" customHeight="1" x14ac:dyDescent="0.25">
      <c r="A145" s="102">
        <v>140</v>
      </c>
      <c r="B145" s="98" t="s">
        <v>579</v>
      </c>
      <c r="C145" s="98" t="s">
        <v>580</v>
      </c>
      <c r="D145" s="108" t="s">
        <v>581</v>
      </c>
      <c r="E145" s="99" t="s">
        <v>582</v>
      </c>
      <c r="F145" s="100">
        <v>72525</v>
      </c>
      <c r="G145" s="135">
        <v>87740</v>
      </c>
      <c r="H145" s="135">
        <v>119856</v>
      </c>
      <c r="I145" s="135">
        <v>150030</v>
      </c>
      <c r="J145" s="135">
        <v>146148</v>
      </c>
      <c r="K145" s="135">
        <v>142265</v>
      </c>
      <c r="L145" s="135">
        <v>138382</v>
      </c>
      <c r="M145" s="135">
        <f>2864747-856946</f>
        <v>2007801</v>
      </c>
      <c r="N145" s="107">
        <f t="shared" si="87"/>
        <v>2864747</v>
      </c>
      <c r="U145" s="9"/>
      <c r="V145" s="91"/>
      <c r="W145" s="9"/>
      <c r="X145" s="14"/>
      <c r="AU145">
        <v>2864747</v>
      </c>
      <c r="AV145" s="119" t="s">
        <v>562</v>
      </c>
      <c r="AW145" s="113">
        <v>971.65</v>
      </c>
      <c r="AX145">
        <f t="shared" si="89"/>
        <v>485.82499999999999</v>
      </c>
      <c r="AY145" s="115" t="b">
        <f t="shared" si="88"/>
        <v>0</v>
      </c>
      <c r="AZ145">
        <v>4194.2199999999993</v>
      </c>
      <c r="BA145">
        <v>11663.55</v>
      </c>
      <c r="BB145">
        <v>13676.429999999998</v>
      </c>
      <c r="BC145">
        <v>13135.220000000001</v>
      </c>
      <c r="BD145" t="s">
        <v>562</v>
      </c>
      <c r="BE145" s="118" t="str">
        <f t="shared" si="90"/>
        <v>P-35/2023</v>
      </c>
      <c r="BF145" s="125" t="str">
        <f t="shared" si="91"/>
        <v>ERAF projekts (Nr.4.2.2.0/21/A/007) "Drabešu Jaunās pamatskolas fasādes siltināšana, nodrošinot energoefektivitātes paaugstināšanu”</v>
      </c>
      <c r="BG145" s="125" t="str">
        <f t="shared" si="92"/>
        <v>17.04.2023.</v>
      </c>
      <c r="BH145" s="125">
        <f t="shared" si="93"/>
        <v>1078</v>
      </c>
      <c r="BI145">
        <f t="shared" si="94"/>
        <v>539</v>
      </c>
      <c r="BJ145" s="136">
        <f t="shared" si="95"/>
        <v>1617</v>
      </c>
      <c r="BK145">
        <v>4194.2199999999993</v>
      </c>
      <c r="BL145">
        <v>11663.55</v>
      </c>
      <c r="BM145">
        <v>13676.429999999998</v>
      </c>
      <c r="BN145">
        <v>13135.220000000001</v>
      </c>
      <c r="BO145" s="118" t="s">
        <v>563</v>
      </c>
      <c r="BP145">
        <f t="shared" si="96"/>
        <v>10547</v>
      </c>
      <c r="BQ145" s="118" t="s">
        <v>563</v>
      </c>
      <c r="BR145">
        <f t="shared" si="97"/>
        <v>10412</v>
      </c>
      <c r="BS145" s="118" t="s">
        <v>563</v>
      </c>
      <c r="BT145">
        <f t="shared" si="98"/>
        <v>32893</v>
      </c>
      <c r="BW145" t="s">
        <v>580</v>
      </c>
      <c r="BX145">
        <v>142265</v>
      </c>
      <c r="BY145">
        <v>138382</v>
      </c>
      <c r="BZ145">
        <v>2007801</v>
      </c>
    </row>
    <row r="146" spans="1:78" ht="29.45" customHeight="1" x14ac:dyDescent="0.25">
      <c r="A146" s="102">
        <v>141</v>
      </c>
      <c r="B146" s="98" t="s">
        <v>583</v>
      </c>
      <c r="C146" s="98" t="s">
        <v>584</v>
      </c>
      <c r="D146" s="108" t="s">
        <v>585</v>
      </c>
      <c r="E146" s="99" t="s">
        <v>582</v>
      </c>
      <c r="F146" s="100">
        <v>5902</v>
      </c>
      <c r="G146" s="135">
        <v>6653</v>
      </c>
      <c r="H146" s="135">
        <v>12861</v>
      </c>
      <c r="I146" s="135">
        <v>18736</v>
      </c>
      <c r="J146" s="135">
        <v>17071</v>
      </c>
      <c r="K146" s="135">
        <v>17405</v>
      </c>
      <c r="L146" s="135">
        <v>16074</v>
      </c>
      <c r="M146" s="135">
        <f>AU146-94702</f>
        <v>81886</v>
      </c>
      <c r="N146" s="107">
        <f t="shared" si="87"/>
        <v>176588</v>
      </c>
      <c r="U146" s="9"/>
      <c r="V146" s="91"/>
      <c r="W146" s="9"/>
      <c r="X146" s="14"/>
      <c r="AU146">
        <v>176588</v>
      </c>
      <c r="AV146" s="119" t="s">
        <v>566</v>
      </c>
      <c r="AW146" s="113">
        <v>986.47</v>
      </c>
      <c r="AX146">
        <f t="shared" si="89"/>
        <v>493.23500000000001</v>
      </c>
      <c r="AY146" s="115" t="b">
        <f t="shared" si="88"/>
        <v>0</v>
      </c>
      <c r="AZ146">
        <v>3997.17</v>
      </c>
      <c r="BA146">
        <v>21707.200000000004</v>
      </c>
      <c r="BB146">
        <v>20799.63</v>
      </c>
      <c r="BC146">
        <v>19836.690000000002</v>
      </c>
      <c r="BD146" t="s">
        <v>566</v>
      </c>
      <c r="BE146" s="118" t="str">
        <f t="shared" si="90"/>
        <v>P-43/2023</v>
      </c>
      <c r="BF146" s="125" t="str">
        <f t="shared" si="91"/>
        <v>Cēsu 2.pamatskolas klimata uzlabošana un daļu telpu atjaunošana 2 kārtās” Gaujas ielā 45, Cēsīs, Cēsu novadā II kārtas būvdarbi” priorit.</v>
      </c>
      <c r="BG146" s="125" t="str">
        <f t="shared" si="92"/>
        <v>03.05.2023.</v>
      </c>
      <c r="BH146" s="125">
        <f t="shared" si="93"/>
        <v>966</v>
      </c>
      <c r="BI146">
        <f t="shared" si="94"/>
        <v>483</v>
      </c>
      <c r="BJ146" s="136">
        <f t="shared" si="95"/>
        <v>1449</v>
      </c>
      <c r="BK146">
        <v>3997.17</v>
      </c>
      <c r="BL146">
        <v>21707.200000000004</v>
      </c>
      <c r="BM146">
        <v>20799.63</v>
      </c>
      <c r="BN146">
        <v>19836.690000000002</v>
      </c>
      <c r="BO146" s="118" t="s">
        <v>567</v>
      </c>
      <c r="BP146">
        <f t="shared" si="96"/>
        <v>19070</v>
      </c>
      <c r="BQ146" s="118" t="s">
        <v>567</v>
      </c>
      <c r="BR146">
        <f t="shared" si="97"/>
        <v>18842</v>
      </c>
      <c r="BS146" s="118" t="s">
        <v>567</v>
      </c>
      <c r="BT146">
        <f t="shared" si="98"/>
        <v>64182</v>
      </c>
      <c r="BW146" t="s">
        <v>584</v>
      </c>
      <c r="BX146">
        <v>17405</v>
      </c>
      <c r="BY146">
        <v>16074</v>
      </c>
      <c r="BZ146">
        <v>81886</v>
      </c>
    </row>
    <row r="147" spans="1:78" ht="29.45" customHeight="1" x14ac:dyDescent="0.25">
      <c r="A147" s="102">
        <v>142</v>
      </c>
      <c r="B147" s="98" t="s">
        <v>586</v>
      </c>
      <c r="C147" s="98" t="s">
        <v>587</v>
      </c>
      <c r="D147" s="108" t="s">
        <v>588</v>
      </c>
      <c r="E147" s="99" t="s">
        <v>582</v>
      </c>
      <c r="F147" s="100">
        <v>3911</v>
      </c>
      <c r="G147" s="135">
        <v>7822</v>
      </c>
      <c r="H147" s="135">
        <v>13034</v>
      </c>
      <c r="I147" s="135">
        <v>17966</v>
      </c>
      <c r="J147" s="135">
        <v>17408</v>
      </c>
      <c r="K147" s="135">
        <v>16849</v>
      </c>
      <c r="L147" s="135">
        <v>16290</v>
      </c>
      <c r="M147" s="135">
        <f>AU147-93280</f>
        <v>126955</v>
      </c>
      <c r="N147" s="107">
        <f t="shared" si="87"/>
        <v>220235</v>
      </c>
      <c r="U147" s="9"/>
      <c r="V147" s="91"/>
      <c r="W147" s="9"/>
      <c r="X147" s="14"/>
      <c r="AU147">
        <v>220235</v>
      </c>
      <c r="AV147" s="110"/>
      <c r="AW147" s="113"/>
      <c r="AX147">
        <f t="shared" si="89"/>
        <v>0</v>
      </c>
      <c r="AY147" s="115"/>
      <c r="BE147" s="118"/>
      <c r="BF147" s="125"/>
      <c r="BG147" s="125"/>
      <c r="BH147" s="125"/>
      <c r="BI147">
        <f t="shared" si="94"/>
        <v>0</v>
      </c>
      <c r="BJ147" s="136">
        <f t="shared" si="95"/>
        <v>0</v>
      </c>
      <c r="BW147" t="s">
        <v>587</v>
      </c>
      <c r="BX147">
        <v>16849</v>
      </c>
      <c r="BY147">
        <v>16290</v>
      </c>
      <c r="BZ147">
        <v>126955</v>
      </c>
    </row>
    <row r="148" spans="1:78" ht="29.45" customHeight="1" x14ac:dyDescent="0.25">
      <c r="A148" s="102">
        <v>143</v>
      </c>
      <c r="B148" s="98" t="s">
        <v>589</v>
      </c>
      <c r="C148" s="98" t="s">
        <v>590</v>
      </c>
      <c r="D148" s="108" t="s">
        <v>591</v>
      </c>
      <c r="E148" s="99" t="s">
        <v>582</v>
      </c>
      <c r="F148" s="100">
        <v>5768</v>
      </c>
      <c r="G148" s="135">
        <v>7458</v>
      </c>
      <c r="H148" s="135">
        <v>12372</v>
      </c>
      <c r="I148" s="135">
        <v>17099</v>
      </c>
      <c r="J148" s="135">
        <v>16727</v>
      </c>
      <c r="K148" s="135">
        <v>16354</v>
      </c>
      <c r="L148" s="135">
        <v>15981</v>
      </c>
      <c r="M148" s="135">
        <f>AU148-91759</f>
        <v>200031</v>
      </c>
      <c r="N148" s="107">
        <f t="shared" si="87"/>
        <v>291790</v>
      </c>
      <c r="U148" s="9"/>
      <c r="V148" s="91"/>
      <c r="W148" s="9"/>
      <c r="X148" s="14"/>
      <c r="AU148">
        <v>291790</v>
      </c>
      <c r="AV148" s="111"/>
      <c r="AW148" s="114"/>
      <c r="AX148">
        <f t="shared" si="89"/>
        <v>0</v>
      </c>
      <c r="AY148" s="115"/>
      <c r="BE148" s="118"/>
      <c r="BF148" s="125"/>
      <c r="BG148" s="125"/>
      <c r="BH148" s="125"/>
      <c r="BI148">
        <f t="shared" si="94"/>
        <v>0</v>
      </c>
      <c r="BJ148" s="136">
        <f t="shared" si="95"/>
        <v>0</v>
      </c>
      <c r="BW148" t="s">
        <v>590</v>
      </c>
      <c r="BX148">
        <v>16354</v>
      </c>
      <c r="BY148">
        <v>15981</v>
      </c>
      <c r="BZ148">
        <v>200031</v>
      </c>
    </row>
    <row r="149" spans="1:78" ht="29.45" customHeight="1" x14ac:dyDescent="0.25">
      <c r="A149" s="102">
        <v>144</v>
      </c>
      <c r="B149" s="98" t="s">
        <v>592</v>
      </c>
      <c r="C149" s="98" t="s">
        <v>593</v>
      </c>
      <c r="D149" s="108" t="s">
        <v>594</v>
      </c>
      <c r="E149" s="99" t="s">
        <v>582</v>
      </c>
      <c r="F149" s="100">
        <v>3352</v>
      </c>
      <c r="G149" s="135">
        <v>6704</v>
      </c>
      <c r="H149" s="135">
        <v>12958</v>
      </c>
      <c r="I149" s="135">
        <v>18876</v>
      </c>
      <c r="J149" s="135">
        <v>18206</v>
      </c>
      <c r="K149" s="135">
        <v>17536</v>
      </c>
      <c r="L149" s="135">
        <v>16865</v>
      </c>
      <c r="M149" s="135">
        <f>AU149-94497</f>
        <v>80847</v>
      </c>
      <c r="N149" s="107">
        <f t="shared" si="87"/>
        <v>175344</v>
      </c>
      <c r="U149" s="9"/>
      <c r="V149" s="91"/>
      <c r="W149" s="9"/>
      <c r="X149" s="14"/>
      <c r="AU149">
        <v>175344</v>
      </c>
      <c r="AX149">
        <f t="shared" si="89"/>
        <v>0</v>
      </c>
      <c r="AY149" s="115"/>
      <c r="BE149" s="118"/>
      <c r="BF149" s="125"/>
      <c r="BG149" s="125"/>
      <c r="BH149" s="125"/>
      <c r="BI149">
        <f t="shared" si="94"/>
        <v>0</v>
      </c>
      <c r="BJ149" s="136">
        <f t="shared" si="95"/>
        <v>0</v>
      </c>
      <c r="BW149" t="s">
        <v>593</v>
      </c>
      <c r="BX149">
        <v>17536</v>
      </c>
      <c r="BY149">
        <v>16865</v>
      </c>
      <c r="BZ149">
        <v>80847</v>
      </c>
    </row>
    <row r="150" spans="1:78" ht="21" customHeight="1" x14ac:dyDescent="0.25">
      <c r="A150" s="102">
        <v>145</v>
      </c>
      <c r="B150" s="98" t="s">
        <v>595</v>
      </c>
      <c r="C150" s="98" t="s">
        <v>596</v>
      </c>
      <c r="D150" s="108" t="s">
        <v>597</v>
      </c>
      <c r="E150" s="99" t="s">
        <v>582</v>
      </c>
      <c r="F150" s="100">
        <v>2094</v>
      </c>
      <c r="G150" s="135">
        <v>4188</v>
      </c>
      <c r="H150" s="135">
        <v>8096</v>
      </c>
      <c r="I150" s="135">
        <v>11795</v>
      </c>
      <c r="J150" s="135">
        <v>11376</v>
      </c>
      <c r="K150" s="135">
        <v>10957</v>
      </c>
      <c r="L150" s="135">
        <v>10538</v>
      </c>
      <c r="M150" s="135">
        <f>109390-59044</f>
        <v>50346</v>
      </c>
      <c r="N150" s="107">
        <f t="shared" si="87"/>
        <v>109390</v>
      </c>
      <c r="U150" s="9"/>
      <c r="V150" s="91"/>
      <c r="W150" s="9"/>
      <c r="X150" s="14"/>
      <c r="AU150">
        <v>109390</v>
      </c>
      <c r="AX150">
        <f t="shared" si="89"/>
        <v>0</v>
      </c>
      <c r="AY150" s="115"/>
      <c r="BE150" s="118"/>
      <c r="BF150" s="125"/>
      <c r="BG150" s="125"/>
      <c r="BH150" s="125"/>
      <c r="BI150">
        <f t="shared" si="94"/>
        <v>0</v>
      </c>
      <c r="BJ150" s="136">
        <f t="shared" si="95"/>
        <v>0</v>
      </c>
      <c r="BW150" t="s">
        <v>596</v>
      </c>
      <c r="BX150">
        <v>10957</v>
      </c>
      <c r="BY150">
        <v>10538</v>
      </c>
      <c r="BZ150">
        <v>50346</v>
      </c>
    </row>
    <row r="151" spans="1:78" ht="29.45" customHeight="1" x14ac:dyDescent="0.25">
      <c r="A151" s="102"/>
      <c r="B151" s="98"/>
      <c r="C151" s="98"/>
      <c r="D151" s="109"/>
      <c r="E151" s="99"/>
      <c r="F151" s="100"/>
      <c r="G151" s="101"/>
      <c r="H151" s="101"/>
      <c r="I151" s="101"/>
      <c r="J151" s="101"/>
      <c r="K151" s="101"/>
      <c r="L151" s="101"/>
      <c r="M151" s="101"/>
      <c r="N151" s="107"/>
      <c r="U151" s="9"/>
      <c r="V151" s="91"/>
      <c r="W151" s="9"/>
      <c r="X151" s="14"/>
    </row>
    <row r="152" spans="1:78" ht="29.45" customHeight="1" x14ac:dyDescent="0.25">
      <c r="A152" s="102"/>
      <c r="B152" s="98"/>
      <c r="C152" s="98"/>
      <c r="D152" s="108"/>
      <c r="E152" s="99"/>
      <c r="F152" s="100"/>
      <c r="G152" s="101"/>
      <c r="H152" s="101"/>
      <c r="I152" s="101"/>
      <c r="J152" s="101"/>
      <c r="K152" s="101"/>
      <c r="L152" s="101"/>
      <c r="M152" s="101"/>
      <c r="N152" s="107"/>
      <c r="U152" s="9"/>
      <c r="V152" s="91"/>
      <c r="W152" s="9"/>
      <c r="X152" s="14"/>
    </row>
    <row r="153" spans="1:78" ht="21" customHeight="1" x14ac:dyDescent="0.25">
      <c r="A153" s="102"/>
      <c r="B153" s="98"/>
      <c r="C153" s="98"/>
      <c r="D153" s="108"/>
      <c r="E153" s="99"/>
      <c r="F153" s="100"/>
      <c r="G153" s="101"/>
      <c r="H153" s="101"/>
      <c r="I153" s="101"/>
      <c r="J153" s="101"/>
      <c r="K153" s="101"/>
      <c r="L153" s="101"/>
      <c r="M153" s="101"/>
      <c r="N153" s="107"/>
      <c r="U153" s="9"/>
      <c r="V153" s="91"/>
      <c r="W153" s="9"/>
      <c r="X153" s="14"/>
    </row>
    <row r="154" spans="1:78" ht="21" customHeight="1" x14ac:dyDescent="0.25">
      <c r="A154" s="55"/>
      <c r="B154" s="56"/>
      <c r="C154" s="56"/>
      <c r="D154" s="57" t="s">
        <v>544</v>
      </c>
      <c r="E154" s="55" t="s">
        <v>544</v>
      </c>
      <c r="F154" s="58">
        <f>SUM(F6:F150)</f>
        <v>4654797.4000000004</v>
      </c>
      <c r="G154" s="58">
        <f>SUM(G6:G153)</f>
        <v>5056066.2599999979</v>
      </c>
      <c r="H154" s="58">
        <f>SUM(H6:H153)</f>
        <v>4773094.5700000022</v>
      </c>
      <c r="I154" s="58">
        <f t="shared" ref="I154:N154" si="99">SUM(I6:I150)</f>
        <v>4518570.9000000004</v>
      </c>
      <c r="J154" s="58">
        <f t="shared" si="99"/>
        <v>4146421.8099999991</v>
      </c>
      <c r="K154" s="58">
        <f t="shared" si="99"/>
        <v>3825003.4400000004</v>
      </c>
      <c r="L154" s="58">
        <f t="shared" si="99"/>
        <v>3538662.1586469994</v>
      </c>
      <c r="M154" s="58">
        <f t="shared" si="99"/>
        <v>22846123.270000007</v>
      </c>
      <c r="N154" s="58">
        <f t="shared" si="99"/>
        <v>53358739.808647007</v>
      </c>
      <c r="U154" s="9" t="s">
        <v>243</v>
      </c>
      <c r="V154" s="19" t="s">
        <v>524</v>
      </c>
      <c r="W154" s="9" t="s">
        <v>243</v>
      </c>
      <c r="X154" s="13" t="s">
        <v>525</v>
      </c>
    </row>
    <row r="155" spans="1:78" ht="14.45" customHeight="1" x14ac:dyDescent="0.25">
      <c r="A155" s="173" t="s">
        <v>545</v>
      </c>
      <c r="B155" s="173"/>
      <c r="C155" s="173"/>
      <c r="D155" s="173"/>
      <c r="E155" s="60"/>
      <c r="F155" s="61"/>
      <c r="G155" s="60"/>
      <c r="H155" s="60"/>
      <c r="I155" s="60"/>
      <c r="J155" s="60"/>
      <c r="K155" s="60"/>
      <c r="L155" s="60"/>
      <c r="M155" s="60"/>
      <c r="N155" s="60"/>
      <c r="U155" s="9" t="s">
        <v>245</v>
      </c>
      <c r="V155" s="20" t="s">
        <v>526</v>
      </c>
      <c r="W155" s="9" t="s">
        <v>245</v>
      </c>
      <c r="X155" s="13" t="s">
        <v>525</v>
      </c>
    </row>
    <row r="156" spans="1:78" ht="15.6" customHeight="1" x14ac:dyDescent="0.25">
      <c r="A156" s="62"/>
      <c r="B156" s="63" t="s">
        <v>548</v>
      </c>
      <c r="C156" s="64"/>
      <c r="D156" s="60" t="s">
        <v>546</v>
      </c>
      <c r="E156" s="60">
        <v>2023</v>
      </c>
      <c r="F156" s="65">
        <f>10443231*0.03/4</f>
        <v>78324.232499999998</v>
      </c>
      <c r="G156" s="65">
        <f>10443231*0.03</f>
        <v>313296.93</v>
      </c>
      <c r="H156" s="65">
        <f>10443231*0.03+522162</f>
        <v>835458.92999999993</v>
      </c>
      <c r="I156" s="65">
        <f>(10443231-522162)*0.03+522162</f>
        <v>819794.07000000007</v>
      </c>
      <c r="J156" s="65">
        <f>(10443231-522162*2)*0.03+522162</f>
        <v>804129.21</v>
      </c>
      <c r="K156" s="65">
        <f>(10443231-522162*3)*0.03+522162</f>
        <v>788464.35</v>
      </c>
      <c r="L156" s="65">
        <f>(10443231-522162*4)*0.03+522162</f>
        <v>772799.49</v>
      </c>
      <c r="M156" s="65">
        <f>(10443231-522162*5)*0.03+522162*15</f>
        <v>8067402.6299999999</v>
      </c>
      <c r="N156" s="66">
        <f>F156+G156+H156+I156+J156+K156+L156+M156</f>
        <v>12479669.842499999</v>
      </c>
      <c r="U156" s="9" t="s">
        <v>247</v>
      </c>
      <c r="V156" s="21" t="s">
        <v>527</v>
      </c>
      <c r="W156" s="9" t="s">
        <v>247</v>
      </c>
      <c r="X156" s="13" t="s">
        <v>525</v>
      </c>
    </row>
    <row r="157" spans="1:78" ht="19.149999999999999" customHeight="1" x14ac:dyDescent="0.25">
      <c r="A157" s="62"/>
      <c r="B157" s="64"/>
      <c r="C157" s="64"/>
      <c r="D157" s="64"/>
      <c r="E157" s="60"/>
      <c r="F157" s="64"/>
      <c r="G157" s="60"/>
      <c r="H157" s="60"/>
      <c r="I157" s="60"/>
      <c r="J157" s="60"/>
      <c r="K157" s="60"/>
      <c r="L157" s="60"/>
      <c r="M157" s="60"/>
      <c r="N157" s="60"/>
      <c r="U157" s="9" t="s">
        <v>247</v>
      </c>
      <c r="V157" s="22" t="s">
        <v>528</v>
      </c>
      <c r="W157" s="9" t="s">
        <v>247</v>
      </c>
      <c r="X157" s="13" t="s">
        <v>525</v>
      </c>
    </row>
    <row r="158" spans="1:78" ht="12.6" hidden="1" customHeight="1" x14ac:dyDescent="0.3">
      <c r="A158" s="55"/>
      <c r="B158" s="67" t="s">
        <v>555</v>
      </c>
      <c r="C158" s="67"/>
      <c r="D158" s="68"/>
      <c r="E158" s="69"/>
      <c r="F158" s="59">
        <f>F154+F156</f>
        <v>4733121.6325000003</v>
      </c>
      <c r="G158" s="59">
        <f t="shared" ref="G158:L158" si="100">G154+G156</f>
        <v>5369363.1899999976</v>
      </c>
      <c r="H158" s="59">
        <f t="shared" si="100"/>
        <v>5608553.5000000019</v>
      </c>
      <c r="I158" s="59">
        <f t="shared" si="100"/>
        <v>5338364.9700000007</v>
      </c>
      <c r="J158" s="59">
        <f t="shared" si="100"/>
        <v>4950551.0199999996</v>
      </c>
      <c r="K158" s="59">
        <f t="shared" si="100"/>
        <v>4613467.79</v>
      </c>
      <c r="L158" s="59">
        <f t="shared" si="100"/>
        <v>4311461.6486469992</v>
      </c>
      <c r="M158" s="59">
        <f t="shared" ref="M158" si="101">M154+M156</f>
        <v>30913525.900000006</v>
      </c>
      <c r="N158" s="59">
        <f>SUM(F158:M158)</f>
        <v>65838409.651147008</v>
      </c>
      <c r="U158" s="9" t="s">
        <v>247</v>
      </c>
      <c r="V158" s="23" t="s">
        <v>529</v>
      </c>
      <c r="W158" s="9" t="s">
        <v>247</v>
      </c>
      <c r="X158" s="13" t="s">
        <v>525</v>
      </c>
    </row>
    <row r="159" spans="1:78" ht="12.6" hidden="1" customHeight="1" x14ac:dyDescent="0.3">
      <c r="A159" s="62"/>
      <c r="B159" s="64"/>
      <c r="C159" s="64"/>
      <c r="D159" s="64"/>
      <c r="E159" s="60"/>
      <c r="F159" s="64"/>
      <c r="G159" s="60"/>
      <c r="H159" s="60"/>
      <c r="I159" s="60"/>
      <c r="J159" s="60"/>
      <c r="K159" s="60"/>
      <c r="L159" s="60"/>
      <c r="M159" s="60"/>
      <c r="N159" s="60"/>
      <c r="U159" s="9" t="s">
        <v>247</v>
      </c>
      <c r="V159" s="24" t="s">
        <v>530</v>
      </c>
      <c r="W159" s="9" t="s">
        <v>247</v>
      </c>
      <c r="X159" s="13" t="s">
        <v>525</v>
      </c>
    </row>
    <row r="160" spans="1:78" ht="12.6" hidden="1" customHeight="1" x14ac:dyDescent="0.3">
      <c r="A160" s="62"/>
      <c r="B160" s="70" t="s">
        <v>547</v>
      </c>
      <c r="C160" s="64"/>
      <c r="D160" s="64"/>
      <c r="E160" s="60"/>
      <c r="F160" s="64"/>
      <c r="G160" s="60"/>
      <c r="H160" s="60"/>
      <c r="I160" s="60"/>
      <c r="J160" s="60"/>
      <c r="K160" s="60"/>
      <c r="L160" s="60"/>
      <c r="M160" s="60"/>
      <c r="N160" s="60"/>
      <c r="U160" s="9" t="s">
        <v>255</v>
      </c>
      <c r="V160" s="25" t="s">
        <v>531</v>
      </c>
      <c r="W160" s="9" t="s">
        <v>255</v>
      </c>
      <c r="X160" s="13" t="s">
        <v>532</v>
      </c>
    </row>
    <row r="161" spans="1:24" ht="12.6" hidden="1" customHeight="1" x14ac:dyDescent="0.3">
      <c r="A161" s="62"/>
      <c r="B161" s="71"/>
      <c r="C161" s="71"/>
      <c r="D161" s="71" t="s">
        <v>549</v>
      </c>
      <c r="E161" s="72" t="s">
        <v>550</v>
      </c>
      <c r="F161" s="73">
        <f>341*12</f>
        <v>4092</v>
      </c>
      <c r="G161" s="73">
        <f>341*12</f>
        <v>4092</v>
      </c>
      <c r="H161" s="73">
        <f>341*12</f>
        <v>4092</v>
      </c>
      <c r="I161" s="73">
        <f>341*12</f>
        <v>4092</v>
      </c>
      <c r="J161" s="73">
        <f>341*12</f>
        <v>4092</v>
      </c>
      <c r="K161" s="73">
        <f>341*11+373+2-10</f>
        <v>4116</v>
      </c>
      <c r="L161" s="73">
        <v>9</v>
      </c>
      <c r="M161" s="73">
        <v>0</v>
      </c>
      <c r="N161" s="74">
        <f>SUM(F161:M161)</f>
        <v>24585</v>
      </c>
      <c r="U161" s="9" t="s">
        <v>257</v>
      </c>
      <c r="V161" s="21" t="s">
        <v>533</v>
      </c>
      <c r="W161" s="9" t="s">
        <v>257</v>
      </c>
      <c r="X161" s="13" t="s">
        <v>534</v>
      </c>
    </row>
    <row r="162" spans="1:24" ht="24.6" hidden="1" customHeight="1" x14ac:dyDescent="0.3">
      <c r="A162" s="62"/>
      <c r="B162" s="71" t="s">
        <v>552</v>
      </c>
      <c r="C162" s="71" t="s">
        <v>551</v>
      </c>
      <c r="D162" s="71" t="s">
        <v>553</v>
      </c>
      <c r="E162" s="72" t="s">
        <v>554</v>
      </c>
      <c r="F162" s="73">
        <v>692</v>
      </c>
      <c r="G162" s="73">
        <f t="shared" ref="G162:L162" si="102">173*4</f>
        <v>692</v>
      </c>
      <c r="H162" s="73">
        <f t="shared" si="102"/>
        <v>692</v>
      </c>
      <c r="I162" s="73">
        <f t="shared" si="102"/>
        <v>692</v>
      </c>
      <c r="J162" s="73">
        <f t="shared" si="102"/>
        <v>692</v>
      </c>
      <c r="K162" s="73">
        <f t="shared" si="102"/>
        <v>692</v>
      </c>
      <c r="L162" s="73">
        <f t="shared" si="102"/>
        <v>692</v>
      </c>
      <c r="M162" s="73">
        <v>1038</v>
      </c>
      <c r="N162" s="75">
        <f>SUM(F162:M162)</f>
        <v>5882</v>
      </c>
      <c r="U162" s="9" t="s">
        <v>259</v>
      </c>
      <c r="V162" s="9" t="s">
        <v>535</v>
      </c>
      <c r="W162" s="9" t="s">
        <v>259</v>
      </c>
      <c r="X162" s="13" t="s">
        <v>534</v>
      </c>
    </row>
    <row r="163" spans="1:24" ht="20.45" customHeight="1" x14ac:dyDescent="0.25">
      <c r="A163" s="55"/>
      <c r="B163" s="76" t="s">
        <v>556</v>
      </c>
      <c r="C163" s="56"/>
      <c r="D163" s="68" t="s">
        <v>544</v>
      </c>
      <c r="E163" s="68" t="s">
        <v>544</v>
      </c>
      <c r="F163" s="77">
        <f>F161+F162</f>
        <v>4784</v>
      </c>
      <c r="G163" s="77">
        <f t="shared" ref="G163:M163" si="103">G161+G162</f>
        <v>4784</v>
      </c>
      <c r="H163" s="77">
        <f t="shared" si="103"/>
        <v>4784</v>
      </c>
      <c r="I163" s="77">
        <f t="shared" si="103"/>
        <v>4784</v>
      </c>
      <c r="J163" s="77">
        <f t="shared" si="103"/>
        <v>4784</v>
      </c>
      <c r="K163" s="77">
        <f t="shared" si="103"/>
        <v>4808</v>
      </c>
      <c r="L163" s="77">
        <f t="shared" si="103"/>
        <v>701</v>
      </c>
      <c r="M163" s="77">
        <f t="shared" si="103"/>
        <v>1038</v>
      </c>
      <c r="N163" s="78">
        <f>SUM(F163:M163)</f>
        <v>30467</v>
      </c>
    </row>
    <row r="164" spans="1:24" ht="19.149999999999999" customHeight="1" x14ac:dyDescent="0.25">
      <c r="A164" s="79"/>
      <c r="B164" s="174" t="s">
        <v>557</v>
      </c>
      <c r="C164" s="174"/>
      <c r="D164" s="174"/>
      <c r="E164" s="80"/>
      <c r="F164" s="81">
        <f>F158+F163</f>
        <v>4737905.6325000003</v>
      </c>
      <c r="G164" s="81">
        <f>G158+G163</f>
        <v>5374147.1899999976</v>
      </c>
      <c r="H164" s="81">
        <f t="shared" ref="H164:M164" si="104">H158+H163</f>
        <v>5613337.5000000019</v>
      </c>
      <c r="I164" s="81">
        <f t="shared" si="104"/>
        <v>5343148.9700000007</v>
      </c>
      <c r="J164" s="81">
        <f t="shared" si="104"/>
        <v>4955335.0199999996</v>
      </c>
      <c r="K164" s="81">
        <f t="shared" si="104"/>
        <v>4618275.79</v>
      </c>
      <c r="L164" s="81">
        <f t="shared" si="104"/>
        <v>4312162.6486469992</v>
      </c>
      <c r="M164" s="81">
        <f t="shared" si="104"/>
        <v>30914563.900000006</v>
      </c>
      <c r="N164" s="81">
        <f>SUM(F164:M164)</f>
        <v>65868876.651147008</v>
      </c>
    </row>
    <row r="165" spans="1:24" ht="18.600000000000001" customHeight="1" x14ac:dyDescent="0.25">
      <c r="A165" s="62"/>
      <c r="B165" s="64"/>
      <c r="C165" s="64"/>
      <c r="D165" s="64"/>
      <c r="E165" s="60"/>
      <c r="F165" s="64"/>
      <c r="G165" s="60"/>
      <c r="H165" s="60"/>
      <c r="I165" s="60"/>
      <c r="J165" s="60"/>
      <c r="K165" s="60"/>
      <c r="L165" s="60"/>
      <c r="M165" s="60"/>
      <c r="N165" s="60"/>
    </row>
    <row r="166" spans="1:24" ht="19.149999999999999" customHeight="1" x14ac:dyDescent="0.25">
      <c r="A166" s="62"/>
      <c r="B166" s="178" t="s">
        <v>558</v>
      </c>
      <c r="C166" s="179"/>
      <c r="D166" s="180"/>
      <c r="E166" s="82"/>
      <c r="F166" s="83">
        <f>F164/$N$168*100</f>
        <v>8.75176254643163</v>
      </c>
      <c r="G166" s="83">
        <f t="shared" ref="G166:L166" si="105">G164/$N$168*100</f>
        <v>9.9270149607507552</v>
      </c>
      <c r="H166" s="83">
        <f>H164/$N$168*100</f>
        <v>10.368842417627063</v>
      </c>
      <c r="I166" s="83">
        <f t="shared" si="105"/>
        <v>9.8697556816842624</v>
      </c>
      <c r="J166" s="83">
        <f t="shared" si="105"/>
        <v>9.153393671577529</v>
      </c>
      <c r="K166" s="83">
        <f t="shared" si="105"/>
        <v>8.5307847439517239</v>
      </c>
      <c r="L166" s="83">
        <f t="shared" si="105"/>
        <v>7.9653387994215645</v>
      </c>
      <c r="M166" s="84" t="s">
        <v>544</v>
      </c>
      <c r="N166" s="84" t="s">
        <v>544</v>
      </c>
      <c r="O166" s="49" t="s">
        <v>544</v>
      </c>
    </row>
    <row r="167" spans="1:24" ht="25.9" customHeight="1" x14ac:dyDescent="0.25">
      <c r="B167" s="42"/>
      <c r="C167" s="42"/>
      <c r="D167" s="42"/>
      <c r="E167" s="43"/>
      <c r="F167" s="43"/>
      <c r="G167" s="54"/>
      <c r="H167" s="54"/>
      <c r="I167" s="54"/>
      <c r="J167" s="54"/>
      <c r="K167" s="54"/>
      <c r="L167" s="54"/>
      <c r="M167" s="54"/>
      <c r="N167" s="54"/>
      <c r="O167" s="44"/>
    </row>
    <row r="168" spans="1:24" ht="25.9" customHeight="1" x14ac:dyDescent="0.25">
      <c r="B168" s="175" t="s">
        <v>559</v>
      </c>
      <c r="C168" s="176"/>
      <c r="D168" s="176"/>
      <c r="E168" s="177"/>
      <c r="F168" s="40"/>
      <c r="G168" s="45"/>
      <c r="H168" s="45"/>
      <c r="I168" s="45"/>
      <c r="J168" s="45"/>
      <c r="K168" s="45"/>
      <c r="L168" s="45"/>
      <c r="M168" s="45"/>
      <c r="N168" s="47">
        <f>76145613-445168-16267596-5296261</f>
        <v>54136588</v>
      </c>
      <c r="O168" s="46">
        <f>78572505-24168018-6929268-491048</f>
        <v>46984171</v>
      </c>
    </row>
    <row r="169" spans="1:24" x14ac:dyDescent="0.25">
      <c r="N169" s="48"/>
    </row>
  </sheetData>
  <autoFilter ref="A5:N156"/>
  <mergeCells count="12">
    <mergeCell ref="A155:D155"/>
    <mergeCell ref="B164:D164"/>
    <mergeCell ref="B168:E168"/>
    <mergeCell ref="B166:D166"/>
    <mergeCell ref="M1:N1"/>
    <mergeCell ref="B2:Q2"/>
    <mergeCell ref="A4:A5"/>
    <mergeCell ref="D4:D5"/>
    <mergeCell ref="E4:E5"/>
    <mergeCell ref="F4:N4"/>
    <mergeCell ref="C4:C5"/>
    <mergeCell ref="B4:B5"/>
  </mergeCells>
  <phoneticPr fontId="12" type="noConversion"/>
  <pageMargins left="0.7" right="0.7" top="0.75" bottom="0.75" header="0.3" footer="0.3"/>
  <pageSetup paperSize="9" scale="5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9"/>
  <sheetViews>
    <sheetView tabSelected="1" topLeftCell="A171" zoomScale="160" zoomScaleNormal="160" workbookViewId="0">
      <selection activeCell="D149" sqref="D149"/>
    </sheetView>
  </sheetViews>
  <sheetFormatPr defaultRowHeight="15" x14ac:dyDescent="0.25"/>
  <cols>
    <col min="1" max="1" width="6.140625" style="122" customWidth="1"/>
    <col min="2" max="2" width="11.85546875" style="122" customWidth="1"/>
    <col min="3" max="3" width="11.42578125" style="122" customWidth="1"/>
    <col min="4" max="4" width="61.140625" style="122" customWidth="1"/>
    <col min="5" max="5" width="11.28515625" style="122" customWidth="1"/>
    <col min="6" max="12" width="10.7109375" style="122" customWidth="1"/>
    <col min="13" max="14" width="12.7109375" style="122" customWidth="1"/>
    <col min="15" max="16" width="11" style="122" bestFit="1" customWidth="1"/>
    <col min="17" max="16384" width="9.140625" style="122"/>
  </cols>
  <sheetData>
    <row r="1" spans="1:15" ht="55.15" customHeight="1" x14ac:dyDescent="0.25">
      <c r="L1" s="185" t="s">
        <v>678</v>
      </c>
      <c r="M1" s="185"/>
      <c r="N1" s="185"/>
    </row>
    <row r="2" spans="1:15" ht="15.75" x14ac:dyDescent="0.25">
      <c r="A2" s="102"/>
      <c r="B2" s="182" t="s">
        <v>644</v>
      </c>
      <c r="C2" s="182"/>
      <c r="D2" s="182"/>
      <c r="E2" s="182"/>
      <c r="F2" s="182"/>
      <c r="G2" s="182"/>
      <c r="H2" s="182"/>
      <c r="I2" s="182"/>
      <c r="J2" s="182"/>
      <c r="K2" s="182"/>
      <c r="L2" s="182"/>
    </row>
    <row r="3" spans="1:15" x14ac:dyDescent="0.25">
      <c r="A3" s="102"/>
      <c r="E3" s="15"/>
      <c r="F3" s="15"/>
      <c r="G3" s="15"/>
      <c r="H3" s="15"/>
      <c r="I3" s="15"/>
      <c r="J3" s="15"/>
      <c r="N3" s="139" t="s">
        <v>543</v>
      </c>
    </row>
    <row r="4" spans="1:15" ht="15" customHeight="1" x14ac:dyDescent="0.25">
      <c r="A4" s="183" t="s">
        <v>538</v>
      </c>
      <c r="B4" s="183" t="s">
        <v>539</v>
      </c>
      <c r="C4" s="183" t="s">
        <v>540</v>
      </c>
      <c r="D4" s="183" t="s">
        <v>541</v>
      </c>
      <c r="E4" s="188" t="s">
        <v>542</v>
      </c>
      <c r="F4" s="189" t="s">
        <v>600</v>
      </c>
      <c r="G4" s="190"/>
      <c r="H4" s="190"/>
      <c r="I4" s="190"/>
      <c r="J4" s="190"/>
      <c r="K4" s="190"/>
      <c r="L4" s="190"/>
      <c r="M4" s="190"/>
      <c r="N4" s="191"/>
    </row>
    <row r="5" spans="1:15" ht="21" customHeight="1" x14ac:dyDescent="0.25">
      <c r="A5" s="183"/>
      <c r="B5" s="183"/>
      <c r="C5" s="183"/>
      <c r="D5" s="183"/>
      <c r="E5" s="188"/>
      <c r="F5" s="90">
        <v>2023</v>
      </c>
      <c r="G5" s="90">
        <v>2024</v>
      </c>
      <c r="H5" s="90">
        <v>2025</v>
      </c>
      <c r="I5" s="90">
        <v>2026</v>
      </c>
      <c r="J5" s="90">
        <v>2027</v>
      </c>
      <c r="K5" s="90">
        <v>2028</v>
      </c>
      <c r="L5" s="90">
        <v>2029</v>
      </c>
      <c r="M5" s="90" t="s">
        <v>536</v>
      </c>
      <c r="N5" s="90" t="s">
        <v>537</v>
      </c>
    </row>
    <row r="6" spans="1:15" x14ac:dyDescent="0.25">
      <c r="A6" s="140">
        <v>1</v>
      </c>
      <c r="B6" s="141" t="s">
        <v>260</v>
      </c>
      <c r="C6" s="141" t="s">
        <v>261</v>
      </c>
      <c r="D6" s="142" t="s">
        <v>654</v>
      </c>
      <c r="E6" s="143" t="s">
        <v>387</v>
      </c>
      <c r="F6" s="144">
        <v>23</v>
      </c>
      <c r="G6" s="144">
        <v>0</v>
      </c>
      <c r="H6" s="144">
        <v>0</v>
      </c>
      <c r="I6" s="144">
        <v>0</v>
      </c>
      <c r="J6" s="144">
        <v>0</v>
      </c>
      <c r="K6" s="144">
        <v>0</v>
      </c>
      <c r="L6" s="144">
        <v>0</v>
      </c>
      <c r="M6" s="144">
        <v>0</v>
      </c>
      <c r="N6" s="145">
        <f>SUM(F6:M6)</f>
        <v>23</v>
      </c>
      <c r="O6" s="146"/>
    </row>
    <row r="7" spans="1:15" x14ac:dyDescent="0.25">
      <c r="A7" s="140">
        <v>2</v>
      </c>
      <c r="B7" s="141" t="s">
        <v>262</v>
      </c>
      <c r="C7" s="141" t="s">
        <v>263</v>
      </c>
      <c r="D7" s="142" t="s">
        <v>384</v>
      </c>
      <c r="E7" s="143" t="s">
        <v>385</v>
      </c>
      <c r="F7" s="144">
        <v>42</v>
      </c>
      <c r="G7" s="144">
        <v>0</v>
      </c>
      <c r="H7" s="144">
        <v>0</v>
      </c>
      <c r="I7" s="144">
        <v>0</v>
      </c>
      <c r="J7" s="144">
        <v>0</v>
      </c>
      <c r="K7" s="144">
        <v>0</v>
      </c>
      <c r="L7" s="144">
        <v>0</v>
      </c>
      <c r="M7" s="144">
        <v>0</v>
      </c>
      <c r="N7" s="145">
        <f t="shared" ref="N7:N70" si="0">SUM(F7:M7)</f>
        <v>42</v>
      </c>
      <c r="O7" s="146"/>
    </row>
    <row r="8" spans="1:15" x14ac:dyDescent="0.25">
      <c r="A8" s="140">
        <v>3</v>
      </c>
      <c r="B8" s="142" t="s">
        <v>0</v>
      </c>
      <c r="C8" s="142" t="s">
        <v>1</v>
      </c>
      <c r="D8" s="142" t="s">
        <v>399</v>
      </c>
      <c r="E8" s="143" t="s">
        <v>400</v>
      </c>
      <c r="F8" s="144">
        <v>16716</v>
      </c>
      <c r="G8" s="144">
        <v>11380.000000000002</v>
      </c>
      <c r="H8" s="144">
        <v>10958.06</v>
      </c>
      <c r="I8" s="144">
        <v>5344.1900000000014</v>
      </c>
      <c r="J8" s="144">
        <v>0</v>
      </c>
      <c r="K8" s="144">
        <v>0</v>
      </c>
      <c r="L8" s="144">
        <v>0</v>
      </c>
      <c r="M8" s="144">
        <v>0</v>
      </c>
      <c r="N8" s="145">
        <f t="shared" si="0"/>
        <v>44398.25</v>
      </c>
      <c r="O8" s="146"/>
    </row>
    <row r="9" spans="1:15" x14ac:dyDescent="0.25">
      <c r="A9" s="140">
        <v>4</v>
      </c>
      <c r="B9" s="142" t="s">
        <v>2</v>
      </c>
      <c r="C9" s="142" t="s">
        <v>3</v>
      </c>
      <c r="D9" s="142" t="s">
        <v>375</v>
      </c>
      <c r="E9" s="143" t="s">
        <v>376</v>
      </c>
      <c r="F9" s="144">
        <v>171976.5</v>
      </c>
      <c r="G9" s="144">
        <v>116027.01000000001</v>
      </c>
      <c r="H9" s="144">
        <v>111773.73999999999</v>
      </c>
      <c r="I9" s="144">
        <v>265.14</v>
      </c>
      <c r="J9" s="144">
        <v>0</v>
      </c>
      <c r="K9" s="144">
        <v>0</v>
      </c>
      <c r="L9" s="144">
        <v>0</v>
      </c>
      <c r="M9" s="144">
        <v>0</v>
      </c>
      <c r="N9" s="145">
        <f t="shared" si="0"/>
        <v>400042.39</v>
      </c>
      <c r="O9" s="146"/>
    </row>
    <row r="10" spans="1:15" x14ac:dyDescent="0.25">
      <c r="A10" s="140">
        <v>5</v>
      </c>
      <c r="B10" s="142" t="s">
        <v>4</v>
      </c>
      <c r="C10" s="142" t="s">
        <v>5</v>
      </c>
      <c r="D10" s="142" t="s">
        <v>399</v>
      </c>
      <c r="E10" s="143" t="s">
        <v>400</v>
      </c>
      <c r="F10" s="144">
        <v>16716</v>
      </c>
      <c r="G10" s="144">
        <v>9425.7199999999993</v>
      </c>
      <c r="H10" s="144">
        <v>9097.9699999999993</v>
      </c>
      <c r="I10" s="144">
        <v>8736.8100000000013</v>
      </c>
      <c r="J10" s="144">
        <v>4173.2599999999984</v>
      </c>
      <c r="K10" s="144">
        <v>0</v>
      </c>
      <c r="L10" s="144">
        <v>0</v>
      </c>
      <c r="M10" s="144">
        <v>0</v>
      </c>
      <c r="N10" s="145">
        <f t="shared" si="0"/>
        <v>48149.759999999995</v>
      </c>
      <c r="O10" s="146"/>
    </row>
    <row r="11" spans="1:15" x14ac:dyDescent="0.25">
      <c r="A11" s="140">
        <v>6</v>
      </c>
      <c r="B11" s="142" t="s">
        <v>6</v>
      </c>
      <c r="C11" s="142" t="s">
        <v>7</v>
      </c>
      <c r="D11" s="142" t="s">
        <v>381</v>
      </c>
      <c r="E11" s="143" t="s">
        <v>309</v>
      </c>
      <c r="F11" s="144">
        <v>95308.5</v>
      </c>
      <c r="G11" s="144">
        <v>139.36000000000001</v>
      </c>
      <c r="H11" s="144">
        <v>0</v>
      </c>
      <c r="I11" s="144">
        <v>0</v>
      </c>
      <c r="J11" s="144">
        <v>0</v>
      </c>
      <c r="K11" s="144">
        <v>0</v>
      </c>
      <c r="L11" s="144">
        <v>0</v>
      </c>
      <c r="M11" s="144">
        <v>0</v>
      </c>
      <c r="N11" s="145">
        <f t="shared" si="0"/>
        <v>95447.86</v>
      </c>
      <c r="O11" s="146"/>
    </row>
    <row r="12" spans="1:15" x14ac:dyDescent="0.25">
      <c r="A12" s="140">
        <v>7</v>
      </c>
      <c r="B12" s="142" t="s">
        <v>8</v>
      </c>
      <c r="C12" s="142" t="s">
        <v>9</v>
      </c>
      <c r="D12" s="142" t="s">
        <v>645</v>
      </c>
      <c r="E12" s="143" t="s">
        <v>309</v>
      </c>
      <c r="F12" s="144">
        <v>95308.5</v>
      </c>
      <c r="G12" s="144">
        <v>92.21</v>
      </c>
      <c r="H12" s="144">
        <v>0</v>
      </c>
      <c r="I12" s="144">
        <v>0</v>
      </c>
      <c r="J12" s="144">
        <v>0</v>
      </c>
      <c r="K12" s="144">
        <v>0</v>
      </c>
      <c r="L12" s="144">
        <v>0</v>
      </c>
      <c r="M12" s="144">
        <v>0</v>
      </c>
      <c r="N12" s="145">
        <f t="shared" si="0"/>
        <v>95400.71</v>
      </c>
      <c r="O12" s="146"/>
    </row>
    <row r="13" spans="1:15" x14ac:dyDescent="0.25">
      <c r="A13" s="140">
        <v>8</v>
      </c>
      <c r="B13" s="142" t="s">
        <v>10</v>
      </c>
      <c r="C13" s="142" t="s">
        <v>11</v>
      </c>
      <c r="D13" s="142" t="s">
        <v>371</v>
      </c>
      <c r="E13" s="143" t="s">
        <v>372</v>
      </c>
      <c r="F13" s="144">
        <v>194643</v>
      </c>
      <c r="G13" s="144">
        <v>130854.26</v>
      </c>
      <c r="H13" s="144">
        <v>302.87</v>
      </c>
      <c r="I13" s="144">
        <v>0</v>
      </c>
      <c r="J13" s="144">
        <v>0</v>
      </c>
      <c r="K13" s="144">
        <v>0</v>
      </c>
      <c r="L13" s="144">
        <v>0</v>
      </c>
      <c r="M13" s="144">
        <v>0</v>
      </c>
      <c r="N13" s="145">
        <f t="shared" si="0"/>
        <v>325800.13</v>
      </c>
      <c r="O13" s="146"/>
    </row>
    <row r="14" spans="1:15" ht="23.25" x14ac:dyDescent="0.25">
      <c r="A14" s="140">
        <v>9</v>
      </c>
      <c r="B14" s="142" t="s">
        <v>14</v>
      </c>
      <c r="C14" s="142" t="s">
        <v>15</v>
      </c>
      <c r="D14" s="147" t="s">
        <v>488</v>
      </c>
      <c r="E14" s="143" t="s">
        <v>374</v>
      </c>
      <c r="F14" s="144">
        <v>15019</v>
      </c>
      <c r="G14" s="144">
        <v>15082.460000000001</v>
      </c>
      <c r="H14" s="144">
        <v>14918.4</v>
      </c>
      <c r="I14" s="144">
        <v>15281.48</v>
      </c>
      <c r="J14" s="144">
        <v>15084.449999999999</v>
      </c>
      <c r="K14" s="144">
        <v>3646.5099999999998</v>
      </c>
      <c r="L14" s="144">
        <v>0</v>
      </c>
      <c r="M14" s="144">
        <v>0</v>
      </c>
      <c r="N14" s="145">
        <f t="shared" si="0"/>
        <v>79032.299999999988</v>
      </c>
      <c r="O14" s="146"/>
    </row>
    <row r="15" spans="1:15" x14ac:dyDescent="0.25">
      <c r="A15" s="140">
        <v>10</v>
      </c>
      <c r="B15" s="142" t="s">
        <v>16</v>
      </c>
      <c r="C15" s="142" t="s">
        <v>17</v>
      </c>
      <c r="D15" s="142" t="s">
        <v>487</v>
      </c>
      <c r="E15" s="143" t="s">
        <v>374</v>
      </c>
      <c r="F15" s="144">
        <v>1510</v>
      </c>
      <c r="G15" s="144">
        <v>1547.89</v>
      </c>
      <c r="H15" s="144">
        <v>1531.06</v>
      </c>
      <c r="I15" s="144">
        <v>1567.8799999999999</v>
      </c>
      <c r="J15" s="144">
        <v>1547.3999999999999</v>
      </c>
      <c r="K15" s="144">
        <v>351.2</v>
      </c>
      <c r="L15" s="144">
        <v>0</v>
      </c>
      <c r="M15" s="144">
        <v>0</v>
      </c>
      <c r="N15" s="145">
        <f t="shared" si="0"/>
        <v>8055.43</v>
      </c>
      <c r="O15" s="146"/>
    </row>
    <row r="16" spans="1:15" x14ac:dyDescent="0.25">
      <c r="A16" s="140">
        <v>11</v>
      </c>
      <c r="B16" s="142" t="s">
        <v>12</v>
      </c>
      <c r="C16" s="142" t="s">
        <v>13</v>
      </c>
      <c r="D16" s="142" t="s">
        <v>373</v>
      </c>
      <c r="E16" s="143" t="s">
        <v>374</v>
      </c>
      <c r="F16" s="144">
        <v>283678.5</v>
      </c>
      <c r="G16" s="144">
        <v>200274.87</v>
      </c>
      <c r="H16" s="144">
        <v>192244.81</v>
      </c>
      <c r="I16" s="144">
        <v>184461.62</v>
      </c>
      <c r="J16" s="144">
        <v>432.7</v>
      </c>
      <c r="K16" s="144">
        <v>0</v>
      </c>
      <c r="L16" s="144">
        <v>0</v>
      </c>
      <c r="M16" s="144">
        <v>0</v>
      </c>
      <c r="N16" s="145">
        <f t="shared" si="0"/>
        <v>861092.49999999988</v>
      </c>
      <c r="O16" s="146"/>
    </row>
    <row r="17" spans="1:15" x14ac:dyDescent="0.25">
      <c r="A17" s="140">
        <v>12</v>
      </c>
      <c r="B17" s="142" t="s">
        <v>18</v>
      </c>
      <c r="C17" s="142" t="s">
        <v>19</v>
      </c>
      <c r="D17" s="142" t="s">
        <v>379</v>
      </c>
      <c r="E17" s="143" t="s">
        <v>380</v>
      </c>
      <c r="F17" s="144">
        <v>75742.5</v>
      </c>
      <c r="G17" s="144">
        <v>57265.79</v>
      </c>
      <c r="H17" s="144">
        <v>55163.049999999996</v>
      </c>
      <c r="I17" s="144">
        <v>53189.719999999994</v>
      </c>
      <c r="J17" s="144">
        <v>51210.99</v>
      </c>
      <c r="K17" s="144">
        <v>48497.31</v>
      </c>
      <c r="L17" s="144">
        <v>46930</v>
      </c>
      <c r="M17" s="144">
        <v>11318.970000000016</v>
      </c>
      <c r="N17" s="145">
        <f t="shared" si="0"/>
        <v>399318.33</v>
      </c>
      <c r="O17" s="146"/>
    </row>
    <row r="18" spans="1:15" x14ac:dyDescent="0.25">
      <c r="A18" s="140">
        <v>13</v>
      </c>
      <c r="B18" s="142" t="s">
        <v>20</v>
      </c>
      <c r="C18" s="142" t="s">
        <v>21</v>
      </c>
      <c r="D18" s="142" t="s">
        <v>402</v>
      </c>
      <c r="E18" s="143" t="s">
        <v>403</v>
      </c>
      <c r="F18" s="144">
        <v>54805.5</v>
      </c>
      <c r="G18" s="144">
        <v>40358.720000000001</v>
      </c>
      <c r="H18" s="144">
        <v>39305.75</v>
      </c>
      <c r="I18" s="144">
        <v>37982.76</v>
      </c>
      <c r="J18" s="144">
        <v>36656.17</v>
      </c>
      <c r="K18" s="144">
        <v>34425.81</v>
      </c>
      <c r="L18" s="144">
        <v>33313</v>
      </c>
      <c r="M18" s="144">
        <v>63415.520000000019</v>
      </c>
      <c r="N18" s="145">
        <f t="shared" si="0"/>
        <v>340263.23000000004</v>
      </c>
      <c r="O18" s="146"/>
    </row>
    <row r="19" spans="1:15" x14ac:dyDescent="0.25">
      <c r="A19" s="140">
        <v>14</v>
      </c>
      <c r="B19" s="142" t="s">
        <v>22</v>
      </c>
      <c r="C19" s="142" t="s">
        <v>23</v>
      </c>
      <c r="D19" s="142" t="s">
        <v>421</v>
      </c>
      <c r="E19" s="143" t="s">
        <v>422</v>
      </c>
      <c r="F19" s="144">
        <v>4561.5</v>
      </c>
      <c r="G19" s="144">
        <v>3383.3599999999997</v>
      </c>
      <c r="H19" s="144">
        <v>3277.97</v>
      </c>
      <c r="I19" s="144">
        <v>3157.3999999999996</v>
      </c>
      <c r="J19" s="144">
        <v>3036.5499999999997</v>
      </c>
      <c r="K19" s="144">
        <v>2887.02</v>
      </c>
      <c r="L19" s="144">
        <v>1375</v>
      </c>
      <c r="M19" s="144">
        <v>0</v>
      </c>
      <c r="N19" s="145">
        <f t="shared" si="0"/>
        <v>21678.799999999999</v>
      </c>
      <c r="O19" s="146"/>
    </row>
    <row r="20" spans="1:15" x14ac:dyDescent="0.25">
      <c r="A20" s="140">
        <v>15</v>
      </c>
      <c r="B20" s="142" t="s">
        <v>24</v>
      </c>
      <c r="C20" s="142" t="s">
        <v>25</v>
      </c>
      <c r="D20" s="142" t="s">
        <v>498</v>
      </c>
      <c r="E20" s="143" t="s">
        <v>499</v>
      </c>
      <c r="F20" s="144">
        <v>13612.5</v>
      </c>
      <c r="G20" s="144">
        <v>9362.880000000001</v>
      </c>
      <c r="H20" s="144">
        <v>8984.74</v>
      </c>
      <c r="I20" s="144">
        <v>8612.7199999999993</v>
      </c>
      <c r="J20" s="144">
        <v>8239.7000000000007</v>
      </c>
      <c r="K20" s="144">
        <v>7867.67</v>
      </c>
      <c r="L20" s="144">
        <v>5659</v>
      </c>
      <c r="M20" s="144">
        <v>0</v>
      </c>
      <c r="N20" s="145">
        <f t="shared" si="0"/>
        <v>62339.210000000006</v>
      </c>
      <c r="O20" s="146"/>
    </row>
    <row r="21" spans="1:15" x14ac:dyDescent="0.25">
      <c r="A21" s="140">
        <v>16</v>
      </c>
      <c r="B21" s="142" t="s">
        <v>26</v>
      </c>
      <c r="C21" s="142" t="s">
        <v>27</v>
      </c>
      <c r="D21" s="142" t="s">
        <v>496</v>
      </c>
      <c r="E21" s="143" t="s">
        <v>497</v>
      </c>
      <c r="F21" s="144">
        <v>11604</v>
      </c>
      <c r="G21" s="144">
        <v>7986.35</v>
      </c>
      <c r="H21" s="144">
        <v>7657.49</v>
      </c>
      <c r="I21" s="144">
        <v>7334</v>
      </c>
      <c r="J21" s="144">
        <v>7009.56</v>
      </c>
      <c r="K21" s="144">
        <v>6686.03</v>
      </c>
      <c r="L21" s="144">
        <v>4805</v>
      </c>
      <c r="M21" s="144">
        <v>0</v>
      </c>
      <c r="N21" s="145">
        <f t="shared" si="0"/>
        <v>53082.429999999993</v>
      </c>
      <c r="O21" s="146"/>
    </row>
    <row r="22" spans="1:15" ht="23.25" x14ac:dyDescent="0.25">
      <c r="A22" s="140">
        <v>17</v>
      </c>
      <c r="B22" s="142" t="s">
        <v>28</v>
      </c>
      <c r="C22" s="142" t="s">
        <v>29</v>
      </c>
      <c r="D22" s="147" t="s">
        <v>679</v>
      </c>
      <c r="E22" s="143" t="s">
        <v>383</v>
      </c>
      <c r="F22" s="144">
        <v>79861.5</v>
      </c>
      <c r="G22" s="144">
        <v>62269.99</v>
      </c>
      <c r="H22" s="144">
        <v>60078.63</v>
      </c>
      <c r="I22" s="144">
        <v>58056.37</v>
      </c>
      <c r="J22" s="144">
        <v>56028.539999999994</v>
      </c>
      <c r="K22" s="144">
        <v>52619.86</v>
      </c>
      <c r="L22" s="144">
        <v>50920.238522</v>
      </c>
      <c r="M22" s="144">
        <v>96924.840000000026</v>
      </c>
      <c r="N22" s="145">
        <f t="shared" si="0"/>
        <v>516759.96852199995</v>
      </c>
      <c r="O22" s="146"/>
    </row>
    <row r="23" spans="1:15" x14ac:dyDescent="0.25">
      <c r="A23" s="140">
        <v>18</v>
      </c>
      <c r="B23" s="142" t="s">
        <v>30</v>
      </c>
      <c r="C23" s="142" t="s">
        <v>31</v>
      </c>
      <c r="D23" s="142" t="s">
        <v>500</v>
      </c>
      <c r="E23" s="143" t="s">
        <v>501</v>
      </c>
      <c r="F23" s="144">
        <v>2640</v>
      </c>
      <c r="G23" s="144">
        <v>1820.71</v>
      </c>
      <c r="H23" s="144">
        <v>1746.4399999999998</v>
      </c>
      <c r="I23" s="144">
        <v>1673.43</v>
      </c>
      <c r="J23" s="144">
        <v>1600.2200000000003</v>
      </c>
      <c r="K23" s="144">
        <v>1527.24</v>
      </c>
      <c r="L23" s="144">
        <v>1458</v>
      </c>
      <c r="M23" s="144">
        <v>0</v>
      </c>
      <c r="N23" s="145">
        <f t="shared" si="0"/>
        <v>12466.039999999999</v>
      </c>
      <c r="O23" s="146"/>
    </row>
    <row r="24" spans="1:15" x14ac:dyDescent="0.25">
      <c r="A24" s="140">
        <v>19</v>
      </c>
      <c r="B24" s="142" t="s">
        <v>32</v>
      </c>
      <c r="C24" s="142" t="s">
        <v>33</v>
      </c>
      <c r="D24" s="142" t="s">
        <v>419</v>
      </c>
      <c r="E24" s="143" t="s">
        <v>420</v>
      </c>
      <c r="F24" s="144">
        <v>50221.5</v>
      </c>
      <c r="G24" s="144">
        <v>36910.92</v>
      </c>
      <c r="H24" s="144">
        <v>35692.51</v>
      </c>
      <c r="I24" s="144">
        <v>34415.78</v>
      </c>
      <c r="J24" s="144">
        <v>33135.51</v>
      </c>
      <c r="K24" s="144">
        <v>31379.47</v>
      </c>
      <c r="L24" s="144">
        <v>30365.913119000001</v>
      </c>
      <c r="M24" s="144">
        <v>7358.1699999999983</v>
      </c>
      <c r="N24" s="145">
        <f t="shared" si="0"/>
        <v>259479.77311900002</v>
      </c>
      <c r="O24" s="146"/>
    </row>
    <row r="25" spans="1:15" x14ac:dyDescent="0.25">
      <c r="A25" s="140">
        <v>20</v>
      </c>
      <c r="B25" s="142" t="s">
        <v>34</v>
      </c>
      <c r="C25" s="142" t="s">
        <v>35</v>
      </c>
      <c r="D25" s="142" t="s">
        <v>646</v>
      </c>
      <c r="E25" s="143" t="s">
        <v>315</v>
      </c>
      <c r="F25" s="144">
        <v>23257.5</v>
      </c>
      <c r="G25" s="144">
        <v>16918.7</v>
      </c>
      <c r="H25" s="144">
        <v>16435.73</v>
      </c>
      <c r="I25" s="144">
        <v>15831.489999999998</v>
      </c>
      <c r="J25" s="144">
        <v>15225.61</v>
      </c>
      <c r="K25" s="144">
        <v>14475.199999999999</v>
      </c>
      <c r="L25" s="144">
        <v>7024</v>
      </c>
      <c r="M25" s="144">
        <v>0</v>
      </c>
      <c r="N25" s="145">
        <f t="shared" si="0"/>
        <v>109168.22999999998</v>
      </c>
      <c r="O25" s="146"/>
    </row>
    <row r="26" spans="1:15" ht="23.25" x14ac:dyDescent="0.25">
      <c r="A26" s="140">
        <v>21</v>
      </c>
      <c r="B26" s="142" t="s">
        <v>36</v>
      </c>
      <c r="C26" s="142" t="s">
        <v>37</v>
      </c>
      <c r="D26" s="147" t="s">
        <v>425</v>
      </c>
      <c r="E26" s="143" t="s">
        <v>426</v>
      </c>
      <c r="F26" s="144">
        <v>61873.5</v>
      </c>
      <c r="G26" s="144">
        <v>42224.58</v>
      </c>
      <c r="H26" s="144">
        <v>20467.950000000004</v>
      </c>
      <c r="I26" s="144">
        <v>0</v>
      </c>
      <c r="J26" s="144">
        <v>0</v>
      </c>
      <c r="K26" s="144">
        <v>0</v>
      </c>
      <c r="L26" s="144">
        <v>0</v>
      </c>
      <c r="M26" s="144">
        <v>0</v>
      </c>
      <c r="N26" s="145">
        <f t="shared" si="0"/>
        <v>124566.03</v>
      </c>
      <c r="O26" s="146"/>
    </row>
    <row r="27" spans="1:15" ht="23.25" x14ac:dyDescent="0.25">
      <c r="A27" s="140">
        <v>22</v>
      </c>
      <c r="B27" s="142" t="s">
        <v>38</v>
      </c>
      <c r="C27" s="142" t="s">
        <v>39</v>
      </c>
      <c r="D27" s="147" t="s">
        <v>423</v>
      </c>
      <c r="E27" s="143" t="s">
        <v>424</v>
      </c>
      <c r="F27" s="144">
        <v>69579</v>
      </c>
      <c r="G27" s="144">
        <v>54221.81</v>
      </c>
      <c r="H27" s="144">
        <v>52238.820000000007</v>
      </c>
      <c r="I27" s="144">
        <v>50403.18</v>
      </c>
      <c r="J27" s="144">
        <v>48562.46</v>
      </c>
      <c r="K27" s="144">
        <v>45874.619999999995</v>
      </c>
      <c r="L27" s="144">
        <v>44392.869773999999</v>
      </c>
      <c r="M27" s="144">
        <v>32254.900000000009</v>
      </c>
      <c r="N27" s="145">
        <f t="shared" si="0"/>
        <v>397527.65977400006</v>
      </c>
      <c r="O27" s="146"/>
    </row>
    <row r="28" spans="1:15" x14ac:dyDescent="0.25">
      <c r="A28" s="140">
        <v>23</v>
      </c>
      <c r="B28" s="142" t="s">
        <v>40</v>
      </c>
      <c r="C28" s="142" t="s">
        <v>41</v>
      </c>
      <c r="D28" s="142" t="s">
        <v>680</v>
      </c>
      <c r="E28" s="143" t="s">
        <v>313</v>
      </c>
      <c r="F28" s="144">
        <v>120945</v>
      </c>
      <c r="G28" s="144">
        <v>87128.02</v>
      </c>
      <c r="H28" s="144">
        <v>84277.06</v>
      </c>
      <c r="I28" s="144">
        <v>81179.23</v>
      </c>
      <c r="J28" s="144">
        <v>78072.860000000015</v>
      </c>
      <c r="K28" s="144">
        <v>74223.490000000005</v>
      </c>
      <c r="L28" s="144">
        <v>36289</v>
      </c>
      <c r="M28" s="144">
        <v>0</v>
      </c>
      <c r="N28" s="145">
        <f t="shared" si="0"/>
        <v>562114.66</v>
      </c>
      <c r="O28" s="146"/>
    </row>
    <row r="29" spans="1:15" x14ac:dyDescent="0.25">
      <c r="A29" s="140">
        <v>24</v>
      </c>
      <c r="B29" s="142" t="s">
        <v>42</v>
      </c>
      <c r="C29" s="142" t="s">
        <v>43</v>
      </c>
      <c r="D29" s="142" t="s">
        <v>681</v>
      </c>
      <c r="E29" s="143" t="s">
        <v>317</v>
      </c>
      <c r="F29" s="144">
        <v>16960.5</v>
      </c>
      <c r="G29" s="144">
        <v>12816.71</v>
      </c>
      <c r="H29" s="144">
        <v>12472.41</v>
      </c>
      <c r="I29" s="144">
        <v>12037.95</v>
      </c>
      <c r="J29" s="144">
        <v>11602.300000000001</v>
      </c>
      <c r="K29" s="144">
        <v>10946.92</v>
      </c>
      <c r="L29" s="144">
        <v>10593.334484000001</v>
      </c>
      <c r="M29" s="144">
        <v>10242.509999999995</v>
      </c>
      <c r="N29" s="145">
        <f t="shared" si="0"/>
        <v>97672.634483999995</v>
      </c>
      <c r="O29" s="146"/>
    </row>
    <row r="30" spans="1:15" x14ac:dyDescent="0.25">
      <c r="A30" s="140">
        <v>25</v>
      </c>
      <c r="B30" s="142" t="s">
        <v>44</v>
      </c>
      <c r="C30" s="142" t="s">
        <v>45</v>
      </c>
      <c r="D30" s="142" t="s">
        <v>647</v>
      </c>
      <c r="E30" s="143" t="s">
        <v>297</v>
      </c>
      <c r="F30" s="144">
        <v>78663</v>
      </c>
      <c r="G30" s="144">
        <v>61655.009999999995</v>
      </c>
      <c r="H30" s="144">
        <v>59941.52</v>
      </c>
      <c r="I30" s="144">
        <v>57923.98</v>
      </c>
      <c r="J30" s="144">
        <v>55900.91</v>
      </c>
      <c r="K30" s="144">
        <v>52499.630000000005</v>
      </c>
      <c r="L30" s="144">
        <v>50803.891951000005</v>
      </c>
      <c r="M30" s="144">
        <v>96779.15</v>
      </c>
      <c r="N30" s="145">
        <f t="shared" si="0"/>
        <v>514167.09195100004</v>
      </c>
      <c r="O30" s="146"/>
    </row>
    <row r="31" spans="1:15" x14ac:dyDescent="0.25">
      <c r="A31" s="140">
        <v>26</v>
      </c>
      <c r="B31" s="142" t="s">
        <v>46</v>
      </c>
      <c r="C31" s="142" t="s">
        <v>47</v>
      </c>
      <c r="D31" s="142" t="s">
        <v>427</v>
      </c>
      <c r="E31" s="143" t="s">
        <v>428</v>
      </c>
      <c r="F31" s="144">
        <v>26520</v>
      </c>
      <c r="G31" s="144">
        <v>18682.090000000004</v>
      </c>
      <c r="H31" s="144">
        <v>17936.009999999998</v>
      </c>
      <c r="I31" s="144">
        <v>8719.5300000000007</v>
      </c>
      <c r="J31" s="144">
        <v>0</v>
      </c>
      <c r="K31" s="144">
        <v>0</v>
      </c>
      <c r="L31" s="144">
        <v>0</v>
      </c>
      <c r="M31" s="144">
        <v>0</v>
      </c>
      <c r="N31" s="145">
        <f t="shared" si="0"/>
        <v>71857.63</v>
      </c>
      <c r="O31" s="146"/>
    </row>
    <row r="32" spans="1:15" ht="23.25" x14ac:dyDescent="0.25">
      <c r="A32" s="140">
        <v>27</v>
      </c>
      <c r="B32" s="142" t="s">
        <v>48</v>
      </c>
      <c r="C32" s="142" t="s">
        <v>49</v>
      </c>
      <c r="D32" s="147" t="s">
        <v>655</v>
      </c>
      <c r="E32" s="143" t="s">
        <v>428</v>
      </c>
      <c r="F32" s="144">
        <v>26520</v>
      </c>
      <c r="G32" s="144">
        <v>5190.95</v>
      </c>
      <c r="H32" s="144">
        <v>5015.9400000000005</v>
      </c>
      <c r="I32" s="144">
        <v>4844.079999999999</v>
      </c>
      <c r="J32" s="144">
        <v>4671.76</v>
      </c>
      <c r="K32" s="144">
        <v>4397.9399999999996</v>
      </c>
      <c r="L32" s="144">
        <v>4255.8865379999997</v>
      </c>
      <c r="M32" s="144">
        <v>6038.7300000000032</v>
      </c>
      <c r="N32" s="145">
        <f t="shared" si="0"/>
        <v>60935.286538000008</v>
      </c>
      <c r="O32" s="146"/>
    </row>
    <row r="33" spans="1:15" x14ac:dyDescent="0.25">
      <c r="A33" s="140">
        <v>28</v>
      </c>
      <c r="B33" s="142" t="s">
        <v>50</v>
      </c>
      <c r="C33" s="142" t="s">
        <v>51</v>
      </c>
      <c r="D33" s="142" t="s">
        <v>682</v>
      </c>
      <c r="E33" s="143" t="s">
        <v>311</v>
      </c>
      <c r="F33" s="144">
        <v>23670</v>
      </c>
      <c r="G33" s="144">
        <v>16489.759999999998</v>
      </c>
      <c r="H33" s="144">
        <v>15830.550000000001</v>
      </c>
      <c r="I33" s="144">
        <v>7648.66</v>
      </c>
      <c r="J33" s="144">
        <v>0</v>
      </c>
      <c r="K33" s="144">
        <v>0</v>
      </c>
      <c r="L33" s="144">
        <v>0</v>
      </c>
      <c r="M33" s="144">
        <v>0</v>
      </c>
      <c r="N33" s="145">
        <f t="shared" si="0"/>
        <v>63638.97</v>
      </c>
      <c r="O33" s="146"/>
    </row>
    <row r="34" spans="1:15" x14ac:dyDescent="0.25">
      <c r="A34" s="140">
        <v>29</v>
      </c>
      <c r="B34" s="142" t="s">
        <v>52</v>
      </c>
      <c r="C34" s="142" t="s">
        <v>53</v>
      </c>
      <c r="D34" s="142" t="s">
        <v>683</v>
      </c>
      <c r="E34" s="143" t="s">
        <v>301</v>
      </c>
      <c r="F34" s="144">
        <v>116406</v>
      </c>
      <c r="G34" s="144">
        <v>58828.020000000004</v>
      </c>
      <c r="H34" s="144">
        <v>0</v>
      </c>
      <c r="I34" s="144">
        <v>0</v>
      </c>
      <c r="J34" s="144">
        <v>0</v>
      </c>
      <c r="K34" s="144">
        <v>0</v>
      </c>
      <c r="L34" s="144">
        <v>0</v>
      </c>
      <c r="M34" s="144">
        <v>0</v>
      </c>
      <c r="N34" s="145">
        <f t="shared" si="0"/>
        <v>175234.02000000002</v>
      </c>
      <c r="O34" s="146"/>
    </row>
    <row r="35" spans="1:15" x14ac:dyDescent="0.25">
      <c r="A35" s="140">
        <v>30</v>
      </c>
      <c r="B35" s="142" t="s">
        <v>54</v>
      </c>
      <c r="C35" s="142" t="s">
        <v>55</v>
      </c>
      <c r="D35" s="142" t="s">
        <v>456</v>
      </c>
      <c r="E35" s="143" t="s">
        <v>457</v>
      </c>
      <c r="F35" s="144">
        <v>16173</v>
      </c>
      <c r="G35" s="144">
        <v>11775.9</v>
      </c>
      <c r="H35" s="144">
        <v>11312.7</v>
      </c>
      <c r="I35" s="144">
        <v>10868.15</v>
      </c>
      <c r="J35" s="144">
        <v>7817.6299999999992</v>
      </c>
      <c r="K35" s="144">
        <v>0</v>
      </c>
      <c r="L35" s="144">
        <v>0</v>
      </c>
      <c r="M35" s="144">
        <v>0</v>
      </c>
      <c r="N35" s="145">
        <f t="shared" si="0"/>
        <v>57947.380000000005</v>
      </c>
      <c r="O35" s="146"/>
    </row>
    <row r="36" spans="1:15" x14ac:dyDescent="0.25">
      <c r="A36" s="140">
        <v>31</v>
      </c>
      <c r="B36" s="142" t="s">
        <v>56</v>
      </c>
      <c r="C36" s="142" t="s">
        <v>57</v>
      </c>
      <c r="D36" s="142" t="s">
        <v>656</v>
      </c>
      <c r="E36" s="143" t="s">
        <v>303</v>
      </c>
      <c r="F36" s="144">
        <v>49554</v>
      </c>
      <c r="G36" s="144">
        <v>41180.25</v>
      </c>
      <c r="H36" s="144">
        <v>39892.03</v>
      </c>
      <c r="I36" s="144">
        <v>38634.15</v>
      </c>
      <c r="J36" s="144">
        <v>37372.85</v>
      </c>
      <c r="K36" s="144">
        <v>34806.25</v>
      </c>
      <c r="L36" s="144">
        <v>33682.008125</v>
      </c>
      <c r="M36" s="144">
        <v>124813.43999999997</v>
      </c>
      <c r="N36" s="145">
        <f t="shared" si="0"/>
        <v>399934.97812500002</v>
      </c>
      <c r="O36" s="146"/>
    </row>
    <row r="37" spans="1:15" x14ac:dyDescent="0.25">
      <c r="A37" s="140">
        <v>32</v>
      </c>
      <c r="B37" s="142" t="s">
        <v>62</v>
      </c>
      <c r="C37" s="142" t="s">
        <v>63</v>
      </c>
      <c r="D37" s="142" t="s">
        <v>657</v>
      </c>
      <c r="E37" s="143" t="s">
        <v>303</v>
      </c>
      <c r="F37" s="144">
        <v>49554</v>
      </c>
      <c r="G37" s="144">
        <v>32690.059999999998</v>
      </c>
      <c r="H37" s="144">
        <v>31637.460000000003</v>
      </c>
      <c r="I37" s="144">
        <v>30607.33</v>
      </c>
      <c r="J37" s="144">
        <v>29574.400000000001</v>
      </c>
      <c r="K37" s="144">
        <v>27655.1</v>
      </c>
      <c r="L37" s="144">
        <v>26761.840269999997</v>
      </c>
      <c r="M37" s="144">
        <v>75391.98000000001</v>
      </c>
      <c r="N37" s="145">
        <f t="shared" si="0"/>
        <v>303872.17027</v>
      </c>
      <c r="O37" s="146"/>
    </row>
    <row r="38" spans="1:15" x14ac:dyDescent="0.25">
      <c r="A38" s="140">
        <v>33</v>
      </c>
      <c r="B38" s="142" t="s">
        <v>58</v>
      </c>
      <c r="C38" s="142" t="s">
        <v>59</v>
      </c>
      <c r="D38" s="142" t="s">
        <v>658</v>
      </c>
      <c r="E38" s="143" t="s">
        <v>303</v>
      </c>
      <c r="F38" s="144">
        <v>49554</v>
      </c>
      <c r="G38" s="144">
        <v>139332.51999999999</v>
      </c>
      <c r="H38" s="144">
        <v>134602.11000000002</v>
      </c>
      <c r="I38" s="144">
        <v>129954.03</v>
      </c>
      <c r="J38" s="144">
        <v>125293.2</v>
      </c>
      <c r="K38" s="144">
        <v>118075.26</v>
      </c>
      <c r="L38" s="144">
        <v>114261.42910199999</v>
      </c>
      <c r="M38" s="144">
        <v>137560.99000000005</v>
      </c>
      <c r="N38" s="145">
        <f t="shared" si="0"/>
        <v>948633.53910199995</v>
      </c>
      <c r="O38" s="146"/>
    </row>
    <row r="39" spans="1:15" x14ac:dyDescent="0.25">
      <c r="A39" s="140">
        <v>34</v>
      </c>
      <c r="B39" s="142" t="s">
        <v>60</v>
      </c>
      <c r="C39" s="142" t="s">
        <v>61</v>
      </c>
      <c r="D39" s="142" t="s">
        <v>684</v>
      </c>
      <c r="E39" s="143" t="s">
        <v>303</v>
      </c>
      <c r="F39" s="144">
        <v>49554</v>
      </c>
      <c r="G39" s="144">
        <v>71753.12999999999</v>
      </c>
      <c r="H39" s="144">
        <v>69508.489999999991</v>
      </c>
      <c r="I39" s="144">
        <v>67316.800000000003</v>
      </c>
      <c r="J39" s="144">
        <v>65119.07</v>
      </c>
      <c r="K39" s="144">
        <v>60646.950000000004</v>
      </c>
      <c r="L39" s="144">
        <v>58688.053515000007</v>
      </c>
      <c r="M39" s="144">
        <v>217476.94</v>
      </c>
      <c r="N39" s="145">
        <f t="shared" si="0"/>
        <v>660063.43351499992</v>
      </c>
      <c r="O39" s="146"/>
    </row>
    <row r="40" spans="1:15" x14ac:dyDescent="0.25">
      <c r="A40" s="140">
        <v>35</v>
      </c>
      <c r="B40" s="142" t="s">
        <v>66</v>
      </c>
      <c r="C40" s="142" t="s">
        <v>67</v>
      </c>
      <c r="D40" s="142" t="s">
        <v>462</v>
      </c>
      <c r="E40" s="143" t="s">
        <v>463</v>
      </c>
      <c r="F40" s="144">
        <v>49756.5</v>
      </c>
      <c r="G40" s="144">
        <v>36215.79</v>
      </c>
      <c r="H40" s="144">
        <v>35259.019999999997</v>
      </c>
      <c r="I40" s="144">
        <v>33950.950000000004</v>
      </c>
      <c r="J40" s="144">
        <v>32639.260000000002</v>
      </c>
      <c r="K40" s="144">
        <v>31071.800000000003</v>
      </c>
      <c r="L40" s="144">
        <v>7657</v>
      </c>
      <c r="M40" s="144">
        <v>0</v>
      </c>
      <c r="N40" s="145">
        <f t="shared" si="0"/>
        <v>226550.32</v>
      </c>
      <c r="O40" s="146"/>
    </row>
    <row r="41" spans="1:15" x14ac:dyDescent="0.25">
      <c r="A41" s="140">
        <v>36</v>
      </c>
      <c r="B41" s="142" t="s">
        <v>68</v>
      </c>
      <c r="C41" s="142" t="s">
        <v>69</v>
      </c>
      <c r="D41" s="142" t="s">
        <v>465</v>
      </c>
      <c r="E41" s="143" t="s">
        <v>466</v>
      </c>
      <c r="F41" s="144">
        <v>18310.5</v>
      </c>
      <c r="G41" s="144">
        <v>14017.890000000001</v>
      </c>
      <c r="H41" s="144">
        <v>13494.95</v>
      </c>
      <c r="I41" s="144">
        <v>13003.439999999999</v>
      </c>
      <c r="J41" s="144">
        <v>12510.58</v>
      </c>
      <c r="K41" s="144">
        <v>11878.01</v>
      </c>
      <c r="L41" s="144">
        <v>8655</v>
      </c>
      <c r="M41" s="144">
        <v>0</v>
      </c>
      <c r="N41" s="145">
        <f t="shared" si="0"/>
        <v>91870.37</v>
      </c>
      <c r="O41" s="146"/>
    </row>
    <row r="42" spans="1:15" x14ac:dyDescent="0.25">
      <c r="A42" s="140">
        <v>37</v>
      </c>
      <c r="B42" s="142" t="s">
        <v>64</v>
      </c>
      <c r="C42" s="142" t="s">
        <v>65</v>
      </c>
      <c r="D42" s="142" t="s">
        <v>659</v>
      </c>
      <c r="E42" s="143" t="s">
        <v>358</v>
      </c>
      <c r="F42" s="144">
        <v>91341</v>
      </c>
      <c r="G42" s="144">
        <v>62779.26</v>
      </c>
      <c r="H42" s="144">
        <v>60654.86</v>
      </c>
      <c r="I42" s="144">
        <v>58199.19</v>
      </c>
      <c r="J42" s="144">
        <v>136.51999999999998</v>
      </c>
      <c r="K42" s="144">
        <v>0</v>
      </c>
      <c r="L42" s="144">
        <v>0</v>
      </c>
      <c r="M42" s="144">
        <v>0</v>
      </c>
      <c r="N42" s="145">
        <f t="shared" si="0"/>
        <v>273110.83</v>
      </c>
      <c r="O42" s="146"/>
    </row>
    <row r="43" spans="1:15" x14ac:dyDescent="0.25">
      <c r="A43" s="140">
        <v>38</v>
      </c>
      <c r="B43" s="142" t="s">
        <v>70</v>
      </c>
      <c r="C43" s="142" t="s">
        <v>71</v>
      </c>
      <c r="D43" s="142" t="s">
        <v>440</v>
      </c>
      <c r="E43" s="143" t="s">
        <v>441</v>
      </c>
      <c r="F43" s="144">
        <v>5610</v>
      </c>
      <c r="G43" s="144">
        <v>4151.0700000000006</v>
      </c>
      <c r="H43" s="144">
        <v>4051.89</v>
      </c>
      <c r="I43" s="144">
        <v>3906.96</v>
      </c>
      <c r="J43" s="144">
        <v>3761.61</v>
      </c>
      <c r="K43" s="144">
        <v>3562.2599999999998</v>
      </c>
      <c r="L43" s="144">
        <v>3447.1990019999998</v>
      </c>
      <c r="M43" s="144">
        <v>843.72000000000116</v>
      </c>
      <c r="N43" s="145">
        <f t="shared" si="0"/>
        <v>29334.709002</v>
      </c>
      <c r="O43" s="146"/>
    </row>
    <row r="44" spans="1:15" x14ac:dyDescent="0.25">
      <c r="A44" s="140">
        <v>39</v>
      </c>
      <c r="B44" s="142" t="s">
        <v>72</v>
      </c>
      <c r="C44" s="142" t="s">
        <v>73</v>
      </c>
      <c r="D44" s="142" t="s">
        <v>685</v>
      </c>
      <c r="E44" s="143" t="s">
        <v>434</v>
      </c>
      <c r="F44" s="144">
        <v>13404</v>
      </c>
      <c r="G44" s="144">
        <v>8993.09</v>
      </c>
      <c r="H44" s="144">
        <v>20.87</v>
      </c>
      <c r="I44" s="144">
        <v>0</v>
      </c>
      <c r="J44" s="144">
        <v>0</v>
      </c>
      <c r="K44" s="144">
        <v>0</v>
      </c>
      <c r="L44" s="144">
        <v>0</v>
      </c>
      <c r="M44" s="144">
        <v>0</v>
      </c>
      <c r="N44" s="145">
        <f t="shared" si="0"/>
        <v>22417.96</v>
      </c>
      <c r="O44" s="146"/>
    </row>
    <row r="45" spans="1:15" x14ac:dyDescent="0.25">
      <c r="A45" s="140">
        <v>40</v>
      </c>
      <c r="B45" s="142" t="s">
        <v>74</v>
      </c>
      <c r="C45" s="142" t="s">
        <v>75</v>
      </c>
      <c r="D45" s="142" t="s">
        <v>686</v>
      </c>
      <c r="E45" s="143" t="s">
        <v>432</v>
      </c>
      <c r="F45" s="144">
        <v>7569</v>
      </c>
      <c r="G45" s="144">
        <v>5330.42</v>
      </c>
      <c r="H45" s="144">
        <v>5145</v>
      </c>
      <c r="I45" s="144">
        <v>4936.72</v>
      </c>
      <c r="J45" s="144">
        <v>11.58</v>
      </c>
      <c r="K45" s="144">
        <v>0</v>
      </c>
      <c r="L45" s="144">
        <v>0</v>
      </c>
      <c r="M45" s="144">
        <v>0</v>
      </c>
      <c r="N45" s="145">
        <f t="shared" si="0"/>
        <v>22992.720000000001</v>
      </c>
      <c r="O45" s="146"/>
    </row>
    <row r="46" spans="1:15" x14ac:dyDescent="0.25">
      <c r="A46" s="140">
        <v>41</v>
      </c>
      <c r="B46" s="142" t="s">
        <v>76</v>
      </c>
      <c r="C46" s="142" t="s">
        <v>77</v>
      </c>
      <c r="D46" s="142" t="s">
        <v>687</v>
      </c>
      <c r="E46" s="143" t="s">
        <v>335</v>
      </c>
      <c r="F46" s="144">
        <v>19627.5</v>
      </c>
      <c r="G46" s="144">
        <v>15236.14</v>
      </c>
      <c r="H46" s="144">
        <v>14658.339999999998</v>
      </c>
      <c r="I46" s="144">
        <v>14147.73</v>
      </c>
      <c r="J46" s="144">
        <v>13635.76</v>
      </c>
      <c r="K46" s="144">
        <v>12865.49</v>
      </c>
      <c r="L46" s="144">
        <v>12449.934673</v>
      </c>
      <c r="M46" s="144">
        <v>12037.150000000001</v>
      </c>
      <c r="N46" s="145">
        <f t="shared" si="0"/>
        <v>114658.044673</v>
      </c>
      <c r="O46" s="146"/>
    </row>
    <row r="47" spans="1:15" x14ac:dyDescent="0.25">
      <c r="A47" s="140">
        <v>42</v>
      </c>
      <c r="B47" s="142" t="s">
        <v>78</v>
      </c>
      <c r="C47" s="142" t="s">
        <v>79</v>
      </c>
      <c r="D47" s="142" t="s">
        <v>660</v>
      </c>
      <c r="E47" s="143" t="s">
        <v>337</v>
      </c>
      <c r="F47" s="144">
        <v>52245</v>
      </c>
      <c r="G47" s="144">
        <v>42852.07</v>
      </c>
      <c r="H47" s="144">
        <v>41307.61</v>
      </c>
      <c r="I47" s="144">
        <v>40005.15</v>
      </c>
      <c r="J47" s="144">
        <v>38699.080000000009</v>
      </c>
      <c r="K47" s="144">
        <v>36041.370000000003</v>
      </c>
      <c r="L47" s="144">
        <v>34877.233748999999</v>
      </c>
      <c r="M47" s="144">
        <v>129242.76000000001</v>
      </c>
      <c r="N47" s="145">
        <f t="shared" si="0"/>
        <v>415270.27374899999</v>
      </c>
      <c r="O47" s="146"/>
    </row>
    <row r="48" spans="1:15" x14ac:dyDescent="0.25">
      <c r="A48" s="140">
        <v>43</v>
      </c>
      <c r="B48" s="142" t="s">
        <v>80</v>
      </c>
      <c r="C48" s="142" t="s">
        <v>81</v>
      </c>
      <c r="D48" s="142" t="s">
        <v>446</v>
      </c>
      <c r="E48" s="143" t="s">
        <v>447</v>
      </c>
      <c r="F48" s="144">
        <v>12999</v>
      </c>
      <c r="G48" s="144">
        <v>10078.83</v>
      </c>
      <c r="H48" s="144">
        <v>9713.5199999999986</v>
      </c>
      <c r="I48" s="144">
        <v>9372.2199999999975</v>
      </c>
      <c r="J48" s="144">
        <v>9029.9400000000023</v>
      </c>
      <c r="K48" s="144">
        <v>8530.14</v>
      </c>
      <c r="L48" s="144">
        <v>8254.6164779999999</v>
      </c>
      <c r="M48" s="144">
        <v>5997.2800000000025</v>
      </c>
      <c r="N48" s="145">
        <f t="shared" si="0"/>
        <v>73975.546477999989</v>
      </c>
      <c r="O48" s="146"/>
    </row>
    <row r="49" spans="1:15" x14ac:dyDescent="0.25">
      <c r="A49" s="140">
        <v>44</v>
      </c>
      <c r="B49" s="142" t="s">
        <v>82</v>
      </c>
      <c r="C49" s="142" t="s">
        <v>83</v>
      </c>
      <c r="D49" s="142" t="s">
        <v>460</v>
      </c>
      <c r="E49" s="143" t="s">
        <v>461</v>
      </c>
      <c r="F49" s="144">
        <v>8166</v>
      </c>
      <c r="G49" s="144">
        <v>6248.3899999999994</v>
      </c>
      <c r="H49" s="144">
        <v>6032.35</v>
      </c>
      <c r="I49" s="144">
        <v>5820.37</v>
      </c>
      <c r="J49" s="144">
        <v>5607.8099999999995</v>
      </c>
      <c r="K49" s="144">
        <v>5297.4400000000005</v>
      </c>
      <c r="L49" s="144">
        <v>5126.3326880000004</v>
      </c>
      <c r="M49" s="144">
        <v>3728.4799999999996</v>
      </c>
      <c r="N49" s="145">
        <f t="shared" si="0"/>
        <v>46027.172688000006</v>
      </c>
      <c r="O49" s="146"/>
    </row>
    <row r="50" spans="1:15" x14ac:dyDescent="0.25">
      <c r="A50" s="140">
        <v>45</v>
      </c>
      <c r="B50" s="142" t="s">
        <v>84</v>
      </c>
      <c r="C50" s="142" t="s">
        <v>85</v>
      </c>
      <c r="D50" s="142" t="s">
        <v>464</v>
      </c>
      <c r="E50" s="143" t="s">
        <v>461</v>
      </c>
      <c r="F50" s="144">
        <v>8166</v>
      </c>
      <c r="G50" s="144">
        <v>6970.75</v>
      </c>
      <c r="H50" s="144">
        <v>6729.74</v>
      </c>
      <c r="I50" s="144">
        <v>6493.27</v>
      </c>
      <c r="J50" s="144">
        <v>6256.12</v>
      </c>
      <c r="K50" s="144">
        <v>5909.87</v>
      </c>
      <c r="L50" s="144">
        <v>5718.9811989999998</v>
      </c>
      <c r="M50" s="144">
        <v>4159.119999999999</v>
      </c>
      <c r="N50" s="145">
        <f t="shared" si="0"/>
        <v>50403.851198999997</v>
      </c>
      <c r="O50" s="146"/>
    </row>
    <row r="51" spans="1:15" x14ac:dyDescent="0.25">
      <c r="A51" s="140">
        <v>46</v>
      </c>
      <c r="B51" s="142" t="s">
        <v>88</v>
      </c>
      <c r="C51" s="142" t="s">
        <v>89</v>
      </c>
      <c r="D51" s="142" t="s">
        <v>458</v>
      </c>
      <c r="E51" s="143" t="s">
        <v>459</v>
      </c>
      <c r="F51" s="144">
        <v>10783.5</v>
      </c>
      <c r="G51" s="144">
        <v>8307.07</v>
      </c>
      <c r="H51" s="144">
        <v>8078.28</v>
      </c>
      <c r="I51" s="144">
        <v>7801.7199999999993</v>
      </c>
      <c r="J51" s="144">
        <v>7524.42</v>
      </c>
      <c r="K51" s="144">
        <v>7082.68</v>
      </c>
      <c r="L51" s="144">
        <v>6853.9094359999999</v>
      </c>
      <c r="M51" s="144">
        <v>9859.5</v>
      </c>
      <c r="N51" s="145">
        <f t="shared" si="0"/>
        <v>66291.079436</v>
      </c>
      <c r="O51" s="146"/>
    </row>
    <row r="52" spans="1:15" x14ac:dyDescent="0.25">
      <c r="A52" s="140">
        <v>47</v>
      </c>
      <c r="B52" s="142" t="s">
        <v>86</v>
      </c>
      <c r="C52" s="142" t="s">
        <v>87</v>
      </c>
      <c r="D52" s="142" t="s">
        <v>404</v>
      </c>
      <c r="E52" s="143" t="s">
        <v>405</v>
      </c>
      <c r="F52" s="144">
        <v>51195</v>
      </c>
      <c r="G52" s="144">
        <v>38795.550000000003</v>
      </c>
      <c r="H52" s="144">
        <v>38381.49</v>
      </c>
      <c r="I52" s="144">
        <v>37251.57</v>
      </c>
      <c r="J52" s="144">
        <v>36118.58</v>
      </c>
      <c r="K52" s="144">
        <v>33362.300000000003</v>
      </c>
      <c r="L52" s="144">
        <v>32284.697710000004</v>
      </c>
      <c r="M52" s="144">
        <v>181675.62</v>
      </c>
      <c r="N52" s="145">
        <f t="shared" si="0"/>
        <v>449064.80770999996</v>
      </c>
      <c r="O52" s="146"/>
    </row>
    <row r="53" spans="1:15" x14ac:dyDescent="0.25">
      <c r="A53" s="140">
        <v>48</v>
      </c>
      <c r="B53" s="142" t="s">
        <v>90</v>
      </c>
      <c r="C53" s="142" t="s">
        <v>91</v>
      </c>
      <c r="D53" s="142" t="s">
        <v>601</v>
      </c>
      <c r="E53" s="143" t="s">
        <v>329</v>
      </c>
      <c r="F53" s="144">
        <v>19291.5</v>
      </c>
      <c r="G53" s="144">
        <v>14072.36</v>
      </c>
      <c r="H53" s="144">
        <v>13510.25</v>
      </c>
      <c r="I53" s="144">
        <v>12989.69</v>
      </c>
      <c r="J53" s="144">
        <v>12467.689999999999</v>
      </c>
      <c r="K53" s="144">
        <v>3039.39</v>
      </c>
      <c r="L53" s="144">
        <v>0</v>
      </c>
      <c r="M53" s="144">
        <v>0</v>
      </c>
      <c r="N53" s="145">
        <f t="shared" si="0"/>
        <v>75370.880000000005</v>
      </c>
      <c r="O53" s="146"/>
    </row>
    <row r="54" spans="1:15" x14ac:dyDescent="0.25">
      <c r="A54" s="140">
        <v>49</v>
      </c>
      <c r="B54" s="142" t="s">
        <v>92</v>
      </c>
      <c r="C54" s="142" t="s">
        <v>93</v>
      </c>
      <c r="D54" s="142" t="s">
        <v>560</v>
      </c>
      <c r="E54" s="143" t="s">
        <v>445</v>
      </c>
      <c r="F54" s="144">
        <v>10786.5</v>
      </c>
      <c r="G54" s="144">
        <v>8526.85</v>
      </c>
      <c r="H54" s="144">
        <v>8224.94</v>
      </c>
      <c r="I54" s="144">
        <v>7945.7300000000014</v>
      </c>
      <c r="J54" s="144">
        <v>7665.76</v>
      </c>
      <c r="K54" s="144">
        <v>7207.4800000000005</v>
      </c>
      <c r="L54" s="144">
        <v>6974.6783960000002</v>
      </c>
      <c r="M54" s="144">
        <v>11657.93</v>
      </c>
      <c r="N54" s="145">
        <f t="shared" si="0"/>
        <v>68989.868396000005</v>
      </c>
      <c r="O54" s="146"/>
    </row>
    <row r="55" spans="1:15" x14ac:dyDescent="0.25">
      <c r="A55" s="140">
        <v>50</v>
      </c>
      <c r="B55" s="142" t="s">
        <v>94</v>
      </c>
      <c r="C55" s="142" t="s">
        <v>95</v>
      </c>
      <c r="D55" s="142" t="s">
        <v>561</v>
      </c>
      <c r="E55" s="143" t="s">
        <v>443</v>
      </c>
      <c r="F55" s="144">
        <v>9679.5</v>
      </c>
      <c r="G55" s="144">
        <v>7549.8500000000013</v>
      </c>
      <c r="H55" s="144">
        <v>7296.72</v>
      </c>
      <c r="I55" s="144">
        <v>7049.0400000000009</v>
      </c>
      <c r="J55" s="144">
        <v>6800.6900000000005</v>
      </c>
      <c r="K55" s="144">
        <v>6394.1</v>
      </c>
      <c r="L55" s="144">
        <v>6187.5705700000008</v>
      </c>
      <c r="M55" s="144">
        <v>10346.349999999999</v>
      </c>
      <c r="N55" s="145">
        <f t="shared" si="0"/>
        <v>61303.820570000003</v>
      </c>
      <c r="O55" s="146"/>
    </row>
    <row r="56" spans="1:15" x14ac:dyDescent="0.25">
      <c r="A56" s="140">
        <v>51</v>
      </c>
      <c r="B56" s="142" t="s">
        <v>264</v>
      </c>
      <c r="C56" s="142" t="s">
        <v>265</v>
      </c>
      <c r="D56" s="142" t="s">
        <v>467</v>
      </c>
      <c r="E56" s="143" t="s">
        <v>468</v>
      </c>
      <c r="F56" s="144">
        <v>4680</v>
      </c>
      <c r="G56" s="144">
        <v>0</v>
      </c>
      <c r="H56" s="144">
        <v>0</v>
      </c>
      <c r="I56" s="144">
        <v>0</v>
      </c>
      <c r="J56" s="144">
        <v>0</v>
      </c>
      <c r="K56" s="144">
        <v>0</v>
      </c>
      <c r="L56" s="144">
        <v>0</v>
      </c>
      <c r="M56" s="144">
        <v>0</v>
      </c>
      <c r="N56" s="145">
        <f t="shared" si="0"/>
        <v>4680</v>
      </c>
      <c r="O56" s="146"/>
    </row>
    <row r="57" spans="1:15" x14ac:dyDescent="0.25">
      <c r="A57" s="140">
        <v>52</v>
      </c>
      <c r="B57" s="142" t="s">
        <v>98</v>
      </c>
      <c r="C57" s="142" t="s">
        <v>99</v>
      </c>
      <c r="D57" s="142" t="s">
        <v>475</v>
      </c>
      <c r="E57" s="143" t="s">
        <v>476</v>
      </c>
      <c r="F57" s="144">
        <v>22543.5</v>
      </c>
      <c r="G57" s="144">
        <v>17303.480000000003</v>
      </c>
      <c r="H57" s="144">
        <v>16985.87</v>
      </c>
      <c r="I57" s="144">
        <v>16423.620000000003</v>
      </c>
      <c r="J57" s="144">
        <v>15859.85</v>
      </c>
      <c r="K57" s="144">
        <v>14862.15</v>
      </c>
      <c r="L57" s="144">
        <v>14382.102554999999</v>
      </c>
      <c r="M57" s="144">
        <v>33982.069999999992</v>
      </c>
      <c r="N57" s="145">
        <f t="shared" si="0"/>
        <v>152342.642555</v>
      </c>
      <c r="O57" s="146"/>
    </row>
    <row r="58" spans="1:15" x14ac:dyDescent="0.25">
      <c r="A58" s="140">
        <v>53</v>
      </c>
      <c r="B58" s="142" t="s">
        <v>100</v>
      </c>
      <c r="C58" s="142" t="s">
        <v>101</v>
      </c>
      <c r="D58" s="142" t="s">
        <v>661</v>
      </c>
      <c r="E58" s="143" t="s">
        <v>346</v>
      </c>
      <c r="F58" s="144">
        <v>26623.5</v>
      </c>
      <c r="G58" s="144">
        <v>22073.32</v>
      </c>
      <c r="H58" s="144">
        <v>21446.450000000004</v>
      </c>
      <c r="I58" s="144">
        <v>20803.369999999995</v>
      </c>
      <c r="J58" s="144">
        <v>20158.48</v>
      </c>
      <c r="K58" s="144">
        <v>18660.28</v>
      </c>
      <c r="L58" s="144">
        <v>18057.552956</v>
      </c>
      <c r="M58" s="144">
        <v>92257</v>
      </c>
      <c r="N58" s="145">
        <f t="shared" si="0"/>
        <v>240079.95295599999</v>
      </c>
      <c r="O58" s="146"/>
    </row>
    <row r="59" spans="1:15" x14ac:dyDescent="0.25">
      <c r="A59" s="140">
        <v>54</v>
      </c>
      <c r="B59" s="142" t="s">
        <v>102</v>
      </c>
      <c r="C59" s="142" t="s">
        <v>103</v>
      </c>
      <c r="D59" s="142" t="s">
        <v>688</v>
      </c>
      <c r="E59" s="143" t="s">
        <v>346</v>
      </c>
      <c r="F59" s="144">
        <v>26623.5</v>
      </c>
      <c r="G59" s="144">
        <v>9505.25</v>
      </c>
      <c r="H59" s="144">
        <v>9220.7899999999991</v>
      </c>
      <c r="I59" s="144">
        <v>8930.0499999999993</v>
      </c>
      <c r="J59" s="144">
        <v>8638.5</v>
      </c>
      <c r="K59" s="144">
        <v>8045.23</v>
      </c>
      <c r="L59" s="144">
        <v>7785.3690709999992</v>
      </c>
      <c r="M59" s="144">
        <v>28850.199999999997</v>
      </c>
      <c r="N59" s="145">
        <f t="shared" si="0"/>
        <v>107598.88907099998</v>
      </c>
      <c r="O59" s="146"/>
    </row>
    <row r="60" spans="1:15" x14ac:dyDescent="0.25">
      <c r="A60" s="140">
        <v>55</v>
      </c>
      <c r="B60" s="142" t="s">
        <v>104</v>
      </c>
      <c r="C60" s="142" t="s">
        <v>105</v>
      </c>
      <c r="D60" s="142" t="s">
        <v>482</v>
      </c>
      <c r="E60" s="143" t="s">
        <v>483</v>
      </c>
      <c r="F60" s="144">
        <v>24273</v>
      </c>
      <c r="G60" s="144">
        <v>19159.36</v>
      </c>
      <c r="H60" s="144">
        <v>18556.46</v>
      </c>
      <c r="I60" s="144">
        <v>17942.25</v>
      </c>
      <c r="J60" s="144">
        <v>17326.330000000002</v>
      </c>
      <c r="K60" s="144">
        <v>16236.380000000001</v>
      </c>
      <c r="L60" s="144">
        <v>15711.944926000002</v>
      </c>
      <c r="M60" s="144">
        <v>37145.51999999999</v>
      </c>
      <c r="N60" s="145">
        <f t="shared" si="0"/>
        <v>166351.24492600001</v>
      </c>
      <c r="O60" s="146"/>
    </row>
    <row r="61" spans="1:15" x14ac:dyDescent="0.25">
      <c r="A61" s="140">
        <v>56</v>
      </c>
      <c r="B61" s="142" t="s">
        <v>106</v>
      </c>
      <c r="C61" s="142" t="s">
        <v>107</v>
      </c>
      <c r="D61" s="142" t="s">
        <v>484</v>
      </c>
      <c r="E61" s="143" t="s">
        <v>483</v>
      </c>
      <c r="F61" s="144">
        <v>24273</v>
      </c>
      <c r="G61" s="144">
        <v>31783.070000000003</v>
      </c>
      <c r="H61" s="144">
        <v>30782.880000000001</v>
      </c>
      <c r="I61" s="144">
        <v>29763.980000000003</v>
      </c>
      <c r="J61" s="144">
        <v>28742.260000000002</v>
      </c>
      <c r="K61" s="144">
        <v>26934.149999999998</v>
      </c>
      <c r="L61" s="144">
        <v>26064.176954999999</v>
      </c>
      <c r="M61" s="144">
        <v>61620.19</v>
      </c>
      <c r="N61" s="145">
        <f t="shared" si="0"/>
        <v>259963.70695500003</v>
      </c>
      <c r="O61" s="146"/>
    </row>
    <row r="62" spans="1:15" x14ac:dyDescent="0.25">
      <c r="A62" s="140">
        <v>57</v>
      </c>
      <c r="B62" s="142" t="s">
        <v>108</v>
      </c>
      <c r="C62" s="142" t="s">
        <v>109</v>
      </c>
      <c r="D62" s="142" t="s">
        <v>406</v>
      </c>
      <c r="E62" s="143" t="s">
        <v>407</v>
      </c>
      <c r="F62" s="144">
        <v>48427.5</v>
      </c>
      <c r="G62" s="144">
        <v>38451.880000000005</v>
      </c>
      <c r="H62" s="144">
        <v>37112.92</v>
      </c>
      <c r="I62" s="144">
        <v>35884.490000000005</v>
      </c>
      <c r="J62" s="144">
        <v>34652.660000000003</v>
      </c>
      <c r="K62" s="144">
        <v>32472.77</v>
      </c>
      <c r="L62" s="144">
        <v>31423.899529000002</v>
      </c>
      <c r="M62" s="144">
        <v>74291.119999999981</v>
      </c>
      <c r="N62" s="145">
        <f t="shared" si="0"/>
        <v>332717.23952900001</v>
      </c>
      <c r="O62" s="146"/>
    </row>
    <row r="63" spans="1:15" x14ac:dyDescent="0.25">
      <c r="A63" s="140">
        <v>58</v>
      </c>
      <c r="B63" s="142" t="s">
        <v>96</v>
      </c>
      <c r="C63" s="142" t="s">
        <v>97</v>
      </c>
      <c r="D63" s="142" t="s">
        <v>662</v>
      </c>
      <c r="E63" s="143" t="s">
        <v>323</v>
      </c>
      <c r="F63" s="144">
        <v>66396</v>
      </c>
      <c r="G63" s="144">
        <v>51428.18</v>
      </c>
      <c r="H63" s="144">
        <v>51112.090000000004</v>
      </c>
      <c r="I63" s="144">
        <v>49701.09</v>
      </c>
      <c r="J63" s="144">
        <v>48286.19</v>
      </c>
      <c r="K63" s="144">
        <v>44281.23</v>
      </c>
      <c r="L63" s="144">
        <v>42850.946271000001</v>
      </c>
      <c r="M63" s="144">
        <v>319677.89</v>
      </c>
      <c r="N63" s="145">
        <f t="shared" si="0"/>
        <v>673733.61627100001</v>
      </c>
      <c r="O63" s="146"/>
    </row>
    <row r="64" spans="1:15" x14ac:dyDescent="0.25">
      <c r="A64" s="140">
        <v>59</v>
      </c>
      <c r="B64" s="142" t="s">
        <v>112</v>
      </c>
      <c r="C64" s="142" t="s">
        <v>113</v>
      </c>
      <c r="D64" s="142" t="s">
        <v>663</v>
      </c>
      <c r="E64" s="143" t="s">
        <v>353</v>
      </c>
      <c r="F64" s="144">
        <v>23485.5</v>
      </c>
      <c r="G64" s="144">
        <v>136235.96</v>
      </c>
      <c r="H64" s="144">
        <v>132051.18</v>
      </c>
      <c r="I64" s="144">
        <v>128527.57</v>
      </c>
      <c r="J64" s="144">
        <v>124994.31</v>
      </c>
      <c r="K64" s="144">
        <v>114212.12</v>
      </c>
      <c r="L64" s="144">
        <v>110523.068524</v>
      </c>
      <c r="M64" s="144">
        <v>933448.89000000025</v>
      </c>
      <c r="N64" s="145">
        <f t="shared" si="0"/>
        <v>1703478.5985240003</v>
      </c>
      <c r="O64" s="146"/>
    </row>
    <row r="65" spans="1:15" x14ac:dyDescent="0.25">
      <c r="A65" s="140">
        <v>60</v>
      </c>
      <c r="B65" s="142" t="s">
        <v>110</v>
      </c>
      <c r="C65" s="142" t="s">
        <v>111</v>
      </c>
      <c r="D65" s="142" t="s">
        <v>664</v>
      </c>
      <c r="E65" s="143" t="s">
        <v>353</v>
      </c>
      <c r="F65" s="144">
        <v>23485.5</v>
      </c>
      <c r="G65" s="144">
        <v>17904.48</v>
      </c>
      <c r="H65" s="144">
        <v>17233.95</v>
      </c>
      <c r="I65" s="144">
        <v>16606.23</v>
      </c>
      <c r="J65" s="144">
        <v>15976.789999999999</v>
      </c>
      <c r="K65" s="144">
        <v>15168.99</v>
      </c>
      <c r="L65" s="144">
        <v>11053</v>
      </c>
      <c r="M65" s="144">
        <v>0</v>
      </c>
      <c r="N65" s="145">
        <f t="shared" si="0"/>
        <v>117428.93999999999</v>
      </c>
      <c r="O65" s="146"/>
    </row>
    <row r="66" spans="1:15" x14ac:dyDescent="0.25">
      <c r="A66" s="140">
        <v>61</v>
      </c>
      <c r="B66" s="142" t="s">
        <v>114</v>
      </c>
      <c r="C66" s="142" t="s">
        <v>115</v>
      </c>
      <c r="D66" s="142" t="s">
        <v>665</v>
      </c>
      <c r="E66" s="143" t="s">
        <v>367</v>
      </c>
      <c r="F66" s="144">
        <v>93685.5</v>
      </c>
      <c r="G66" s="144">
        <v>67977.7</v>
      </c>
      <c r="H66" s="144">
        <v>66382.17</v>
      </c>
      <c r="I66" s="144">
        <v>64069.869999999995</v>
      </c>
      <c r="J66" s="144">
        <v>61751.199999999997</v>
      </c>
      <c r="K66" s="144">
        <v>58262.950000000004</v>
      </c>
      <c r="L66" s="144">
        <v>56381.056715000006</v>
      </c>
      <c r="M66" s="144">
        <v>54512.209999999992</v>
      </c>
      <c r="N66" s="145">
        <f t="shared" si="0"/>
        <v>523022.65671500005</v>
      </c>
      <c r="O66" s="146"/>
    </row>
    <row r="67" spans="1:15" x14ac:dyDescent="0.25">
      <c r="A67" s="140">
        <v>62</v>
      </c>
      <c r="B67" s="142" t="s">
        <v>120</v>
      </c>
      <c r="C67" s="142" t="s">
        <v>121</v>
      </c>
      <c r="D67" s="142" t="s">
        <v>473</v>
      </c>
      <c r="E67" s="143" t="s">
        <v>474</v>
      </c>
      <c r="F67" s="144">
        <v>28119</v>
      </c>
      <c r="G67" s="144">
        <v>22380.61</v>
      </c>
      <c r="H67" s="144">
        <v>21865.540000000005</v>
      </c>
      <c r="I67" s="144">
        <v>21165.020000000004</v>
      </c>
      <c r="J67" s="144">
        <v>20462.579999999998</v>
      </c>
      <c r="K67" s="144">
        <v>19095.29</v>
      </c>
      <c r="L67" s="144">
        <v>18478.512133</v>
      </c>
      <c r="M67" s="144">
        <v>60293.149999999994</v>
      </c>
      <c r="N67" s="145">
        <f t="shared" si="0"/>
        <v>211859.70213300001</v>
      </c>
      <c r="O67" s="146"/>
    </row>
    <row r="68" spans="1:15" x14ac:dyDescent="0.25">
      <c r="A68" s="140">
        <v>63</v>
      </c>
      <c r="B68" s="142" t="s">
        <v>116</v>
      </c>
      <c r="C68" s="142" t="s">
        <v>117</v>
      </c>
      <c r="D68" s="142" t="s">
        <v>602</v>
      </c>
      <c r="E68" s="143" t="s">
        <v>325</v>
      </c>
      <c r="F68" s="144">
        <v>21385.5</v>
      </c>
      <c r="G68" s="144">
        <v>14861.150000000001</v>
      </c>
      <c r="H68" s="144">
        <v>14432.43</v>
      </c>
      <c r="I68" s="144">
        <v>13876.33</v>
      </c>
      <c r="J68" s="144">
        <v>13318.69</v>
      </c>
      <c r="K68" s="144">
        <v>3236.83</v>
      </c>
      <c r="L68" s="144">
        <v>0</v>
      </c>
      <c r="M68" s="144">
        <v>0</v>
      </c>
      <c r="N68" s="145">
        <f t="shared" si="0"/>
        <v>81110.930000000008</v>
      </c>
      <c r="O68" s="146"/>
    </row>
    <row r="69" spans="1:15" x14ac:dyDescent="0.25">
      <c r="A69" s="140">
        <v>64</v>
      </c>
      <c r="B69" s="142" t="s">
        <v>122</v>
      </c>
      <c r="C69" s="142" t="s">
        <v>123</v>
      </c>
      <c r="D69" s="142" t="s">
        <v>408</v>
      </c>
      <c r="E69" s="143" t="s">
        <v>409</v>
      </c>
      <c r="F69" s="144">
        <v>9658.5</v>
      </c>
      <c r="G69" s="144">
        <v>7710.97</v>
      </c>
      <c r="H69" s="144">
        <v>7523.4599999999991</v>
      </c>
      <c r="I69" s="144">
        <v>7282.42</v>
      </c>
      <c r="J69" s="144">
        <v>7040.71</v>
      </c>
      <c r="K69" s="144">
        <v>6570.26</v>
      </c>
      <c r="L69" s="144">
        <v>6358.040602</v>
      </c>
      <c r="M69" s="144">
        <v>20749.879999999997</v>
      </c>
      <c r="N69" s="145">
        <f t="shared" si="0"/>
        <v>72894.240602000005</v>
      </c>
      <c r="O69" s="146"/>
    </row>
    <row r="70" spans="1:15" x14ac:dyDescent="0.25">
      <c r="A70" s="140">
        <v>65</v>
      </c>
      <c r="B70" s="142" t="s">
        <v>124</v>
      </c>
      <c r="C70" s="142" t="s">
        <v>125</v>
      </c>
      <c r="D70" s="142" t="s">
        <v>689</v>
      </c>
      <c r="E70" s="143" t="s">
        <v>339</v>
      </c>
      <c r="F70" s="144">
        <v>29151</v>
      </c>
      <c r="G70" s="144">
        <v>22117.11</v>
      </c>
      <c r="H70" s="144">
        <v>21472.929999999997</v>
      </c>
      <c r="I70" s="144">
        <v>20711.670000000006</v>
      </c>
      <c r="J70" s="144">
        <v>19948.330000000002</v>
      </c>
      <c r="K70" s="144">
        <v>18867.43</v>
      </c>
      <c r="L70" s="144">
        <v>18258.012010999999</v>
      </c>
      <c r="M70" s="144">
        <v>8883.260000000002</v>
      </c>
      <c r="N70" s="145">
        <f t="shared" si="0"/>
        <v>159409.74201099999</v>
      </c>
      <c r="O70" s="146"/>
    </row>
    <row r="71" spans="1:15" x14ac:dyDescent="0.25">
      <c r="A71" s="140">
        <v>66</v>
      </c>
      <c r="B71" s="142" t="s">
        <v>126</v>
      </c>
      <c r="C71" s="142" t="s">
        <v>127</v>
      </c>
      <c r="D71" s="142" t="s">
        <v>666</v>
      </c>
      <c r="E71" s="143" t="s">
        <v>472</v>
      </c>
      <c r="F71" s="144">
        <v>31260</v>
      </c>
      <c r="G71" s="144">
        <v>24604.359999999997</v>
      </c>
      <c r="H71" s="144">
        <v>23974.500000000004</v>
      </c>
      <c r="I71" s="144">
        <v>23206.42</v>
      </c>
      <c r="J71" s="144">
        <v>22436.23</v>
      </c>
      <c r="K71" s="144">
        <v>20937.05</v>
      </c>
      <c r="L71" s="144">
        <v>20260.783284999998</v>
      </c>
      <c r="M71" s="144">
        <v>66135.23</v>
      </c>
      <c r="N71" s="145">
        <f t="shared" ref="N71:N134" si="1">SUM(F71:M71)</f>
        <v>232814.57328499999</v>
      </c>
      <c r="O71" s="146"/>
    </row>
    <row r="72" spans="1:15" x14ac:dyDescent="0.25">
      <c r="A72" s="140">
        <v>67</v>
      </c>
      <c r="B72" s="142" t="s">
        <v>130</v>
      </c>
      <c r="C72" s="142" t="s">
        <v>131</v>
      </c>
      <c r="D72" s="142" t="s">
        <v>481</v>
      </c>
      <c r="E72" s="143" t="s">
        <v>480</v>
      </c>
      <c r="F72" s="144">
        <v>35074.5</v>
      </c>
      <c r="G72" s="144">
        <v>15843.119999999999</v>
      </c>
      <c r="H72" s="144">
        <v>15303.69</v>
      </c>
      <c r="I72" s="144">
        <v>14813.41</v>
      </c>
      <c r="J72" s="144">
        <v>14321.75</v>
      </c>
      <c r="K72" s="144">
        <v>13364.8</v>
      </c>
      <c r="L72" s="144">
        <v>12933.116959999999</v>
      </c>
      <c r="M72" s="144">
        <v>42216.489999999991</v>
      </c>
      <c r="N72" s="145">
        <f t="shared" si="1"/>
        <v>163870.87695999999</v>
      </c>
      <c r="O72" s="146"/>
    </row>
    <row r="73" spans="1:15" x14ac:dyDescent="0.25">
      <c r="A73" s="140">
        <v>68</v>
      </c>
      <c r="B73" s="142" t="s">
        <v>128</v>
      </c>
      <c r="C73" s="142" t="s">
        <v>129</v>
      </c>
      <c r="D73" s="142" t="s">
        <v>479</v>
      </c>
      <c r="E73" s="143" t="s">
        <v>480</v>
      </c>
      <c r="F73" s="144">
        <v>35074.5</v>
      </c>
      <c r="G73" s="144">
        <v>28247.24</v>
      </c>
      <c r="H73" s="144">
        <v>27285.49</v>
      </c>
      <c r="I73" s="144">
        <v>26411.309999999998</v>
      </c>
      <c r="J73" s="144">
        <v>25534.76</v>
      </c>
      <c r="K73" s="144">
        <v>23828.539999999997</v>
      </c>
      <c r="L73" s="144">
        <v>23058.878157999996</v>
      </c>
      <c r="M73" s="144">
        <v>75268.900000000009</v>
      </c>
      <c r="N73" s="145">
        <f t="shared" si="1"/>
        <v>264709.61815800006</v>
      </c>
      <c r="O73" s="146"/>
    </row>
    <row r="74" spans="1:15" x14ac:dyDescent="0.25">
      <c r="A74" s="140">
        <v>69</v>
      </c>
      <c r="B74" s="142" t="s">
        <v>132</v>
      </c>
      <c r="C74" s="142" t="s">
        <v>133</v>
      </c>
      <c r="D74" s="142" t="s">
        <v>690</v>
      </c>
      <c r="E74" s="143" t="s">
        <v>351</v>
      </c>
      <c r="F74" s="144">
        <v>132456</v>
      </c>
      <c r="G74" s="144">
        <v>103286.15000000001</v>
      </c>
      <c r="H74" s="144">
        <v>99706.650000000009</v>
      </c>
      <c r="I74" s="144">
        <v>96913.279999999999</v>
      </c>
      <c r="J74" s="144">
        <v>94112.310000000012</v>
      </c>
      <c r="K74" s="144">
        <v>85841.04</v>
      </c>
      <c r="L74" s="144">
        <v>83068.374407999989</v>
      </c>
      <c r="M74" s="144">
        <v>748072.34</v>
      </c>
      <c r="N74" s="145">
        <f t="shared" si="1"/>
        <v>1443456.1444080002</v>
      </c>
      <c r="O74" s="146"/>
    </row>
    <row r="75" spans="1:15" x14ac:dyDescent="0.25">
      <c r="A75" s="140">
        <v>70</v>
      </c>
      <c r="B75" s="142" t="s">
        <v>136</v>
      </c>
      <c r="C75" s="142" t="s">
        <v>137</v>
      </c>
      <c r="D75" s="142" t="s">
        <v>412</v>
      </c>
      <c r="E75" s="143" t="s">
        <v>411</v>
      </c>
      <c r="F75" s="144">
        <v>4273.5</v>
      </c>
      <c r="G75" s="144">
        <v>11303.25</v>
      </c>
      <c r="H75" s="144">
        <v>10948.910000000002</v>
      </c>
      <c r="I75" s="144">
        <v>10600.93</v>
      </c>
      <c r="J75" s="144">
        <v>10251.990000000002</v>
      </c>
      <c r="K75" s="144">
        <v>9557.369999999999</v>
      </c>
      <c r="L75" s="144">
        <v>9248.6669489999986</v>
      </c>
      <c r="M75" s="144">
        <v>32236.960000000006</v>
      </c>
      <c r="N75" s="145">
        <f t="shared" si="1"/>
        <v>98421.576948999995</v>
      </c>
      <c r="O75" s="146"/>
    </row>
    <row r="76" spans="1:15" x14ac:dyDescent="0.25">
      <c r="A76" s="140">
        <v>71</v>
      </c>
      <c r="B76" s="142" t="s">
        <v>134</v>
      </c>
      <c r="C76" s="142" t="s">
        <v>135</v>
      </c>
      <c r="D76" s="142" t="s">
        <v>410</v>
      </c>
      <c r="E76" s="143" t="s">
        <v>411</v>
      </c>
      <c r="F76" s="144">
        <v>4273.5</v>
      </c>
      <c r="G76" s="144">
        <v>3297.7399999999993</v>
      </c>
      <c r="H76" s="144">
        <v>3194.35</v>
      </c>
      <c r="I76" s="144">
        <v>3092.84</v>
      </c>
      <c r="J76" s="144">
        <v>2991.0299999999997</v>
      </c>
      <c r="K76" s="144">
        <v>2788.36</v>
      </c>
      <c r="L76" s="144">
        <v>2698.2959720000003</v>
      </c>
      <c r="M76" s="144">
        <v>9405.5499999999993</v>
      </c>
      <c r="N76" s="145">
        <f t="shared" si="1"/>
        <v>31741.665971999999</v>
      </c>
      <c r="O76" s="146"/>
    </row>
    <row r="77" spans="1:15" x14ac:dyDescent="0.25">
      <c r="A77" s="140">
        <v>72</v>
      </c>
      <c r="B77" s="142" t="s">
        <v>138</v>
      </c>
      <c r="C77" s="142" t="s">
        <v>139</v>
      </c>
      <c r="D77" s="142" t="s">
        <v>413</v>
      </c>
      <c r="E77" s="143" t="s">
        <v>414</v>
      </c>
      <c r="F77" s="144">
        <v>7788</v>
      </c>
      <c r="G77" s="144">
        <v>6009.8399999999992</v>
      </c>
      <c r="H77" s="144">
        <v>5821.43</v>
      </c>
      <c r="I77" s="144">
        <v>5636.4299999999994</v>
      </c>
      <c r="J77" s="144">
        <v>5450.9099999999989</v>
      </c>
      <c r="K77" s="144">
        <v>5081.5599999999995</v>
      </c>
      <c r="L77" s="144">
        <v>4917.4256119999991</v>
      </c>
      <c r="M77" s="144">
        <v>17140.659999999996</v>
      </c>
      <c r="N77" s="145">
        <f t="shared" si="1"/>
        <v>57846.255611999994</v>
      </c>
      <c r="O77" s="146"/>
    </row>
    <row r="78" spans="1:15" x14ac:dyDescent="0.25">
      <c r="A78" s="140">
        <v>73</v>
      </c>
      <c r="B78" s="142" t="s">
        <v>140</v>
      </c>
      <c r="C78" s="142" t="s">
        <v>141</v>
      </c>
      <c r="D78" s="142" t="s">
        <v>667</v>
      </c>
      <c r="E78" s="143" t="s">
        <v>365</v>
      </c>
      <c r="F78" s="144">
        <v>215932.5</v>
      </c>
      <c r="G78" s="144">
        <v>172915.16999999998</v>
      </c>
      <c r="H78" s="144">
        <v>170394.52000000002</v>
      </c>
      <c r="I78" s="144">
        <v>165994.82</v>
      </c>
      <c r="J78" s="144">
        <v>161583.06</v>
      </c>
      <c r="K78" s="144">
        <v>147144.93000000002</v>
      </c>
      <c r="L78" s="144">
        <v>142392.14876100002</v>
      </c>
      <c r="M78" s="144">
        <v>1339789.0400000003</v>
      </c>
      <c r="N78" s="145">
        <f t="shared" si="1"/>
        <v>2516146.1887610005</v>
      </c>
      <c r="O78" s="146"/>
    </row>
    <row r="79" spans="1:15" x14ac:dyDescent="0.25">
      <c r="A79" s="140">
        <v>74</v>
      </c>
      <c r="B79" s="142" t="s">
        <v>118</v>
      </c>
      <c r="C79" s="142" t="s">
        <v>119</v>
      </c>
      <c r="D79" s="142" t="s">
        <v>603</v>
      </c>
      <c r="E79" s="143" t="s">
        <v>293</v>
      </c>
      <c r="F79" s="144">
        <v>35931</v>
      </c>
      <c r="G79" s="144">
        <v>26125.39</v>
      </c>
      <c r="H79" s="144">
        <v>25397.739999999998</v>
      </c>
      <c r="I79" s="144">
        <v>24489.3</v>
      </c>
      <c r="J79" s="144">
        <v>23578.29</v>
      </c>
      <c r="K79" s="144">
        <v>22328.649999999998</v>
      </c>
      <c r="L79" s="144">
        <v>21607.434604999999</v>
      </c>
      <c r="M79" s="144">
        <v>5273.4500000000007</v>
      </c>
      <c r="N79" s="145">
        <f t="shared" si="1"/>
        <v>184731.25460499999</v>
      </c>
      <c r="O79" s="146"/>
    </row>
    <row r="80" spans="1:15" x14ac:dyDescent="0.25">
      <c r="A80" s="140">
        <v>75</v>
      </c>
      <c r="B80" s="142" t="s">
        <v>144</v>
      </c>
      <c r="C80" s="142" t="s">
        <v>145</v>
      </c>
      <c r="D80" s="142" t="s">
        <v>436</v>
      </c>
      <c r="E80" s="143" t="s">
        <v>437</v>
      </c>
      <c r="F80" s="144">
        <v>6421.5</v>
      </c>
      <c r="G80" s="144">
        <v>4544.01</v>
      </c>
      <c r="H80" s="144">
        <v>4412.6000000000004</v>
      </c>
      <c r="I80" s="144">
        <v>4247.3500000000004</v>
      </c>
      <c r="J80" s="144">
        <v>4081.6600000000003</v>
      </c>
      <c r="K80" s="144">
        <v>3890.94</v>
      </c>
      <c r="L80" s="144">
        <v>5</v>
      </c>
      <c r="M80" s="144">
        <v>0</v>
      </c>
      <c r="N80" s="145">
        <f t="shared" si="1"/>
        <v>27603.059999999998</v>
      </c>
      <c r="O80" s="146"/>
    </row>
    <row r="81" spans="1:15" x14ac:dyDescent="0.25">
      <c r="A81" s="140">
        <v>76</v>
      </c>
      <c r="B81" s="142" t="s">
        <v>142</v>
      </c>
      <c r="C81" s="142" t="s">
        <v>143</v>
      </c>
      <c r="D81" s="142" t="s">
        <v>648</v>
      </c>
      <c r="E81" s="143" t="s">
        <v>430</v>
      </c>
      <c r="F81" s="144">
        <v>23901</v>
      </c>
      <c r="G81" s="144">
        <v>18015.88</v>
      </c>
      <c r="H81" s="144">
        <v>17681.079999999998</v>
      </c>
      <c r="I81" s="144">
        <v>17123.550000000003</v>
      </c>
      <c r="J81" s="144">
        <v>16564.490000000002</v>
      </c>
      <c r="K81" s="144">
        <v>15426.91</v>
      </c>
      <c r="L81" s="144">
        <v>14928.620806999999</v>
      </c>
      <c r="M81" s="144">
        <v>55310.719999999987</v>
      </c>
      <c r="N81" s="145">
        <f t="shared" si="1"/>
        <v>178952.250807</v>
      </c>
      <c r="O81" s="146"/>
    </row>
    <row r="82" spans="1:15" x14ac:dyDescent="0.25">
      <c r="A82" s="140">
        <v>77</v>
      </c>
      <c r="B82" s="142" t="s">
        <v>146</v>
      </c>
      <c r="C82" s="142" t="s">
        <v>147</v>
      </c>
      <c r="D82" s="142" t="s">
        <v>502</v>
      </c>
      <c r="E82" s="143" t="s">
        <v>503</v>
      </c>
      <c r="F82" s="144">
        <v>8115</v>
      </c>
      <c r="G82" s="144">
        <v>5731.29</v>
      </c>
      <c r="H82" s="144">
        <v>5567.1399999999994</v>
      </c>
      <c r="I82" s="144">
        <v>5358.65</v>
      </c>
      <c r="J82" s="144">
        <v>5149.6099999999997</v>
      </c>
      <c r="K82" s="144">
        <v>4909.05</v>
      </c>
      <c r="L82" s="144">
        <v>6</v>
      </c>
      <c r="M82" s="144">
        <v>0</v>
      </c>
      <c r="N82" s="145">
        <f t="shared" si="1"/>
        <v>34836.740000000005</v>
      </c>
      <c r="O82" s="146"/>
    </row>
    <row r="83" spans="1:15" x14ac:dyDescent="0.25">
      <c r="A83" s="140">
        <v>78</v>
      </c>
      <c r="B83" s="142" t="s">
        <v>148</v>
      </c>
      <c r="C83" s="142" t="s">
        <v>149</v>
      </c>
      <c r="D83" s="142" t="s">
        <v>504</v>
      </c>
      <c r="E83" s="143" t="s">
        <v>505</v>
      </c>
      <c r="F83" s="144">
        <v>33262.5</v>
      </c>
      <c r="G83" s="144">
        <v>23497.269999999997</v>
      </c>
      <c r="H83" s="144">
        <v>22834.17</v>
      </c>
      <c r="I83" s="144">
        <v>21979.07</v>
      </c>
      <c r="J83" s="144">
        <v>21121.649999999998</v>
      </c>
      <c r="K83" s="144">
        <v>20134.920000000002</v>
      </c>
      <c r="L83" s="144">
        <v>24</v>
      </c>
      <c r="M83" s="144">
        <v>0</v>
      </c>
      <c r="N83" s="145">
        <f t="shared" si="1"/>
        <v>142853.58000000002</v>
      </c>
      <c r="O83" s="146"/>
    </row>
    <row r="84" spans="1:15" x14ac:dyDescent="0.25">
      <c r="A84" s="140">
        <v>79</v>
      </c>
      <c r="B84" s="142" t="s">
        <v>150</v>
      </c>
      <c r="C84" s="142" t="s">
        <v>151</v>
      </c>
      <c r="D84" s="142" t="s">
        <v>506</v>
      </c>
      <c r="E84" s="143" t="s">
        <v>507</v>
      </c>
      <c r="F84" s="144">
        <v>2311.5</v>
      </c>
      <c r="G84" s="144">
        <v>1720.7800000000002</v>
      </c>
      <c r="H84" s="144">
        <v>1671.48</v>
      </c>
      <c r="I84" s="144">
        <v>1610.0400000000002</v>
      </c>
      <c r="J84" s="144">
        <v>1548.4499999999998</v>
      </c>
      <c r="K84" s="144">
        <v>1472.11</v>
      </c>
      <c r="L84" s="144">
        <v>718</v>
      </c>
      <c r="M84" s="144">
        <v>0</v>
      </c>
      <c r="N84" s="145">
        <f t="shared" si="1"/>
        <v>11052.36</v>
      </c>
      <c r="O84" s="146"/>
    </row>
    <row r="85" spans="1:15" x14ac:dyDescent="0.25">
      <c r="A85" s="140">
        <v>80</v>
      </c>
      <c r="B85" s="142" t="s">
        <v>152</v>
      </c>
      <c r="C85" s="142" t="s">
        <v>153</v>
      </c>
      <c r="D85" s="142" t="s">
        <v>508</v>
      </c>
      <c r="E85" s="143" t="s">
        <v>509</v>
      </c>
      <c r="F85" s="144">
        <v>958.5</v>
      </c>
      <c r="G85" s="144">
        <v>712.59</v>
      </c>
      <c r="H85" s="144">
        <v>690.52</v>
      </c>
      <c r="I85" s="144">
        <v>665.12</v>
      </c>
      <c r="J85" s="144">
        <v>639.67000000000007</v>
      </c>
      <c r="K85" s="144">
        <v>608.12</v>
      </c>
      <c r="L85" s="144">
        <v>297</v>
      </c>
      <c r="M85" s="144">
        <v>0</v>
      </c>
      <c r="N85" s="145">
        <f t="shared" si="1"/>
        <v>4571.5200000000004</v>
      </c>
      <c r="O85" s="146"/>
    </row>
    <row r="86" spans="1:15" x14ac:dyDescent="0.25">
      <c r="A86" s="140">
        <v>81</v>
      </c>
      <c r="B86" s="142" t="s">
        <v>156</v>
      </c>
      <c r="C86" s="142" t="s">
        <v>157</v>
      </c>
      <c r="D86" s="142" t="s">
        <v>604</v>
      </c>
      <c r="E86" s="143" t="s">
        <v>283</v>
      </c>
      <c r="F86" s="144">
        <v>57168</v>
      </c>
      <c r="G86" s="144">
        <v>37144.67</v>
      </c>
      <c r="H86" s="144">
        <v>35991.53</v>
      </c>
      <c r="I86" s="144">
        <v>34668.54</v>
      </c>
      <c r="J86" s="144">
        <v>33341.94</v>
      </c>
      <c r="K86" s="144">
        <v>31698.010000000002</v>
      </c>
      <c r="L86" s="144">
        <v>15475</v>
      </c>
      <c r="M86" s="144">
        <v>0</v>
      </c>
      <c r="N86" s="145">
        <f t="shared" si="1"/>
        <v>245487.69</v>
      </c>
      <c r="O86" s="146"/>
    </row>
    <row r="87" spans="1:15" x14ac:dyDescent="0.25">
      <c r="A87" s="140">
        <v>82</v>
      </c>
      <c r="B87" s="142" t="s">
        <v>154</v>
      </c>
      <c r="C87" s="142" t="s">
        <v>155</v>
      </c>
      <c r="D87" s="142" t="s">
        <v>605</v>
      </c>
      <c r="E87" s="143" t="s">
        <v>283</v>
      </c>
      <c r="F87" s="144">
        <v>57168</v>
      </c>
      <c r="G87" s="144">
        <v>46376.85</v>
      </c>
      <c r="H87" s="144">
        <v>45315.450000000004</v>
      </c>
      <c r="I87" s="144">
        <v>43908.79</v>
      </c>
      <c r="J87" s="144">
        <v>42498.299999999996</v>
      </c>
      <c r="K87" s="144">
        <v>39503.380000000005</v>
      </c>
      <c r="L87" s="144">
        <v>38227.420826000001</v>
      </c>
      <c r="M87" s="144">
        <v>158301.44</v>
      </c>
      <c r="N87" s="145">
        <f t="shared" si="1"/>
        <v>471299.63082600001</v>
      </c>
      <c r="O87" s="146"/>
    </row>
    <row r="88" spans="1:15" x14ac:dyDescent="0.25">
      <c r="A88" s="140">
        <v>83</v>
      </c>
      <c r="B88" s="142" t="s">
        <v>158</v>
      </c>
      <c r="C88" s="142" t="s">
        <v>159</v>
      </c>
      <c r="D88" s="142" t="s">
        <v>469</v>
      </c>
      <c r="E88" s="143" t="s">
        <v>470</v>
      </c>
      <c r="F88" s="144">
        <v>42994.5</v>
      </c>
      <c r="G88" s="144">
        <v>35227.550000000003</v>
      </c>
      <c r="H88" s="144">
        <v>34370.019999999997</v>
      </c>
      <c r="I88" s="144">
        <v>33303.159999999996</v>
      </c>
      <c r="J88" s="144">
        <v>32233.340000000004</v>
      </c>
      <c r="K88" s="144">
        <v>29961.82</v>
      </c>
      <c r="L88" s="144">
        <v>28994.053214</v>
      </c>
      <c r="M88" s="144">
        <v>120065.37</v>
      </c>
      <c r="N88" s="145">
        <f t="shared" si="1"/>
        <v>357149.81321400002</v>
      </c>
      <c r="O88" s="146"/>
    </row>
    <row r="89" spans="1:15" x14ac:dyDescent="0.25">
      <c r="A89" s="140">
        <v>84</v>
      </c>
      <c r="B89" s="142" t="s">
        <v>160</v>
      </c>
      <c r="C89" s="142" t="s">
        <v>161</v>
      </c>
      <c r="D89" s="142" t="s">
        <v>649</v>
      </c>
      <c r="E89" s="143" t="s">
        <v>449</v>
      </c>
      <c r="F89" s="144">
        <v>24690</v>
      </c>
      <c r="G89" s="144">
        <v>20119.32</v>
      </c>
      <c r="H89" s="144">
        <v>19449.100000000002</v>
      </c>
      <c r="I89" s="144">
        <v>18845.37</v>
      </c>
      <c r="J89" s="144">
        <v>18239.98</v>
      </c>
      <c r="K89" s="144">
        <v>16954.609999999997</v>
      </c>
      <c r="L89" s="144">
        <v>16406.976096999999</v>
      </c>
      <c r="M89" s="144">
        <v>67951.62</v>
      </c>
      <c r="N89" s="145">
        <f t="shared" si="1"/>
        <v>202656.97609699998</v>
      </c>
      <c r="O89" s="146"/>
    </row>
    <row r="90" spans="1:15" x14ac:dyDescent="0.25">
      <c r="A90" s="140">
        <v>85</v>
      </c>
      <c r="B90" s="142" t="s">
        <v>162</v>
      </c>
      <c r="C90" s="142" t="s">
        <v>163</v>
      </c>
      <c r="D90" s="142" t="s">
        <v>668</v>
      </c>
      <c r="E90" s="143" t="s">
        <v>331</v>
      </c>
      <c r="F90" s="144">
        <v>102553.5</v>
      </c>
      <c r="G90" s="144">
        <v>95465.51</v>
      </c>
      <c r="H90" s="144">
        <v>92615.170000000013</v>
      </c>
      <c r="I90" s="144">
        <v>90265.760000000009</v>
      </c>
      <c r="J90" s="144">
        <v>87909.89</v>
      </c>
      <c r="K90" s="144">
        <v>79912.429999999993</v>
      </c>
      <c r="L90" s="144">
        <v>77331.258510999993</v>
      </c>
      <c r="M90" s="144">
        <v>768201.75</v>
      </c>
      <c r="N90" s="145">
        <f t="shared" si="1"/>
        <v>1394255.2685110001</v>
      </c>
      <c r="O90" s="146"/>
    </row>
    <row r="91" spans="1:15" x14ac:dyDescent="0.25">
      <c r="A91" s="140">
        <v>86</v>
      </c>
      <c r="B91" s="142" t="s">
        <v>168</v>
      </c>
      <c r="C91" s="142" t="s">
        <v>169</v>
      </c>
      <c r="D91" s="142" t="s">
        <v>510</v>
      </c>
      <c r="E91" s="143" t="s">
        <v>511</v>
      </c>
      <c r="F91" s="144">
        <v>2980.5</v>
      </c>
      <c r="G91" s="144">
        <v>2200.73</v>
      </c>
      <c r="H91" s="144">
        <v>2140.7599999999998</v>
      </c>
      <c r="I91" s="144">
        <v>2058.35</v>
      </c>
      <c r="J91" s="144">
        <v>1975.68</v>
      </c>
      <c r="K91" s="144">
        <v>1866.88</v>
      </c>
      <c r="L91" s="144">
        <v>1806.579776</v>
      </c>
      <c r="M91" s="144">
        <v>431.46000000000004</v>
      </c>
      <c r="N91" s="145">
        <f t="shared" si="1"/>
        <v>15460.939776000003</v>
      </c>
      <c r="O91" s="146"/>
    </row>
    <row r="92" spans="1:15" x14ac:dyDescent="0.25">
      <c r="A92" s="140">
        <v>87</v>
      </c>
      <c r="B92" s="142" t="s">
        <v>170</v>
      </c>
      <c r="C92" s="142" t="s">
        <v>171</v>
      </c>
      <c r="D92" s="142" t="s">
        <v>606</v>
      </c>
      <c r="E92" s="143" t="s">
        <v>281</v>
      </c>
      <c r="F92" s="144">
        <v>55230</v>
      </c>
      <c r="G92" s="144">
        <v>37096.600000000006</v>
      </c>
      <c r="H92" s="144">
        <v>36783.969999999994</v>
      </c>
      <c r="I92" s="144">
        <v>36476.83</v>
      </c>
      <c r="J92" s="144">
        <v>36168.859999999993</v>
      </c>
      <c r="K92" s="144">
        <v>35862.129999999997</v>
      </c>
      <c r="L92" s="144">
        <v>34703.783200999998</v>
      </c>
      <c r="M92" s="144">
        <v>9705.1599999999962</v>
      </c>
      <c r="N92" s="145">
        <f t="shared" si="1"/>
        <v>282027.333201</v>
      </c>
      <c r="O92" s="146"/>
    </row>
    <row r="93" spans="1:15" x14ac:dyDescent="0.25">
      <c r="A93" s="140">
        <v>88</v>
      </c>
      <c r="B93" s="142" t="s">
        <v>172</v>
      </c>
      <c r="C93" s="142" t="s">
        <v>173</v>
      </c>
      <c r="D93" s="142" t="s">
        <v>512</v>
      </c>
      <c r="E93" s="143" t="s">
        <v>513</v>
      </c>
      <c r="F93" s="144">
        <v>1122</v>
      </c>
      <c r="G93" s="144">
        <v>863.66</v>
      </c>
      <c r="H93" s="144">
        <v>828.83</v>
      </c>
      <c r="I93" s="144">
        <v>797.31</v>
      </c>
      <c r="J93" s="144">
        <v>765.68999999999994</v>
      </c>
      <c r="K93" s="144">
        <v>722.85</v>
      </c>
      <c r="L93" s="144">
        <v>699.50194499999998</v>
      </c>
      <c r="M93" s="144">
        <v>335.32000000000016</v>
      </c>
      <c r="N93" s="145">
        <f t="shared" si="1"/>
        <v>6135.1619449999998</v>
      </c>
      <c r="O93" s="146"/>
    </row>
    <row r="94" spans="1:15" x14ac:dyDescent="0.25">
      <c r="A94" s="140">
        <v>89</v>
      </c>
      <c r="B94" s="142" t="s">
        <v>176</v>
      </c>
      <c r="C94" s="142" t="s">
        <v>177</v>
      </c>
      <c r="D94" s="142" t="s">
        <v>516</v>
      </c>
      <c r="E94" s="143" t="s">
        <v>515</v>
      </c>
      <c r="F94" s="144">
        <v>540</v>
      </c>
      <c r="G94" s="144">
        <v>1673.29</v>
      </c>
      <c r="H94" s="144">
        <v>1610.9300000000003</v>
      </c>
      <c r="I94" s="144">
        <v>1551.9</v>
      </c>
      <c r="J94" s="144">
        <v>1492.71</v>
      </c>
      <c r="K94" s="144">
        <v>1409.4</v>
      </c>
      <c r="L94" s="144">
        <v>1363.8763800000002</v>
      </c>
      <c r="M94" s="144">
        <v>982.73</v>
      </c>
      <c r="N94" s="145">
        <f t="shared" si="1"/>
        <v>10624.836380000001</v>
      </c>
      <c r="O94" s="146"/>
    </row>
    <row r="95" spans="1:15" x14ac:dyDescent="0.25">
      <c r="A95" s="140">
        <v>90</v>
      </c>
      <c r="B95" s="142" t="s">
        <v>174</v>
      </c>
      <c r="C95" s="142" t="s">
        <v>175</v>
      </c>
      <c r="D95" s="142" t="s">
        <v>514</v>
      </c>
      <c r="E95" s="143" t="s">
        <v>515</v>
      </c>
      <c r="F95" s="144">
        <v>540</v>
      </c>
      <c r="G95" s="144">
        <v>423.55</v>
      </c>
      <c r="H95" s="144">
        <v>407.78000000000003</v>
      </c>
      <c r="I95" s="144">
        <v>392.84</v>
      </c>
      <c r="J95" s="144">
        <v>377.84</v>
      </c>
      <c r="K95" s="144">
        <v>356.76</v>
      </c>
      <c r="L95" s="144">
        <v>345.23665199999999</v>
      </c>
      <c r="M95" s="144">
        <v>249</v>
      </c>
      <c r="N95" s="145">
        <f t="shared" si="1"/>
        <v>3093.0066519999996</v>
      </c>
      <c r="O95" s="146"/>
    </row>
    <row r="96" spans="1:15" x14ac:dyDescent="0.25">
      <c r="A96" s="140">
        <v>91</v>
      </c>
      <c r="B96" s="142" t="s">
        <v>268</v>
      </c>
      <c r="C96" s="142" t="s">
        <v>269</v>
      </c>
      <c r="D96" s="142" t="s">
        <v>517</v>
      </c>
      <c r="E96" s="143" t="s">
        <v>518</v>
      </c>
      <c r="F96" s="144">
        <v>1459.5</v>
      </c>
      <c r="G96" s="144">
        <v>0</v>
      </c>
      <c r="H96" s="144">
        <v>0</v>
      </c>
      <c r="I96" s="144">
        <v>0</v>
      </c>
      <c r="J96" s="144">
        <v>0</v>
      </c>
      <c r="K96" s="144">
        <v>0</v>
      </c>
      <c r="L96" s="144">
        <v>0</v>
      </c>
      <c r="M96" s="144">
        <v>0</v>
      </c>
      <c r="N96" s="145">
        <f t="shared" si="1"/>
        <v>1459.5</v>
      </c>
      <c r="O96" s="146"/>
    </row>
    <row r="97" spans="1:15" x14ac:dyDescent="0.25">
      <c r="A97" s="140">
        <v>92</v>
      </c>
      <c r="B97" s="142" t="s">
        <v>178</v>
      </c>
      <c r="C97" s="142" t="s">
        <v>179</v>
      </c>
      <c r="D97" s="142" t="s">
        <v>669</v>
      </c>
      <c r="E97" s="143" t="s">
        <v>341</v>
      </c>
      <c r="F97" s="144">
        <v>25662</v>
      </c>
      <c r="G97" s="144">
        <v>19893.77</v>
      </c>
      <c r="H97" s="144">
        <v>19181.449999999997</v>
      </c>
      <c r="I97" s="144">
        <v>18497.849999999999</v>
      </c>
      <c r="J97" s="144">
        <v>17812.399999999998</v>
      </c>
      <c r="K97" s="144">
        <v>16769.169999999998</v>
      </c>
      <c r="L97" s="144">
        <v>16227.525808999999</v>
      </c>
      <c r="M97" s="144">
        <v>22830.420000000006</v>
      </c>
      <c r="N97" s="145">
        <f t="shared" si="1"/>
        <v>156874.58580900001</v>
      </c>
      <c r="O97" s="146"/>
    </row>
    <row r="98" spans="1:15" x14ac:dyDescent="0.25">
      <c r="A98" s="140">
        <v>93</v>
      </c>
      <c r="B98" s="142" t="s">
        <v>180</v>
      </c>
      <c r="C98" s="142" t="s">
        <v>181</v>
      </c>
      <c r="D98" s="142" t="s">
        <v>415</v>
      </c>
      <c r="E98" s="143" t="s">
        <v>416</v>
      </c>
      <c r="F98" s="144">
        <v>32568</v>
      </c>
      <c r="G98" s="144">
        <v>24610.66</v>
      </c>
      <c r="H98" s="144">
        <v>23723.599999999999</v>
      </c>
      <c r="I98" s="144">
        <v>22853.63</v>
      </c>
      <c r="J98" s="144">
        <v>21981.279999999999</v>
      </c>
      <c r="K98" s="144">
        <v>20735.580000000002</v>
      </c>
      <c r="L98" s="144">
        <v>20065.820766000001</v>
      </c>
      <c r="M98" s="144">
        <v>17424.769999999997</v>
      </c>
      <c r="N98" s="145">
        <f t="shared" si="1"/>
        <v>183963.34076599998</v>
      </c>
      <c r="O98" s="146"/>
    </row>
    <row r="99" spans="1:15" x14ac:dyDescent="0.25">
      <c r="A99" s="140">
        <v>94</v>
      </c>
      <c r="B99" s="142" t="s">
        <v>164</v>
      </c>
      <c r="C99" s="142" t="s">
        <v>165</v>
      </c>
      <c r="D99" s="142" t="s">
        <v>607</v>
      </c>
      <c r="E99" s="143" t="s">
        <v>362</v>
      </c>
      <c r="F99" s="144">
        <v>220186.5</v>
      </c>
      <c r="G99" s="144">
        <v>195681.33000000002</v>
      </c>
      <c r="H99" s="144">
        <v>191719.27</v>
      </c>
      <c r="I99" s="144">
        <v>187138.23</v>
      </c>
      <c r="J99" s="144">
        <v>182544.61</v>
      </c>
      <c r="K99" s="144">
        <v>165507.29999999999</v>
      </c>
      <c r="L99" s="144">
        <v>160161.41420999999</v>
      </c>
      <c r="M99" s="144">
        <v>2294810.7000000002</v>
      </c>
      <c r="N99" s="145">
        <f t="shared" si="1"/>
        <v>3597749.3542100005</v>
      </c>
      <c r="O99" s="146"/>
    </row>
    <row r="100" spans="1:15" x14ac:dyDescent="0.25">
      <c r="A100" s="140">
        <v>95</v>
      </c>
      <c r="B100" s="142" t="s">
        <v>182</v>
      </c>
      <c r="C100" s="142" t="s">
        <v>183</v>
      </c>
      <c r="D100" s="142" t="s">
        <v>608</v>
      </c>
      <c r="E100" s="143" t="s">
        <v>344</v>
      </c>
      <c r="F100" s="144">
        <v>57619.5</v>
      </c>
      <c r="G100" s="144">
        <v>49411.94</v>
      </c>
      <c r="H100" s="144">
        <v>48042.950000000004</v>
      </c>
      <c r="I100" s="144">
        <v>46734.990000000005</v>
      </c>
      <c r="J100" s="144">
        <v>45423.44</v>
      </c>
      <c r="K100" s="144">
        <v>41596.18</v>
      </c>
      <c r="L100" s="144">
        <v>40252.623385999999</v>
      </c>
      <c r="M100" s="144">
        <v>365144.9</v>
      </c>
      <c r="N100" s="145">
        <f t="shared" si="1"/>
        <v>694226.52338599996</v>
      </c>
      <c r="O100" s="146"/>
    </row>
    <row r="101" spans="1:15" x14ac:dyDescent="0.25">
      <c r="A101" s="140">
        <v>96</v>
      </c>
      <c r="B101" s="142" t="s">
        <v>166</v>
      </c>
      <c r="C101" s="142" t="s">
        <v>167</v>
      </c>
      <c r="D101" s="142" t="s">
        <v>691</v>
      </c>
      <c r="E101" s="143" t="s">
        <v>362</v>
      </c>
      <c r="F101" s="144">
        <v>220186.5</v>
      </c>
      <c r="G101" s="144">
        <v>4445.2999999999993</v>
      </c>
      <c r="H101" s="144">
        <v>0</v>
      </c>
      <c r="I101" s="144">
        <v>0</v>
      </c>
      <c r="J101" s="144">
        <v>0</v>
      </c>
      <c r="K101" s="144">
        <v>0</v>
      </c>
      <c r="L101" s="144">
        <v>0</v>
      </c>
      <c r="M101" s="144">
        <v>0</v>
      </c>
      <c r="N101" s="145">
        <f t="shared" si="1"/>
        <v>224631.8</v>
      </c>
      <c r="O101" s="146"/>
    </row>
    <row r="102" spans="1:15" x14ac:dyDescent="0.25">
      <c r="A102" s="140">
        <v>97</v>
      </c>
      <c r="B102" s="142" t="s">
        <v>184</v>
      </c>
      <c r="C102" s="142" t="s">
        <v>185</v>
      </c>
      <c r="D102" s="142" t="s">
        <v>450</v>
      </c>
      <c r="E102" s="143" t="s">
        <v>451</v>
      </c>
      <c r="F102" s="144">
        <v>10528.5</v>
      </c>
      <c r="G102" s="144">
        <v>8366.17</v>
      </c>
      <c r="H102" s="144">
        <v>8106.3199999999988</v>
      </c>
      <c r="I102" s="144">
        <v>7852.15</v>
      </c>
      <c r="J102" s="144">
        <v>7597.2800000000007</v>
      </c>
      <c r="K102" s="144">
        <v>7045.02</v>
      </c>
      <c r="L102" s="144">
        <v>6817.465854</v>
      </c>
      <c r="M102" s="144">
        <v>35097.919999999998</v>
      </c>
      <c r="N102" s="145">
        <f t="shared" si="1"/>
        <v>91410.825853999995</v>
      </c>
      <c r="O102" s="146"/>
    </row>
    <row r="103" spans="1:15" x14ac:dyDescent="0.25">
      <c r="A103" s="140">
        <v>98</v>
      </c>
      <c r="B103" s="142" t="s">
        <v>186</v>
      </c>
      <c r="C103" s="142" t="s">
        <v>187</v>
      </c>
      <c r="D103" s="142" t="s">
        <v>692</v>
      </c>
      <c r="E103" s="143" t="s">
        <v>349</v>
      </c>
      <c r="F103" s="144">
        <v>13012.5</v>
      </c>
      <c r="G103" s="144">
        <v>9838.0700000000015</v>
      </c>
      <c r="H103" s="144">
        <v>9538.9700000000012</v>
      </c>
      <c r="I103" s="144">
        <v>9211.65</v>
      </c>
      <c r="J103" s="144">
        <v>8883.44</v>
      </c>
      <c r="K103" s="144">
        <v>8322.01</v>
      </c>
      <c r="L103" s="144">
        <v>8053.2090770000004</v>
      </c>
      <c r="M103" s="144">
        <v>20690.400000000001</v>
      </c>
      <c r="N103" s="145">
        <f t="shared" si="1"/>
        <v>87550.249077000015</v>
      </c>
      <c r="O103" s="146"/>
    </row>
    <row r="104" spans="1:15" x14ac:dyDescent="0.25">
      <c r="A104" s="140">
        <v>99</v>
      </c>
      <c r="B104" s="142" t="s">
        <v>188</v>
      </c>
      <c r="C104" s="142" t="s">
        <v>189</v>
      </c>
      <c r="D104" s="142" t="s">
        <v>489</v>
      </c>
      <c r="E104" s="143" t="s">
        <v>349</v>
      </c>
      <c r="F104" s="144">
        <v>13012.5</v>
      </c>
      <c r="G104" s="144">
        <v>5.97</v>
      </c>
      <c r="H104" s="144">
        <v>0</v>
      </c>
      <c r="I104" s="144">
        <v>0</v>
      </c>
      <c r="J104" s="144">
        <v>0</v>
      </c>
      <c r="K104" s="144">
        <v>0</v>
      </c>
      <c r="L104" s="144">
        <v>0</v>
      </c>
      <c r="M104" s="144">
        <v>0</v>
      </c>
      <c r="N104" s="145">
        <f t="shared" si="1"/>
        <v>13018.47</v>
      </c>
      <c r="O104" s="146"/>
    </row>
    <row r="105" spans="1:15" x14ac:dyDescent="0.25">
      <c r="A105" s="140">
        <v>100</v>
      </c>
      <c r="B105" s="142" t="s">
        <v>190</v>
      </c>
      <c r="C105" s="142" t="s">
        <v>191</v>
      </c>
      <c r="D105" s="142" t="s">
        <v>693</v>
      </c>
      <c r="E105" s="143" t="s">
        <v>291</v>
      </c>
      <c r="F105" s="144">
        <v>69610.5</v>
      </c>
      <c r="G105" s="144">
        <v>46445.34</v>
      </c>
      <c r="H105" s="144">
        <v>46327.630000000005</v>
      </c>
      <c r="I105" s="144">
        <v>46211.29</v>
      </c>
      <c r="J105" s="144">
        <v>46094.619999999995</v>
      </c>
      <c r="K105" s="144">
        <v>0</v>
      </c>
      <c r="L105" s="144">
        <v>0</v>
      </c>
      <c r="M105" s="144">
        <v>0</v>
      </c>
      <c r="N105" s="145">
        <f t="shared" si="1"/>
        <v>254689.38</v>
      </c>
      <c r="O105" s="146"/>
    </row>
    <row r="106" spans="1:15" x14ac:dyDescent="0.25">
      <c r="A106" s="140">
        <v>101</v>
      </c>
      <c r="B106" s="142" t="s">
        <v>192</v>
      </c>
      <c r="C106" s="142" t="s">
        <v>193</v>
      </c>
      <c r="D106" s="142" t="s">
        <v>609</v>
      </c>
      <c r="E106" s="143" t="s">
        <v>356</v>
      </c>
      <c r="F106" s="144">
        <v>15457.5</v>
      </c>
      <c r="G106" s="144">
        <v>11444.470000000001</v>
      </c>
      <c r="H106" s="144">
        <v>11226.13</v>
      </c>
      <c r="I106" s="144">
        <v>10844.98</v>
      </c>
      <c r="J106" s="144">
        <v>10462.779999999999</v>
      </c>
      <c r="K106" s="144">
        <v>9799.14</v>
      </c>
      <c r="L106" s="144">
        <v>9482.627778</v>
      </c>
      <c r="M106" s="144">
        <v>24786.28</v>
      </c>
      <c r="N106" s="145">
        <f t="shared" si="1"/>
        <v>103503.90777799999</v>
      </c>
      <c r="O106" s="146"/>
    </row>
    <row r="107" spans="1:15" x14ac:dyDescent="0.25">
      <c r="A107" s="140">
        <v>102</v>
      </c>
      <c r="B107" s="142" t="s">
        <v>194</v>
      </c>
      <c r="C107" s="142" t="s">
        <v>195</v>
      </c>
      <c r="D107" s="142" t="s">
        <v>694</v>
      </c>
      <c r="E107" s="143" t="s">
        <v>360</v>
      </c>
      <c r="F107" s="144">
        <v>88536</v>
      </c>
      <c r="G107" s="144">
        <v>65874.789999999994</v>
      </c>
      <c r="H107" s="144">
        <v>64688.01</v>
      </c>
      <c r="I107" s="144">
        <v>62507.42</v>
      </c>
      <c r="J107" s="144">
        <v>60320.82</v>
      </c>
      <c r="K107" s="144">
        <v>56386.2</v>
      </c>
      <c r="L107" s="144">
        <v>54564.925739999999</v>
      </c>
      <c r="M107" s="144">
        <v>166919.13999999996</v>
      </c>
      <c r="N107" s="145">
        <f t="shared" si="1"/>
        <v>619797.30573999998</v>
      </c>
      <c r="O107" s="146"/>
    </row>
    <row r="108" spans="1:15" x14ac:dyDescent="0.25">
      <c r="A108" s="140">
        <v>103</v>
      </c>
      <c r="B108" s="142" t="s">
        <v>196</v>
      </c>
      <c r="C108" s="142" t="s">
        <v>197</v>
      </c>
      <c r="D108" s="142" t="s">
        <v>490</v>
      </c>
      <c r="E108" s="143" t="s">
        <v>491</v>
      </c>
      <c r="F108" s="144">
        <v>37599</v>
      </c>
      <c r="G108" s="144">
        <v>10699.239999999998</v>
      </c>
      <c r="H108" s="144">
        <v>0</v>
      </c>
      <c r="I108" s="144">
        <v>0</v>
      </c>
      <c r="J108" s="144">
        <v>0</v>
      </c>
      <c r="K108" s="144">
        <v>0</v>
      </c>
      <c r="L108" s="144">
        <v>0</v>
      </c>
      <c r="M108" s="144">
        <v>0</v>
      </c>
      <c r="N108" s="145">
        <f t="shared" si="1"/>
        <v>48298.239999999998</v>
      </c>
      <c r="O108" s="146"/>
    </row>
    <row r="109" spans="1:15" x14ac:dyDescent="0.25">
      <c r="A109" s="140">
        <v>104</v>
      </c>
      <c r="B109" s="142" t="s">
        <v>198</v>
      </c>
      <c r="C109" s="142" t="s">
        <v>199</v>
      </c>
      <c r="D109" s="142" t="s">
        <v>610</v>
      </c>
      <c r="E109" s="143" t="s">
        <v>295</v>
      </c>
      <c r="F109" s="144">
        <v>322690.5</v>
      </c>
      <c r="G109" s="144">
        <v>215119.43</v>
      </c>
      <c r="H109" s="144">
        <v>138912.95999999999</v>
      </c>
      <c r="I109" s="144">
        <v>111352.05</v>
      </c>
      <c r="J109" s="144">
        <v>74238.91</v>
      </c>
      <c r="K109" s="144">
        <v>45115.68</v>
      </c>
      <c r="L109" s="144">
        <v>10718</v>
      </c>
      <c r="M109" s="144">
        <v>0</v>
      </c>
      <c r="N109" s="145">
        <f t="shared" si="1"/>
        <v>918147.53</v>
      </c>
      <c r="O109" s="146"/>
    </row>
    <row r="110" spans="1:15" x14ac:dyDescent="0.25">
      <c r="A110" s="140">
        <v>105</v>
      </c>
      <c r="B110" s="142" t="s">
        <v>202</v>
      </c>
      <c r="C110" s="142" t="s">
        <v>203</v>
      </c>
      <c r="D110" s="142" t="s">
        <v>519</v>
      </c>
      <c r="E110" s="143" t="s">
        <v>520</v>
      </c>
      <c r="F110" s="144">
        <v>299149.5</v>
      </c>
      <c r="G110" s="144">
        <v>58151.08</v>
      </c>
      <c r="H110" s="144">
        <v>69328.950000000012</v>
      </c>
      <c r="I110" s="144">
        <v>69097.030000000013</v>
      </c>
      <c r="J110" s="144">
        <v>80233.94</v>
      </c>
      <c r="K110" s="144">
        <v>79965.710000000006</v>
      </c>
      <c r="L110" s="144">
        <v>77382.817567000006</v>
      </c>
      <c r="M110" s="144">
        <v>361300.86</v>
      </c>
      <c r="N110" s="145">
        <f t="shared" si="1"/>
        <v>1094609.887567</v>
      </c>
      <c r="O110" s="146"/>
    </row>
    <row r="111" spans="1:15" x14ac:dyDescent="0.25">
      <c r="A111" s="140">
        <v>106</v>
      </c>
      <c r="B111" s="142" t="s">
        <v>200</v>
      </c>
      <c r="C111" s="142" t="s">
        <v>201</v>
      </c>
      <c r="D111" s="142" t="s">
        <v>519</v>
      </c>
      <c r="E111" s="143" t="s">
        <v>520</v>
      </c>
      <c r="F111" s="144">
        <v>299149.5</v>
      </c>
      <c r="G111" s="144">
        <v>192837.71</v>
      </c>
      <c r="H111" s="144">
        <v>137647.94</v>
      </c>
      <c r="I111" s="144">
        <v>107279.9</v>
      </c>
      <c r="J111" s="144">
        <v>88359.030000000013</v>
      </c>
      <c r="K111" s="144">
        <v>33910</v>
      </c>
      <c r="L111" s="144">
        <v>32814.707000000002</v>
      </c>
      <c r="M111" s="144">
        <v>30836.75</v>
      </c>
      <c r="N111" s="145">
        <f t="shared" si="1"/>
        <v>922835.53700000001</v>
      </c>
      <c r="O111" s="146"/>
    </row>
    <row r="112" spans="1:15" x14ac:dyDescent="0.25">
      <c r="A112" s="140">
        <v>107</v>
      </c>
      <c r="B112" s="142" t="s">
        <v>204</v>
      </c>
      <c r="C112" s="142" t="s">
        <v>205</v>
      </c>
      <c r="D112" s="142" t="s">
        <v>670</v>
      </c>
      <c r="E112" s="143" t="s">
        <v>321</v>
      </c>
      <c r="F112" s="144">
        <v>23848.5</v>
      </c>
      <c r="G112" s="144">
        <v>20110.969999999998</v>
      </c>
      <c r="H112" s="144">
        <v>19735.54</v>
      </c>
      <c r="I112" s="144">
        <v>19166.12</v>
      </c>
      <c r="J112" s="144">
        <v>18595.14</v>
      </c>
      <c r="K112" s="144">
        <v>17164.98</v>
      </c>
      <c r="L112" s="144">
        <v>16610.551145999998</v>
      </c>
      <c r="M112" s="144">
        <v>109929.05</v>
      </c>
      <c r="N112" s="145">
        <f t="shared" si="1"/>
        <v>245160.85114599997</v>
      </c>
      <c r="O112" s="146"/>
    </row>
    <row r="113" spans="1:15" x14ac:dyDescent="0.25">
      <c r="A113" s="140">
        <v>108</v>
      </c>
      <c r="B113" s="142" t="s">
        <v>206</v>
      </c>
      <c r="C113" s="142" t="s">
        <v>207</v>
      </c>
      <c r="D113" s="142" t="s">
        <v>477</v>
      </c>
      <c r="E113" s="143" t="s">
        <v>478</v>
      </c>
      <c r="F113" s="144">
        <v>26136</v>
      </c>
      <c r="G113" s="144">
        <v>22078.560000000001</v>
      </c>
      <c r="H113" s="144">
        <v>21562.79</v>
      </c>
      <c r="I113" s="144">
        <v>20912.39</v>
      </c>
      <c r="J113" s="144">
        <v>20260.200000000004</v>
      </c>
      <c r="K113" s="144">
        <v>18763.22</v>
      </c>
      <c r="L113" s="144">
        <v>18157.167993999999</v>
      </c>
      <c r="M113" s="144">
        <v>102449.45000000001</v>
      </c>
      <c r="N113" s="145">
        <f t="shared" si="1"/>
        <v>250319.777994</v>
      </c>
      <c r="O113" s="146"/>
    </row>
    <row r="114" spans="1:15" x14ac:dyDescent="0.25">
      <c r="A114" s="140">
        <v>109</v>
      </c>
      <c r="B114" s="142" t="s">
        <v>208</v>
      </c>
      <c r="C114" s="142" t="s">
        <v>209</v>
      </c>
      <c r="D114" s="142" t="s">
        <v>671</v>
      </c>
      <c r="E114" s="143" t="s">
        <v>288</v>
      </c>
      <c r="F114" s="144">
        <v>72330</v>
      </c>
      <c r="G114" s="144">
        <v>56078.28</v>
      </c>
      <c r="H114" s="144">
        <v>54082.969999999994</v>
      </c>
      <c r="I114" s="144">
        <v>52199.4</v>
      </c>
      <c r="J114" s="144">
        <v>50310.65</v>
      </c>
      <c r="K114" s="144">
        <v>47399.82</v>
      </c>
      <c r="L114" s="144">
        <v>45868.805813999999</v>
      </c>
      <c r="M114" s="144">
        <v>65772.820000000007</v>
      </c>
      <c r="N114" s="145">
        <f t="shared" si="1"/>
        <v>444042.74581400002</v>
      </c>
      <c r="O114" s="146"/>
    </row>
    <row r="115" spans="1:15" x14ac:dyDescent="0.25">
      <c r="A115" s="140">
        <v>110</v>
      </c>
      <c r="B115" s="142" t="s">
        <v>210</v>
      </c>
      <c r="C115" s="142" t="s">
        <v>211</v>
      </c>
      <c r="D115" s="142" t="s">
        <v>611</v>
      </c>
      <c r="E115" s="143" t="s">
        <v>288</v>
      </c>
      <c r="F115" s="144">
        <v>72330</v>
      </c>
      <c r="G115" s="144">
        <v>38733.279999999999</v>
      </c>
      <c r="H115" s="144">
        <v>37355.120000000003</v>
      </c>
      <c r="I115" s="144">
        <v>36054.14</v>
      </c>
      <c r="J115" s="144">
        <v>34749.57</v>
      </c>
      <c r="K115" s="144">
        <v>32739.040000000001</v>
      </c>
      <c r="L115" s="144">
        <v>31681.569008000002</v>
      </c>
      <c r="M115" s="144">
        <v>45429.010000000009</v>
      </c>
      <c r="N115" s="145">
        <f t="shared" si="1"/>
        <v>329071.72900799999</v>
      </c>
      <c r="O115" s="146"/>
    </row>
    <row r="116" spans="1:15" x14ac:dyDescent="0.25">
      <c r="A116" s="140">
        <v>111</v>
      </c>
      <c r="B116" s="142" t="s">
        <v>212</v>
      </c>
      <c r="C116" s="142" t="s">
        <v>213</v>
      </c>
      <c r="D116" s="142" t="s">
        <v>695</v>
      </c>
      <c r="E116" s="143" t="s">
        <v>333</v>
      </c>
      <c r="F116" s="144">
        <v>50725.5</v>
      </c>
      <c r="G116" s="144">
        <v>40729.18</v>
      </c>
      <c r="H116" s="144">
        <v>39333.869999999995</v>
      </c>
      <c r="I116" s="144">
        <v>38046.819999999992</v>
      </c>
      <c r="J116" s="144">
        <v>36756.25</v>
      </c>
      <c r="K116" s="144">
        <v>34358.639999999999</v>
      </c>
      <c r="L116" s="144">
        <v>33248.855927999997</v>
      </c>
      <c r="M116" s="144">
        <v>107996.02000000002</v>
      </c>
      <c r="N116" s="145">
        <f t="shared" si="1"/>
        <v>381195.13592800003</v>
      </c>
      <c r="O116" s="146"/>
    </row>
    <row r="117" spans="1:15" x14ac:dyDescent="0.25">
      <c r="A117" s="140">
        <v>112</v>
      </c>
      <c r="B117" s="142" t="s">
        <v>214</v>
      </c>
      <c r="C117" s="142" t="s">
        <v>215</v>
      </c>
      <c r="D117" s="142" t="s">
        <v>452</v>
      </c>
      <c r="E117" s="143" t="s">
        <v>453</v>
      </c>
      <c r="F117" s="144">
        <v>50265</v>
      </c>
      <c r="G117" s="144">
        <v>43230.55</v>
      </c>
      <c r="H117" s="144">
        <v>41636.46</v>
      </c>
      <c r="I117" s="144">
        <v>40386.22</v>
      </c>
      <c r="J117" s="144">
        <v>39132.549999999996</v>
      </c>
      <c r="K117" s="144">
        <v>36237.32</v>
      </c>
      <c r="L117" s="144">
        <v>35066.854564000001</v>
      </c>
      <c r="M117" s="144">
        <v>199482.45</v>
      </c>
      <c r="N117" s="145">
        <f t="shared" si="1"/>
        <v>485437.40456400003</v>
      </c>
      <c r="O117" s="146"/>
    </row>
    <row r="118" spans="1:15" x14ac:dyDescent="0.25">
      <c r="A118" s="140">
        <v>113</v>
      </c>
      <c r="B118" s="142" t="s">
        <v>216</v>
      </c>
      <c r="C118" s="142" t="s">
        <v>217</v>
      </c>
      <c r="D118" s="142" t="s">
        <v>492</v>
      </c>
      <c r="E118" s="143" t="s">
        <v>493</v>
      </c>
      <c r="F118" s="144">
        <v>30370.5</v>
      </c>
      <c r="G118" s="144">
        <v>10118.029999999999</v>
      </c>
      <c r="H118" s="144">
        <v>0</v>
      </c>
      <c r="I118" s="144">
        <v>0</v>
      </c>
      <c r="J118" s="144">
        <v>0</v>
      </c>
      <c r="K118" s="144">
        <v>0</v>
      </c>
      <c r="L118" s="144">
        <v>0</v>
      </c>
      <c r="M118" s="144">
        <v>0</v>
      </c>
      <c r="N118" s="145">
        <f t="shared" si="1"/>
        <v>40488.53</v>
      </c>
      <c r="O118" s="146"/>
    </row>
    <row r="119" spans="1:15" x14ac:dyDescent="0.25">
      <c r="A119" s="140">
        <v>114</v>
      </c>
      <c r="B119" s="142" t="s">
        <v>218</v>
      </c>
      <c r="C119" s="142" t="s">
        <v>219</v>
      </c>
      <c r="D119" s="142" t="s">
        <v>521</v>
      </c>
      <c r="E119" s="143" t="s">
        <v>493</v>
      </c>
      <c r="F119" s="144">
        <v>30370.5</v>
      </c>
      <c r="G119" s="144">
        <v>11422.550000000001</v>
      </c>
      <c r="H119" s="144">
        <v>10990.84</v>
      </c>
      <c r="I119" s="144">
        <v>10609.75</v>
      </c>
      <c r="J119" s="144">
        <v>10227.61</v>
      </c>
      <c r="K119" s="144">
        <v>9637.48</v>
      </c>
      <c r="L119" s="144">
        <v>9326.1893959999998</v>
      </c>
      <c r="M119" s="144">
        <v>13381.75</v>
      </c>
      <c r="N119" s="145">
        <f t="shared" si="1"/>
        <v>105966.669396</v>
      </c>
      <c r="O119" s="146"/>
    </row>
    <row r="120" spans="1:15" x14ac:dyDescent="0.25">
      <c r="A120" s="140">
        <v>115</v>
      </c>
      <c r="B120" s="142" t="s">
        <v>220</v>
      </c>
      <c r="C120" s="142" t="s">
        <v>221</v>
      </c>
      <c r="D120" s="142" t="s">
        <v>392</v>
      </c>
      <c r="E120" s="143" t="s">
        <v>391</v>
      </c>
      <c r="F120" s="144">
        <v>24228</v>
      </c>
      <c r="G120" s="144">
        <v>20044.940000000002</v>
      </c>
      <c r="H120" s="144">
        <v>19317.23</v>
      </c>
      <c r="I120" s="144">
        <v>18671.560000000001</v>
      </c>
      <c r="J120" s="144">
        <v>18024.099999999999</v>
      </c>
      <c r="K120" s="144">
        <v>16857.2</v>
      </c>
      <c r="L120" s="144">
        <v>16312.712440000001</v>
      </c>
      <c r="M120" s="144">
        <v>49178.680000000008</v>
      </c>
      <c r="N120" s="145">
        <f t="shared" si="1"/>
        <v>182634.42243999999</v>
      </c>
      <c r="O120" s="146"/>
    </row>
    <row r="121" spans="1:15" x14ac:dyDescent="0.25">
      <c r="A121" s="140">
        <v>116</v>
      </c>
      <c r="B121" s="142" t="s">
        <v>222</v>
      </c>
      <c r="C121" s="142" t="s">
        <v>223</v>
      </c>
      <c r="D121" s="142" t="s">
        <v>388</v>
      </c>
      <c r="E121" s="143" t="s">
        <v>389</v>
      </c>
      <c r="F121" s="144">
        <v>532506</v>
      </c>
      <c r="G121" s="144">
        <v>537306</v>
      </c>
      <c r="H121" s="144">
        <v>521397.51</v>
      </c>
      <c r="I121" s="144">
        <v>509225.33999999997</v>
      </c>
      <c r="J121" s="144">
        <v>497019.69999999995</v>
      </c>
      <c r="K121" s="144">
        <v>453488.94</v>
      </c>
      <c r="L121" s="144">
        <v>438841.24723799998</v>
      </c>
      <c r="M121" s="144">
        <v>6149047.54</v>
      </c>
      <c r="N121" s="145">
        <f t="shared" si="1"/>
        <v>9638832.2772380002</v>
      </c>
      <c r="O121" s="146"/>
    </row>
    <row r="122" spans="1:15" x14ac:dyDescent="0.25">
      <c r="A122" s="140">
        <v>117</v>
      </c>
      <c r="B122" s="142" t="s">
        <v>224</v>
      </c>
      <c r="C122" s="142" t="s">
        <v>225</v>
      </c>
      <c r="D122" s="142" t="s">
        <v>390</v>
      </c>
      <c r="E122" s="143" t="s">
        <v>391</v>
      </c>
      <c r="F122" s="144">
        <v>24228</v>
      </c>
      <c r="G122" s="144">
        <v>43529.979999999996</v>
      </c>
      <c r="H122" s="144">
        <v>42058.87</v>
      </c>
      <c r="I122" s="144">
        <v>40819.86</v>
      </c>
      <c r="J122" s="144">
        <v>39577.46</v>
      </c>
      <c r="K122" s="144">
        <v>36473.97</v>
      </c>
      <c r="L122" s="144">
        <v>35295.860768999999</v>
      </c>
      <c r="M122" s="144">
        <v>245723.12</v>
      </c>
      <c r="N122" s="145">
        <f t="shared" si="1"/>
        <v>507707.12076900003</v>
      </c>
      <c r="O122" s="146"/>
    </row>
    <row r="123" spans="1:15" x14ac:dyDescent="0.25">
      <c r="A123" s="140">
        <v>118</v>
      </c>
      <c r="B123" s="142" t="s">
        <v>226</v>
      </c>
      <c r="C123" s="142" t="s">
        <v>227</v>
      </c>
      <c r="D123" s="142" t="s">
        <v>672</v>
      </c>
      <c r="E123" s="143" t="s">
        <v>495</v>
      </c>
      <c r="F123" s="144">
        <v>95245.5</v>
      </c>
      <c r="G123" s="144">
        <v>29244.42</v>
      </c>
      <c r="H123" s="144">
        <v>0</v>
      </c>
      <c r="I123" s="144">
        <v>0</v>
      </c>
      <c r="J123" s="144">
        <v>0</v>
      </c>
      <c r="K123" s="144">
        <v>0</v>
      </c>
      <c r="L123" s="144">
        <v>0</v>
      </c>
      <c r="M123" s="144">
        <v>0</v>
      </c>
      <c r="N123" s="145">
        <f t="shared" si="1"/>
        <v>124489.92</v>
      </c>
      <c r="O123" s="146"/>
    </row>
    <row r="124" spans="1:15" x14ac:dyDescent="0.25">
      <c r="A124" s="140">
        <v>119</v>
      </c>
      <c r="B124" s="142" t="s">
        <v>228</v>
      </c>
      <c r="C124" s="142" t="s">
        <v>229</v>
      </c>
      <c r="D124" s="142" t="s">
        <v>485</v>
      </c>
      <c r="E124" s="143" t="s">
        <v>486</v>
      </c>
      <c r="F124" s="144">
        <v>33906</v>
      </c>
      <c r="G124" s="144">
        <v>26927.08</v>
      </c>
      <c r="H124" s="144">
        <v>26028.94</v>
      </c>
      <c r="I124" s="144">
        <v>25153.57</v>
      </c>
      <c r="J124" s="144">
        <v>24275.8</v>
      </c>
      <c r="K124" s="144">
        <v>22702.43</v>
      </c>
      <c r="L124" s="144">
        <v>21969.141511000002</v>
      </c>
      <c r="M124" s="144">
        <v>65689.260000000009</v>
      </c>
      <c r="N124" s="145">
        <f t="shared" si="1"/>
        <v>246652.22151099998</v>
      </c>
      <c r="O124" s="146"/>
    </row>
    <row r="125" spans="1:15" x14ac:dyDescent="0.25">
      <c r="A125" s="140">
        <v>120</v>
      </c>
      <c r="B125" s="142" t="s">
        <v>234</v>
      </c>
      <c r="C125" s="142" t="s">
        <v>235</v>
      </c>
      <c r="D125" s="142" t="s">
        <v>673</v>
      </c>
      <c r="E125" s="143" t="s">
        <v>394</v>
      </c>
      <c r="F125" s="144">
        <v>36986.19</v>
      </c>
      <c r="G125" s="144">
        <v>22820.06</v>
      </c>
      <c r="H125" s="144">
        <v>22370.49</v>
      </c>
      <c r="I125" s="144">
        <v>21711.08</v>
      </c>
      <c r="J125" s="144">
        <v>21049.850000000002</v>
      </c>
      <c r="K125" s="144">
        <v>19456.82</v>
      </c>
      <c r="L125" s="144">
        <v>18828.364713999999</v>
      </c>
      <c r="M125" s="144">
        <v>116793.07999999999</v>
      </c>
      <c r="N125" s="145">
        <f t="shared" si="1"/>
        <v>280015.93471399997</v>
      </c>
      <c r="O125" s="146"/>
    </row>
    <row r="126" spans="1:15" x14ac:dyDescent="0.25">
      <c r="A126" s="140">
        <v>121</v>
      </c>
      <c r="B126" s="142" t="s">
        <v>232</v>
      </c>
      <c r="C126" s="142" t="s">
        <v>233</v>
      </c>
      <c r="D126" s="142" t="s">
        <v>393</v>
      </c>
      <c r="E126" s="143" t="s">
        <v>394</v>
      </c>
      <c r="F126" s="144">
        <v>36986.19</v>
      </c>
      <c r="G126" s="144">
        <v>37240.870000000003</v>
      </c>
      <c r="H126" s="144">
        <v>36275.479999999996</v>
      </c>
      <c r="I126" s="144">
        <v>35051.030000000006</v>
      </c>
      <c r="J126" s="144">
        <v>33823.200000000004</v>
      </c>
      <c r="K126" s="144">
        <v>31745.63</v>
      </c>
      <c r="L126" s="144">
        <v>30720.246150999999</v>
      </c>
      <c r="M126" s="144">
        <v>70706.76999999999</v>
      </c>
      <c r="N126" s="145">
        <f t="shared" si="1"/>
        <v>312549.41615100001</v>
      </c>
      <c r="O126" s="146"/>
    </row>
    <row r="127" spans="1:15" x14ac:dyDescent="0.25">
      <c r="A127" s="140">
        <v>122</v>
      </c>
      <c r="B127" s="142" t="s">
        <v>230</v>
      </c>
      <c r="C127" s="142" t="s">
        <v>231</v>
      </c>
      <c r="D127" s="142" t="s">
        <v>674</v>
      </c>
      <c r="E127" s="143" t="s">
        <v>394</v>
      </c>
      <c r="F127" s="144">
        <v>36986.19</v>
      </c>
      <c r="G127" s="144">
        <v>47303.31</v>
      </c>
      <c r="H127" s="144">
        <v>46371.369999999995</v>
      </c>
      <c r="I127" s="144">
        <v>45004.490000000005</v>
      </c>
      <c r="J127" s="144">
        <v>43633.88</v>
      </c>
      <c r="K127" s="144">
        <v>40331.72</v>
      </c>
      <c r="L127" s="144">
        <v>39029.005444000002</v>
      </c>
      <c r="M127" s="144">
        <v>251097.77000000002</v>
      </c>
      <c r="N127" s="145">
        <f t="shared" si="1"/>
        <v>549757.73544399999</v>
      </c>
      <c r="O127" s="146"/>
    </row>
    <row r="128" spans="1:15" x14ac:dyDescent="0.25">
      <c r="A128" s="140">
        <v>123</v>
      </c>
      <c r="B128" s="142" t="s">
        <v>236</v>
      </c>
      <c r="C128" s="142" t="s">
        <v>237</v>
      </c>
      <c r="D128" s="142" t="s">
        <v>454</v>
      </c>
      <c r="E128" s="143" t="s">
        <v>455</v>
      </c>
      <c r="F128" s="144">
        <v>92139</v>
      </c>
      <c r="G128" s="144">
        <v>80557.27</v>
      </c>
      <c r="H128" s="144">
        <v>79403.049999999988</v>
      </c>
      <c r="I128" s="144">
        <v>77340.69</v>
      </c>
      <c r="J128" s="144">
        <v>75272.659999999989</v>
      </c>
      <c r="K128" s="144">
        <v>68735.83</v>
      </c>
      <c r="L128" s="144">
        <v>66515.662691000005</v>
      </c>
      <c r="M128" s="144">
        <v>668041.44000000006</v>
      </c>
      <c r="N128" s="145">
        <f t="shared" si="1"/>
        <v>1208005.6026910001</v>
      </c>
      <c r="O128" s="146"/>
    </row>
    <row r="129" spans="1:15" x14ac:dyDescent="0.25">
      <c r="A129" s="140">
        <v>124</v>
      </c>
      <c r="B129" s="142" t="s">
        <v>238</v>
      </c>
      <c r="C129" s="142" t="s">
        <v>239</v>
      </c>
      <c r="D129" s="142" t="s">
        <v>395</v>
      </c>
      <c r="E129" s="143" t="s">
        <v>396</v>
      </c>
      <c r="F129" s="144">
        <v>18604.665000000001</v>
      </c>
      <c r="G129" s="144">
        <v>23287.38</v>
      </c>
      <c r="H129" s="144">
        <v>22818.13</v>
      </c>
      <c r="I129" s="144">
        <v>22045.920000000002</v>
      </c>
      <c r="J129" s="144">
        <v>21271.59</v>
      </c>
      <c r="K129" s="144">
        <v>19909.150000000001</v>
      </c>
      <c r="L129" s="144">
        <v>19266.084455</v>
      </c>
      <c r="M129" s="144">
        <v>53854.420000000013</v>
      </c>
      <c r="N129" s="145">
        <f t="shared" si="1"/>
        <v>201057.33945500001</v>
      </c>
      <c r="O129" s="146"/>
    </row>
    <row r="130" spans="1:15" ht="23.25" x14ac:dyDescent="0.25">
      <c r="A130" s="140">
        <v>125</v>
      </c>
      <c r="B130" s="142" t="s">
        <v>240</v>
      </c>
      <c r="C130" s="142" t="s">
        <v>241</v>
      </c>
      <c r="D130" s="147" t="s">
        <v>417</v>
      </c>
      <c r="E130" s="143" t="s">
        <v>418</v>
      </c>
      <c r="F130" s="144">
        <v>109777.5</v>
      </c>
      <c r="G130" s="144">
        <v>82889.08</v>
      </c>
      <c r="H130" s="144">
        <v>81683.19</v>
      </c>
      <c r="I130" s="144">
        <v>79202.66</v>
      </c>
      <c r="J130" s="144">
        <v>76715.3</v>
      </c>
      <c r="K130" s="144">
        <v>70917.820000000007</v>
      </c>
      <c r="L130" s="144">
        <v>68627.174414000008</v>
      </c>
      <c r="M130" s="144">
        <v>414564.2099999999</v>
      </c>
      <c r="N130" s="145">
        <f t="shared" si="1"/>
        <v>984376.93441400002</v>
      </c>
      <c r="O130" s="146"/>
    </row>
    <row r="131" spans="1:15" x14ac:dyDescent="0.25">
      <c r="A131" s="140">
        <v>126</v>
      </c>
      <c r="B131" s="142" t="s">
        <v>242</v>
      </c>
      <c r="C131" s="142" t="s">
        <v>243</v>
      </c>
      <c r="D131" s="142" t="s">
        <v>524</v>
      </c>
      <c r="E131" s="143" t="s">
        <v>525</v>
      </c>
      <c r="F131" s="144">
        <v>5961</v>
      </c>
      <c r="G131" s="144">
        <v>19092.579999999998</v>
      </c>
      <c r="H131" s="144">
        <v>27633.09</v>
      </c>
      <c r="I131" s="144">
        <v>26639.930000000004</v>
      </c>
      <c r="J131" s="144">
        <v>25644.07</v>
      </c>
      <c r="K131" s="144">
        <v>23834.559999999998</v>
      </c>
      <c r="L131" s="144">
        <v>23064.703711999999</v>
      </c>
      <c r="M131" s="144">
        <v>86948.950000000012</v>
      </c>
      <c r="N131" s="145">
        <f t="shared" si="1"/>
        <v>238818.88371200001</v>
      </c>
      <c r="O131" s="146"/>
    </row>
    <row r="132" spans="1:15" ht="23.25" x14ac:dyDescent="0.25">
      <c r="A132" s="140">
        <v>127</v>
      </c>
      <c r="B132" s="142" t="s">
        <v>244</v>
      </c>
      <c r="C132" s="142" t="s">
        <v>245</v>
      </c>
      <c r="D132" s="147" t="s">
        <v>526</v>
      </c>
      <c r="E132" s="143" t="s">
        <v>525</v>
      </c>
      <c r="F132" s="144">
        <v>5961</v>
      </c>
      <c r="G132" s="144">
        <v>11740.779999999999</v>
      </c>
      <c r="H132" s="144">
        <v>23540.800000000003</v>
      </c>
      <c r="I132" s="144">
        <v>34794.65</v>
      </c>
      <c r="J132" s="144">
        <v>33500.11</v>
      </c>
      <c r="K132" s="144">
        <v>26727.85</v>
      </c>
      <c r="L132" s="144">
        <v>25864.540444999999</v>
      </c>
      <c r="M132" s="144">
        <v>100262.31</v>
      </c>
      <c r="N132" s="145">
        <f t="shared" si="1"/>
        <v>262392.04044499999</v>
      </c>
      <c r="O132" s="146"/>
    </row>
    <row r="133" spans="1:15" ht="22.9" customHeight="1" x14ac:dyDescent="0.25">
      <c r="A133" s="140">
        <v>128</v>
      </c>
      <c r="B133" s="142" t="s">
        <v>246</v>
      </c>
      <c r="C133" s="142" t="s">
        <v>247</v>
      </c>
      <c r="D133" s="148" t="s">
        <v>675</v>
      </c>
      <c r="E133" s="143" t="s">
        <v>525</v>
      </c>
      <c r="F133" s="144">
        <v>5961</v>
      </c>
      <c r="G133" s="144">
        <v>8540.41</v>
      </c>
      <c r="H133" s="144">
        <v>12267.02</v>
      </c>
      <c r="I133" s="144">
        <v>11834.090000000002</v>
      </c>
      <c r="J133" s="144">
        <v>11399.95</v>
      </c>
      <c r="K133" s="144">
        <v>10581.31</v>
      </c>
      <c r="L133" s="144">
        <v>10239.533686999999</v>
      </c>
      <c r="M133" s="144">
        <v>42946.210000000006</v>
      </c>
      <c r="N133" s="145">
        <f t="shared" si="1"/>
        <v>113769.52368700001</v>
      </c>
      <c r="O133" s="146"/>
    </row>
    <row r="134" spans="1:15" x14ac:dyDescent="0.25">
      <c r="A134" s="140">
        <v>129</v>
      </c>
      <c r="B134" s="142" t="s">
        <v>248</v>
      </c>
      <c r="C134" s="142" t="s">
        <v>249</v>
      </c>
      <c r="D134" s="142" t="s">
        <v>528</v>
      </c>
      <c r="E134" s="143" t="s">
        <v>525</v>
      </c>
      <c r="F134" s="144">
        <v>5961</v>
      </c>
      <c r="G134" s="144">
        <v>19966.11</v>
      </c>
      <c r="H134" s="144">
        <v>28601.79</v>
      </c>
      <c r="I134" s="144">
        <v>27593.93</v>
      </c>
      <c r="J134" s="144">
        <v>26583.309999999998</v>
      </c>
      <c r="K134" s="144">
        <v>24671.43</v>
      </c>
      <c r="L134" s="144">
        <v>23874.542810999999</v>
      </c>
      <c r="M134" s="144">
        <v>101010.11000000002</v>
      </c>
      <c r="N134" s="145">
        <f t="shared" si="1"/>
        <v>258262.22281100001</v>
      </c>
      <c r="O134" s="146"/>
    </row>
    <row r="135" spans="1:15" x14ac:dyDescent="0.25">
      <c r="A135" s="140">
        <v>130</v>
      </c>
      <c r="B135" s="142" t="s">
        <v>250</v>
      </c>
      <c r="C135" s="142" t="s">
        <v>251</v>
      </c>
      <c r="D135" s="142" t="s">
        <v>529</v>
      </c>
      <c r="E135" s="143" t="s">
        <v>525</v>
      </c>
      <c r="F135" s="144">
        <v>5961</v>
      </c>
      <c r="G135" s="144">
        <v>15676.710000000001</v>
      </c>
      <c r="H135" s="144">
        <v>22491.84</v>
      </c>
      <c r="I135" s="144">
        <v>21699.3</v>
      </c>
      <c r="J135" s="144">
        <v>20904.550000000003</v>
      </c>
      <c r="K135" s="144">
        <v>19401.11</v>
      </c>
      <c r="L135" s="144">
        <v>18774.454147</v>
      </c>
      <c r="M135" s="144">
        <v>79433</v>
      </c>
      <c r="N135" s="145">
        <f t="shared" ref="N135:N162" si="2">SUM(F135:M135)</f>
        <v>204341.96414699999</v>
      </c>
      <c r="O135" s="146"/>
    </row>
    <row r="136" spans="1:15" x14ac:dyDescent="0.25">
      <c r="A136" s="140">
        <v>131</v>
      </c>
      <c r="B136" s="142" t="s">
        <v>252</v>
      </c>
      <c r="C136" s="142" t="s">
        <v>253</v>
      </c>
      <c r="D136" s="142" t="s">
        <v>530</v>
      </c>
      <c r="E136" s="143" t="s">
        <v>525</v>
      </c>
      <c r="F136" s="144">
        <v>5961</v>
      </c>
      <c r="G136" s="144">
        <v>22264.77</v>
      </c>
      <c r="H136" s="144">
        <v>32659.199999999997</v>
      </c>
      <c r="I136" s="144">
        <v>31450.54</v>
      </c>
      <c r="J136" s="144">
        <v>30238.560000000001</v>
      </c>
      <c r="K136" s="144">
        <v>28167.48</v>
      </c>
      <c r="L136" s="144">
        <v>27257.670396000001</v>
      </c>
      <c r="M136" s="144">
        <v>84157.95</v>
      </c>
      <c r="N136" s="145">
        <f t="shared" si="2"/>
        <v>262157.17039600003</v>
      </c>
      <c r="O136" s="146"/>
    </row>
    <row r="137" spans="1:15" x14ac:dyDescent="0.25">
      <c r="A137" s="140">
        <v>132</v>
      </c>
      <c r="B137" s="142" t="s">
        <v>254</v>
      </c>
      <c r="C137" s="142" t="s">
        <v>255</v>
      </c>
      <c r="D137" s="142" t="s">
        <v>697</v>
      </c>
      <c r="E137" s="143" t="s">
        <v>532</v>
      </c>
      <c r="F137" s="144">
        <v>10755</v>
      </c>
      <c r="G137" s="144">
        <v>19663.079999999998</v>
      </c>
      <c r="H137" s="144">
        <v>37962.589999999997</v>
      </c>
      <c r="I137" s="144">
        <v>36648.729999999996</v>
      </c>
      <c r="J137" s="144">
        <v>35312.780000000006</v>
      </c>
      <c r="K137" s="144">
        <v>32777.1</v>
      </c>
      <c r="L137" s="144">
        <v>31718.399669999999</v>
      </c>
      <c r="M137" s="144">
        <v>134383.53</v>
      </c>
      <c r="N137" s="145">
        <f t="shared" si="2"/>
        <v>339221.20967000001</v>
      </c>
      <c r="O137" s="146"/>
    </row>
    <row r="138" spans="1:15" x14ac:dyDescent="0.25">
      <c r="A138" s="140">
        <v>133</v>
      </c>
      <c r="B138" s="142" t="s">
        <v>258</v>
      </c>
      <c r="C138" s="142" t="s">
        <v>259</v>
      </c>
      <c r="D138" s="142" t="s">
        <v>535</v>
      </c>
      <c r="E138" s="143" t="s">
        <v>534</v>
      </c>
      <c r="F138" s="144">
        <v>9019.5</v>
      </c>
      <c r="G138" s="144">
        <v>15863.849999999999</v>
      </c>
      <c r="H138" s="144">
        <v>29602.320000000003</v>
      </c>
      <c r="I138" s="144">
        <v>28499.15</v>
      </c>
      <c r="J138" s="144">
        <v>27385.300000000003</v>
      </c>
      <c r="K138" s="144">
        <v>25350.92</v>
      </c>
      <c r="L138" s="144">
        <v>24532.085283999997</v>
      </c>
      <c r="M138" s="144">
        <v>106987.34999999998</v>
      </c>
      <c r="N138" s="145">
        <f t="shared" si="2"/>
        <v>267240.47528399999</v>
      </c>
      <c r="O138" s="146"/>
    </row>
    <row r="139" spans="1:15" x14ac:dyDescent="0.25">
      <c r="A139" s="140">
        <v>134</v>
      </c>
      <c r="B139" s="142" t="s">
        <v>256</v>
      </c>
      <c r="C139" s="142" t="s">
        <v>257</v>
      </c>
      <c r="D139" s="142" t="s">
        <v>533</v>
      </c>
      <c r="E139" s="143" t="s">
        <v>534</v>
      </c>
      <c r="F139" s="144">
        <v>9019.5</v>
      </c>
      <c r="G139" s="144">
        <v>14365.83</v>
      </c>
      <c r="H139" s="144">
        <v>26872.18</v>
      </c>
      <c r="I139" s="144">
        <v>25871.09</v>
      </c>
      <c r="J139" s="144">
        <v>24859.95</v>
      </c>
      <c r="K139" s="144">
        <v>23013.190000000002</v>
      </c>
      <c r="L139" s="144">
        <v>22269.863963000003</v>
      </c>
      <c r="M139" s="144">
        <v>97121.260000000009</v>
      </c>
      <c r="N139" s="145">
        <f t="shared" si="2"/>
        <v>243392.86396300001</v>
      </c>
      <c r="O139" s="146"/>
    </row>
    <row r="140" spans="1:15" x14ac:dyDescent="0.25">
      <c r="A140" s="140">
        <v>135</v>
      </c>
      <c r="B140" s="142" t="s">
        <v>572</v>
      </c>
      <c r="C140" s="142" t="s">
        <v>573</v>
      </c>
      <c r="D140" s="142" t="s">
        <v>651</v>
      </c>
      <c r="E140" s="143" t="s">
        <v>571</v>
      </c>
      <c r="F140" s="144">
        <v>22921.5</v>
      </c>
      <c r="G140" s="144">
        <v>30562</v>
      </c>
      <c r="H140" s="144">
        <v>60466</v>
      </c>
      <c r="I140" s="144">
        <v>58814</v>
      </c>
      <c r="J140" s="144">
        <v>57161</v>
      </c>
      <c r="K140" s="144">
        <v>55509</v>
      </c>
      <c r="L140" s="144">
        <v>53857</v>
      </c>
      <c r="M140" s="144">
        <v>565497</v>
      </c>
      <c r="N140" s="145">
        <f t="shared" si="2"/>
        <v>904787.5</v>
      </c>
      <c r="O140" s="146"/>
    </row>
    <row r="141" spans="1:15" x14ac:dyDescent="0.25">
      <c r="A141" s="140">
        <v>136</v>
      </c>
      <c r="B141" s="142" t="s">
        <v>575</v>
      </c>
      <c r="C141" s="142" t="s">
        <v>574</v>
      </c>
      <c r="D141" s="142" t="s">
        <v>696</v>
      </c>
      <c r="E141" s="143" t="s">
        <v>571</v>
      </c>
      <c r="F141" s="144">
        <v>6439</v>
      </c>
      <c r="G141" s="144">
        <v>12879</v>
      </c>
      <c r="H141" s="144">
        <v>22461</v>
      </c>
      <c r="I141" s="144">
        <v>25126</v>
      </c>
      <c r="J141" s="144">
        <v>24419</v>
      </c>
      <c r="K141" s="144">
        <v>23714</v>
      </c>
      <c r="L141" s="144">
        <v>23008</v>
      </c>
      <c r="M141" s="144">
        <v>241547</v>
      </c>
      <c r="N141" s="145">
        <f t="shared" si="2"/>
        <v>379593</v>
      </c>
      <c r="O141" s="146"/>
    </row>
    <row r="142" spans="1:15" x14ac:dyDescent="0.25">
      <c r="A142" s="140">
        <v>137</v>
      </c>
      <c r="B142" s="142" t="s">
        <v>579</v>
      </c>
      <c r="C142" s="142" t="s">
        <v>580</v>
      </c>
      <c r="D142" s="142" t="s">
        <v>581</v>
      </c>
      <c r="E142" s="143" t="s">
        <v>582</v>
      </c>
      <c r="F142" s="144">
        <v>108787.5</v>
      </c>
      <c r="G142" s="144">
        <v>87740</v>
      </c>
      <c r="H142" s="144">
        <v>41836</v>
      </c>
      <c r="I142" s="144">
        <v>71445</v>
      </c>
      <c r="J142" s="144">
        <v>67570</v>
      </c>
      <c r="K142" s="144">
        <v>142265</v>
      </c>
      <c r="L142" s="144">
        <v>138382</v>
      </c>
      <c r="M142" s="144">
        <v>2007801</v>
      </c>
      <c r="N142" s="145">
        <f t="shared" si="2"/>
        <v>2665826.5</v>
      </c>
      <c r="O142" s="146"/>
    </row>
    <row r="143" spans="1:15" x14ac:dyDescent="0.25">
      <c r="A143" s="140">
        <v>138</v>
      </c>
      <c r="B143" s="142" t="s">
        <v>592</v>
      </c>
      <c r="C143" s="142" t="s">
        <v>593</v>
      </c>
      <c r="D143" s="142" t="s">
        <v>594</v>
      </c>
      <c r="E143" s="143" t="s">
        <v>582</v>
      </c>
      <c r="F143" s="144">
        <v>3352</v>
      </c>
      <c r="G143" s="144">
        <v>6704</v>
      </c>
      <c r="H143" s="144">
        <v>12958</v>
      </c>
      <c r="I143" s="144">
        <v>18876</v>
      </c>
      <c r="J143" s="144">
        <v>18206</v>
      </c>
      <c r="K143" s="144">
        <v>17536</v>
      </c>
      <c r="L143" s="144">
        <v>16865</v>
      </c>
      <c r="M143" s="144">
        <v>80847</v>
      </c>
      <c r="N143" s="145">
        <f t="shared" si="2"/>
        <v>175344</v>
      </c>
      <c r="O143" s="146"/>
    </row>
    <row r="144" spans="1:15" x14ac:dyDescent="0.25">
      <c r="A144" s="140">
        <v>139</v>
      </c>
      <c r="B144" s="142" t="s">
        <v>598</v>
      </c>
      <c r="C144" s="142" t="s">
        <v>612</v>
      </c>
      <c r="D144" s="138" t="s">
        <v>698</v>
      </c>
      <c r="E144" s="149">
        <v>45140</v>
      </c>
      <c r="F144" s="144">
        <v>140086</v>
      </c>
      <c r="G144" s="144">
        <v>221358</v>
      </c>
      <c r="H144" s="144">
        <v>299171</v>
      </c>
      <c r="I144" s="144">
        <v>292253</v>
      </c>
      <c r="J144" s="144">
        <v>285335</v>
      </c>
      <c r="K144" s="144">
        <v>278418</v>
      </c>
      <c r="L144" s="144">
        <v>271499</v>
      </c>
      <c r="M144" s="144">
        <v>3271746</v>
      </c>
      <c r="N144" s="145">
        <f t="shared" si="2"/>
        <v>5059866</v>
      </c>
      <c r="O144" s="146"/>
    </row>
    <row r="145" spans="1:15" x14ac:dyDescent="0.25">
      <c r="A145" s="140">
        <v>140</v>
      </c>
      <c r="B145" s="142" t="s">
        <v>613</v>
      </c>
      <c r="C145" s="142" t="s">
        <v>643</v>
      </c>
      <c r="D145" s="138" t="s">
        <v>614</v>
      </c>
      <c r="E145" s="149" t="s">
        <v>615</v>
      </c>
      <c r="F145" s="144">
        <v>1051</v>
      </c>
      <c r="G145" s="144">
        <v>2102</v>
      </c>
      <c r="H145" s="144">
        <v>5176</v>
      </c>
      <c r="I145" s="144">
        <v>8122</v>
      </c>
      <c r="J145" s="144">
        <v>7868</v>
      </c>
      <c r="K145" s="144">
        <v>7613</v>
      </c>
      <c r="L145" s="144">
        <v>7358</v>
      </c>
      <c r="M145" s="144">
        <v>25188</v>
      </c>
      <c r="N145" s="145">
        <f t="shared" si="2"/>
        <v>64478</v>
      </c>
      <c r="O145" s="146"/>
    </row>
    <row r="146" spans="1:15" x14ac:dyDescent="0.25">
      <c r="A146" s="140">
        <v>141</v>
      </c>
      <c r="B146" s="142" t="s">
        <v>562</v>
      </c>
      <c r="C146" s="142" t="s">
        <v>563</v>
      </c>
      <c r="D146" s="142" t="s">
        <v>699</v>
      </c>
      <c r="E146" s="143" t="s">
        <v>565</v>
      </c>
      <c r="F146" s="144">
        <v>1617</v>
      </c>
      <c r="G146" s="144">
        <v>4194.2199999999993</v>
      </c>
      <c r="H146" s="144">
        <v>11663.55</v>
      </c>
      <c r="I146" s="144">
        <v>13676.429999999998</v>
      </c>
      <c r="J146" s="144">
        <v>13135.220000000001</v>
      </c>
      <c r="K146" s="144">
        <v>10547</v>
      </c>
      <c r="L146" s="144">
        <v>10412</v>
      </c>
      <c r="M146" s="144">
        <v>32893</v>
      </c>
      <c r="N146" s="145">
        <f t="shared" si="2"/>
        <v>98138.42</v>
      </c>
      <c r="O146" s="146"/>
    </row>
    <row r="147" spans="1:15" x14ac:dyDescent="0.25">
      <c r="A147" s="140">
        <v>142</v>
      </c>
      <c r="B147" s="142" t="s">
        <v>566</v>
      </c>
      <c r="C147" s="142" t="s">
        <v>567</v>
      </c>
      <c r="D147" s="142" t="s">
        <v>652</v>
      </c>
      <c r="E147" s="143" t="s">
        <v>569</v>
      </c>
      <c r="F147" s="144">
        <v>1449</v>
      </c>
      <c r="G147" s="144">
        <v>3997.17</v>
      </c>
      <c r="H147" s="144">
        <v>21707.200000000004</v>
      </c>
      <c r="I147" s="144">
        <v>20799.63</v>
      </c>
      <c r="J147" s="144">
        <v>19836.690000000002</v>
      </c>
      <c r="K147" s="144">
        <v>19070</v>
      </c>
      <c r="L147" s="144">
        <v>18842</v>
      </c>
      <c r="M147" s="144">
        <v>64182</v>
      </c>
      <c r="N147" s="145">
        <f t="shared" si="2"/>
        <v>169883.69</v>
      </c>
      <c r="O147" s="146"/>
    </row>
    <row r="148" spans="1:15" x14ac:dyDescent="0.25">
      <c r="A148" s="140">
        <v>143</v>
      </c>
      <c r="B148" s="142" t="s">
        <v>572</v>
      </c>
      <c r="C148" s="142" t="s">
        <v>573</v>
      </c>
      <c r="D148" s="142" t="s">
        <v>651</v>
      </c>
      <c r="E148" s="143" t="s">
        <v>571</v>
      </c>
      <c r="F148" s="144">
        <v>15281</v>
      </c>
      <c r="G148" s="144">
        <v>30562</v>
      </c>
      <c r="H148" s="144">
        <v>60466</v>
      </c>
      <c r="I148" s="144">
        <v>58814</v>
      </c>
      <c r="J148" s="144">
        <v>57161</v>
      </c>
      <c r="K148" s="144">
        <v>55509</v>
      </c>
      <c r="L148" s="144">
        <v>53857</v>
      </c>
      <c r="M148" s="144">
        <v>565497</v>
      </c>
      <c r="N148" s="145">
        <f t="shared" si="2"/>
        <v>897147</v>
      </c>
      <c r="O148" s="146"/>
    </row>
    <row r="149" spans="1:15" x14ac:dyDescent="0.25">
      <c r="A149" s="140">
        <v>144</v>
      </c>
      <c r="B149" s="142" t="s">
        <v>575</v>
      </c>
      <c r="C149" s="142" t="s">
        <v>574</v>
      </c>
      <c r="D149" s="142" t="s">
        <v>696</v>
      </c>
      <c r="E149" s="143" t="s">
        <v>571</v>
      </c>
      <c r="F149" s="144">
        <v>6439</v>
      </c>
      <c r="G149" s="144">
        <v>12879</v>
      </c>
      <c r="H149" s="144">
        <v>22461</v>
      </c>
      <c r="I149" s="144">
        <v>25126</v>
      </c>
      <c r="J149" s="144">
        <v>24419</v>
      </c>
      <c r="K149" s="144">
        <v>23714</v>
      </c>
      <c r="L149" s="144">
        <v>23008</v>
      </c>
      <c r="M149" s="144">
        <v>241547</v>
      </c>
      <c r="N149" s="145">
        <f t="shared" si="2"/>
        <v>379593</v>
      </c>
      <c r="O149" s="146"/>
    </row>
    <row r="150" spans="1:15" x14ac:dyDescent="0.25">
      <c r="A150" s="140">
        <v>145</v>
      </c>
      <c r="B150" s="142" t="s">
        <v>583</v>
      </c>
      <c r="C150" s="142" t="s">
        <v>584</v>
      </c>
      <c r="D150" s="142" t="s">
        <v>585</v>
      </c>
      <c r="E150" s="143" t="s">
        <v>582</v>
      </c>
      <c r="F150" s="144">
        <v>5902</v>
      </c>
      <c r="G150" s="144">
        <v>6653</v>
      </c>
      <c r="H150" s="144">
        <v>12861</v>
      </c>
      <c r="I150" s="144">
        <v>18736</v>
      </c>
      <c r="J150" s="144">
        <v>17071</v>
      </c>
      <c r="K150" s="144">
        <v>17405</v>
      </c>
      <c r="L150" s="144">
        <v>16074</v>
      </c>
      <c r="M150" s="144">
        <v>81886</v>
      </c>
      <c r="N150" s="145">
        <f t="shared" si="2"/>
        <v>176588</v>
      </c>
      <c r="O150" s="146"/>
    </row>
    <row r="151" spans="1:15" x14ac:dyDescent="0.25">
      <c r="A151" s="140">
        <v>146</v>
      </c>
      <c r="B151" s="142" t="s">
        <v>586</v>
      </c>
      <c r="C151" s="142" t="s">
        <v>587</v>
      </c>
      <c r="D151" s="142" t="s">
        <v>676</v>
      </c>
      <c r="E151" s="143" t="s">
        <v>582</v>
      </c>
      <c r="F151" s="144">
        <v>3911</v>
      </c>
      <c r="G151" s="144">
        <v>7822</v>
      </c>
      <c r="H151" s="144">
        <v>13034</v>
      </c>
      <c r="I151" s="144">
        <v>17966</v>
      </c>
      <c r="J151" s="144">
        <v>17408</v>
      </c>
      <c r="K151" s="144">
        <v>16849</v>
      </c>
      <c r="L151" s="144">
        <v>16290</v>
      </c>
      <c r="M151" s="144">
        <v>126955</v>
      </c>
      <c r="N151" s="145">
        <f t="shared" si="2"/>
        <v>220235</v>
      </c>
      <c r="O151" s="146"/>
    </row>
    <row r="152" spans="1:15" x14ac:dyDescent="0.25">
      <c r="A152" s="140">
        <v>147</v>
      </c>
      <c r="B152" s="142" t="s">
        <v>589</v>
      </c>
      <c r="C152" s="142" t="s">
        <v>590</v>
      </c>
      <c r="D152" s="142" t="s">
        <v>677</v>
      </c>
      <c r="E152" s="143" t="s">
        <v>582</v>
      </c>
      <c r="F152" s="144">
        <v>5768</v>
      </c>
      <c r="G152" s="144">
        <v>7458</v>
      </c>
      <c r="H152" s="144">
        <v>12372</v>
      </c>
      <c r="I152" s="144">
        <v>17099</v>
      </c>
      <c r="J152" s="144">
        <v>16727</v>
      </c>
      <c r="K152" s="144">
        <v>16354</v>
      </c>
      <c r="L152" s="144">
        <v>15981</v>
      </c>
      <c r="M152" s="144">
        <v>200031</v>
      </c>
      <c r="N152" s="145">
        <f t="shared" si="2"/>
        <v>291790</v>
      </c>
      <c r="O152" s="146"/>
    </row>
    <row r="153" spans="1:15" x14ac:dyDescent="0.25">
      <c r="A153" s="150">
        <v>148</v>
      </c>
      <c r="B153" s="151" t="s">
        <v>595</v>
      </c>
      <c r="C153" s="151" t="s">
        <v>596</v>
      </c>
      <c r="D153" s="151" t="s">
        <v>597</v>
      </c>
      <c r="E153" s="152" t="s">
        <v>582</v>
      </c>
      <c r="F153" s="153">
        <v>2094</v>
      </c>
      <c r="G153" s="153">
        <v>4188</v>
      </c>
      <c r="H153" s="153">
        <v>8096</v>
      </c>
      <c r="I153" s="153">
        <v>11795</v>
      </c>
      <c r="J153" s="153">
        <v>11376</v>
      </c>
      <c r="K153" s="153">
        <v>10957</v>
      </c>
      <c r="L153" s="153">
        <v>10538</v>
      </c>
      <c r="M153" s="153">
        <v>50346</v>
      </c>
      <c r="N153" s="154">
        <f t="shared" si="2"/>
        <v>109390</v>
      </c>
      <c r="O153" s="146"/>
    </row>
    <row r="154" spans="1:15" ht="23.25" x14ac:dyDescent="0.25">
      <c r="A154" s="140">
        <v>149</v>
      </c>
      <c r="B154" s="141" t="s">
        <v>616</v>
      </c>
      <c r="C154" s="141" t="s">
        <v>623</v>
      </c>
      <c r="D154" s="147" t="s">
        <v>632</v>
      </c>
      <c r="E154" s="155" t="s">
        <v>630</v>
      </c>
      <c r="F154" s="144">
        <v>11713</v>
      </c>
      <c r="G154" s="144">
        <v>42071</v>
      </c>
      <c r="H154" s="144">
        <v>47468</v>
      </c>
      <c r="I154" s="144">
        <v>46378</v>
      </c>
      <c r="J154" s="144">
        <v>45289</v>
      </c>
      <c r="K154" s="144">
        <v>44200</v>
      </c>
      <c r="L154" s="144">
        <v>43110</v>
      </c>
      <c r="M154" s="144">
        <v>535340</v>
      </c>
      <c r="N154" s="145">
        <f t="shared" si="2"/>
        <v>815569</v>
      </c>
      <c r="O154" s="146"/>
    </row>
    <row r="155" spans="1:15" x14ac:dyDescent="0.25">
      <c r="A155" s="140">
        <v>150</v>
      </c>
      <c r="B155" s="141" t="s">
        <v>617</v>
      </c>
      <c r="C155" s="141" t="s">
        <v>624</v>
      </c>
      <c r="D155" s="147" t="s">
        <v>633</v>
      </c>
      <c r="E155" s="155" t="s">
        <v>631</v>
      </c>
      <c r="F155" s="144">
        <v>2813</v>
      </c>
      <c r="G155" s="144">
        <v>16880</v>
      </c>
      <c r="H155" s="144">
        <v>29512</v>
      </c>
      <c r="I155" s="144">
        <v>41590</v>
      </c>
      <c r="J155" s="144">
        <v>40483</v>
      </c>
      <c r="K155" s="144">
        <v>39376</v>
      </c>
      <c r="L155" s="144">
        <v>38269</v>
      </c>
      <c r="M155" s="144">
        <v>341536</v>
      </c>
      <c r="N155" s="145">
        <f t="shared" si="2"/>
        <v>550459</v>
      </c>
      <c r="O155" s="146"/>
    </row>
    <row r="156" spans="1:15" ht="23.25" x14ac:dyDescent="0.25">
      <c r="A156" s="140">
        <v>151</v>
      </c>
      <c r="B156" s="141" t="s">
        <v>618</v>
      </c>
      <c r="C156" s="141" t="s">
        <v>625</v>
      </c>
      <c r="D156" s="147" t="s">
        <v>634</v>
      </c>
      <c r="E156" s="155" t="s">
        <v>631</v>
      </c>
      <c r="F156" s="144">
        <v>21719</v>
      </c>
      <c r="G156" s="144">
        <v>43437</v>
      </c>
      <c r="H156" s="144">
        <v>64961</v>
      </c>
      <c r="I156" s="144">
        <v>85412</v>
      </c>
      <c r="J156" s="144">
        <v>83267</v>
      </c>
      <c r="K156" s="144">
        <v>81122</v>
      </c>
      <c r="L156" s="144">
        <v>78977</v>
      </c>
      <c r="M156" s="144">
        <v>961142</v>
      </c>
      <c r="N156" s="145">
        <f t="shared" si="2"/>
        <v>1420037</v>
      </c>
      <c r="O156" s="146"/>
    </row>
    <row r="157" spans="1:15" x14ac:dyDescent="0.25">
      <c r="A157" s="140">
        <v>152</v>
      </c>
      <c r="B157" s="141" t="s">
        <v>619</v>
      </c>
      <c r="C157" s="141" t="s">
        <v>626</v>
      </c>
      <c r="D157" s="147" t="s">
        <v>635</v>
      </c>
      <c r="E157" s="155" t="s">
        <v>631</v>
      </c>
      <c r="F157" s="144">
        <v>1567</v>
      </c>
      <c r="G157" s="144">
        <v>9188</v>
      </c>
      <c r="H157" s="144">
        <v>20183</v>
      </c>
      <c r="I157" s="144">
        <v>30500</v>
      </c>
      <c r="J157" s="144">
        <v>29582</v>
      </c>
      <c r="K157" s="144">
        <v>26644</v>
      </c>
      <c r="L157" s="144">
        <v>27747</v>
      </c>
      <c r="M157" s="144">
        <v>144042</v>
      </c>
      <c r="N157" s="145">
        <f t="shared" si="2"/>
        <v>289453</v>
      </c>
      <c r="O157" s="146"/>
    </row>
    <row r="158" spans="1:15" x14ac:dyDescent="0.25">
      <c r="A158" s="140">
        <v>153</v>
      </c>
      <c r="B158" s="141" t="s">
        <v>620</v>
      </c>
      <c r="C158" s="141" t="s">
        <v>627</v>
      </c>
      <c r="D158" s="142" t="s">
        <v>636</v>
      </c>
      <c r="E158" s="155" t="s">
        <v>631</v>
      </c>
      <c r="F158" s="144">
        <v>1469</v>
      </c>
      <c r="G158" s="144">
        <v>8816</v>
      </c>
      <c r="H158" s="144">
        <v>19294</v>
      </c>
      <c r="I158" s="144">
        <v>29325</v>
      </c>
      <c r="J158" s="144">
        <v>28433</v>
      </c>
      <c r="K158" s="144">
        <v>27540</v>
      </c>
      <c r="L158" s="144">
        <v>26648</v>
      </c>
      <c r="M158" s="144">
        <v>128408</v>
      </c>
      <c r="N158" s="145">
        <f t="shared" si="2"/>
        <v>269933</v>
      </c>
      <c r="O158" s="146"/>
    </row>
    <row r="159" spans="1:15" x14ac:dyDescent="0.25">
      <c r="A159" s="140">
        <v>154</v>
      </c>
      <c r="B159" s="141" t="s">
        <v>621</v>
      </c>
      <c r="C159" s="141" t="s">
        <v>628</v>
      </c>
      <c r="D159" s="147" t="s">
        <v>637</v>
      </c>
      <c r="E159" s="155" t="s">
        <v>631</v>
      </c>
      <c r="F159" s="144">
        <v>2790</v>
      </c>
      <c r="G159" s="144">
        <v>53946</v>
      </c>
      <c r="H159" s="144">
        <v>84532</v>
      </c>
      <c r="I159" s="144">
        <v>81071</v>
      </c>
      <c r="J159" s="144">
        <v>77610</v>
      </c>
      <c r="K159" s="144">
        <v>74149</v>
      </c>
      <c r="L159" s="144">
        <v>70688</v>
      </c>
      <c r="M159" s="144">
        <v>51056</v>
      </c>
      <c r="N159" s="145">
        <f t="shared" si="2"/>
        <v>495842</v>
      </c>
      <c r="O159" s="146"/>
    </row>
    <row r="160" spans="1:15" ht="23.25" x14ac:dyDescent="0.25">
      <c r="A160" s="140">
        <v>155</v>
      </c>
      <c r="B160" s="141" t="s">
        <v>622</v>
      </c>
      <c r="C160" s="141" t="s">
        <v>629</v>
      </c>
      <c r="D160" s="147" t="s">
        <v>638</v>
      </c>
      <c r="E160" s="155" t="s">
        <v>631</v>
      </c>
      <c r="F160" s="144">
        <v>1541</v>
      </c>
      <c r="G160" s="144">
        <v>9249</v>
      </c>
      <c r="H160" s="144">
        <v>19845</v>
      </c>
      <c r="I160" s="144">
        <v>29990</v>
      </c>
      <c r="J160" s="144">
        <v>29088</v>
      </c>
      <c r="K160" s="144">
        <v>28185</v>
      </c>
      <c r="L160" s="144">
        <v>27283</v>
      </c>
      <c r="M160" s="144">
        <v>130945</v>
      </c>
      <c r="N160" s="145">
        <f t="shared" si="2"/>
        <v>276126</v>
      </c>
      <c r="O160" s="146"/>
    </row>
    <row r="161" spans="1:16" x14ac:dyDescent="0.25">
      <c r="A161" s="140">
        <v>156</v>
      </c>
      <c r="B161" s="141" t="s">
        <v>641</v>
      </c>
      <c r="C161" s="141" t="s">
        <v>626</v>
      </c>
      <c r="D161" s="142" t="s">
        <v>639</v>
      </c>
      <c r="E161" s="143" t="s">
        <v>640</v>
      </c>
      <c r="F161" s="144">
        <v>3659</v>
      </c>
      <c r="G161" s="144">
        <v>21959</v>
      </c>
      <c r="H161" s="144">
        <v>45575</v>
      </c>
      <c r="I161" s="144">
        <v>68120</v>
      </c>
      <c r="J161" s="144">
        <v>65978</v>
      </c>
      <c r="K161" s="144">
        <v>63836</v>
      </c>
      <c r="L161" s="144">
        <v>61693</v>
      </c>
      <c r="M161" s="144">
        <v>313340</v>
      </c>
      <c r="N161" s="145">
        <f t="shared" si="2"/>
        <v>644160</v>
      </c>
      <c r="O161" s="146"/>
    </row>
    <row r="162" spans="1:16" ht="23.25" x14ac:dyDescent="0.25">
      <c r="A162" s="140">
        <v>157</v>
      </c>
      <c r="B162" s="141" t="s">
        <v>642</v>
      </c>
      <c r="C162" s="141" t="s">
        <v>624</v>
      </c>
      <c r="D162" s="147" t="s">
        <v>653</v>
      </c>
      <c r="E162" s="143" t="s">
        <v>640</v>
      </c>
      <c r="F162" s="144">
        <v>2659</v>
      </c>
      <c r="G162" s="144">
        <v>15956</v>
      </c>
      <c r="H162" s="144">
        <v>33119</v>
      </c>
      <c r="I162" s="144">
        <v>49502</v>
      </c>
      <c r="J162" s="144">
        <v>47945</v>
      </c>
      <c r="K162" s="144">
        <v>46389</v>
      </c>
      <c r="L162" s="144">
        <v>44832</v>
      </c>
      <c r="M162" s="144">
        <v>227676</v>
      </c>
      <c r="N162" s="145">
        <f t="shared" si="2"/>
        <v>468078</v>
      </c>
      <c r="O162" s="146"/>
    </row>
    <row r="163" spans="1:16" hidden="1" x14ac:dyDescent="0.25">
      <c r="A163" s="156"/>
      <c r="B163" s="156"/>
      <c r="C163" s="156"/>
      <c r="D163" s="156"/>
      <c r="E163" s="156"/>
      <c r="F163" s="156"/>
      <c r="G163" s="156"/>
      <c r="H163" s="156"/>
      <c r="I163" s="156"/>
      <c r="J163" s="156"/>
      <c r="K163" s="156"/>
      <c r="L163" s="156"/>
      <c r="M163" s="156"/>
      <c r="N163" s="156"/>
    </row>
    <row r="164" spans="1:16" hidden="1" x14ac:dyDescent="0.25">
      <c r="A164" s="157"/>
      <c r="B164" s="158"/>
      <c r="C164" s="158"/>
      <c r="D164" s="157" t="s">
        <v>544</v>
      </c>
      <c r="E164" s="157" t="s">
        <v>544</v>
      </c>
      <c r="F164" s="159">
        <f>SUM(F6:F163)</f>
        <v>7310519.7350000013</v>
      </c>
      <c r="G164" s="159">
        <f t="shared" ref="G164:N164" si="3">SUM(G6:G163)</f>
        <v>5780785.2899999972</v>
      </c>
      <c r="H164" s="159">
        <f t="shared" si="3"/>
        <v>5669153.6400000006</v>
      </c>
      <c r="I164" s="159">
        <f t="shared" si="3"/>
        <v>5491770.6200000001</v>
      </c>
      <c r="J164" s="159">
        <f t="shared" si="3"/>
        <v>5017605.0199999986</v>
      </c>
      <c r="K164" s="159">
        <f t="shared" si="3"/>
        <v>4621698.4400000013</v>
      </c>
      <c r="L164" s="159">
        <f t="shared" si="3"/>
        <v>4313631.1586469989</v>
      </c>
      <c r="M164" s="159">
        <f t="shared" si="3"/>
        <v>29783586.270000007</v>
      </c>
      <c r="N164" s="159">
        <f t="shared" si="3"/>
        <v>67988750.173646986</v>
      </c>
    </row>
    <row r="165" spans="1:16" hidden="1" x14ac:dyDescent="0.25">
      <c r="A165" s="186" t="s">
        <v>545</v>
      </c>
      <c r="B165" s="186"/>
      <c r="C165" s="186"/>
      <c r="D165" s="186"/>
      <c r="E165" s="160"/>
      <c r="F165" s="161"/>
      <c r="G165" s="160"/>
      <c r="H165" s="160"/>
      <c r="I165" s="160"/>
      <c r="J165" s="160"/>
      <c r="K165" s="160"/>
      <c r="L165" s="160"/>
      <c r="M165" s="160"/>
      <c r="N165" s="160"/>
    </row>
    <row r="166" spans="1:16" hidden="1" x14ac:dyDescent="0.25">
      <c r="A166" s="162"/>
      <c r="B166" s="163" t="s">
        <v>548</v>
      </c>
      <c r="C166" s="160"/>
      <c r="D166" s="160" t="s">
        <v>546</v>
      </c>
      <c r="E166" s="160"/>
      <c r="F166" s="161"/>
      <c r="G166" s="161"/>
      <c r="H166" s="161"/>
      <c r="I166" s="161"/>
      <c r="J166" s="161"/>
      <c r="K166" s="161"/>
      <c r="L166" s="161"/>
      <c r="M166" s="161"/>
      <c r="N166" s="164">
        <f>F166+G166+H166+I166+J166+K166+L166+M166</f>
        <v>0</v>
      </c>
    </row>
    <row r="167" spans="1:16" hidden="1" x14ac:dyDescent="0.25">
      <c r="A167" s="162"/>
      <c r="B167" s="160"/>
      <c r="C167" s="160"/>
      <c r="D167" s="160"/>
      <c r="E167" s="160"/>
      <c r="F167" s="160"/>
      <c r="G167" s="160"/>
      <c r="H167" s="160"/>
      <c r="I167" s="160"/>
      <c r="J167" s="160"/>
      <c r="K167" s="160"/>
      <c r="L167" s="160"/>
      <c r="M167" s="160"/>
      <c r="N167" s="160"/>
    </row>
    <row r="168" spans="1:16" x14ac:dyDescent="0.25">
      <c r="A168" s="157"/>
      <c r="B168" s="165" t="s">
        <v>555</v>
      </c>
      <c r="C168" s="165"/>
      <c r="D168" s="137"/>
      <c r="E168" s="158"/>
      <c r="F168" s="159">
        <f>F164+F166</f>
        <v>7310519.7350000013</v>
      </c>
      <c r="G168" s="159">
        <f t="shared" ref="G168:M168" si="4">G164+G166</f>
        <v>5780785.2899999972</v>
      </c>
      <c r="H168" s="159">
        <f t="shared" si="4"/>
        <v>5669153.6400000006</v>
      </c>
      <c r="I168" s="159">
        <f t="shared" si="4"/>
        <v>5491770.6200000001</v>
      </c>
      <c r="J168" s="159">
        <f t="shared" si="4"/>
        <v>5017605.0199999986</v>
      </c>
      <c r="K168" s="159">
        <f t="shared" si="4"/>
        <v>4621698.4400000013</v>
      </c>
      <c r="L168" s="159">
        <f t="shared" si="4"/>
        <v>4313631.1586469989</v>
      </c>
      <c r="M168" s="159">
        <f t="shared" si="4"/>
        <v>29783586.270000007</v>
      </c>
      <c r="N168" s="159">
        <f>SUM(F168:M168)</f>
        <v>67988750.173647016</v>
      </c>
      <c r="O168" s="146"/>
      <c r="P168" s="146"/>
    </row>
    <row r="169" spans="1:16" hidden="1" x14ac:dyDescent="0.25">
      <c r="A169" s="90"/>
      <c r="B169" s="166"/>
      <c r="C169" s="166"/>
      <c r="D169" s="166"/>
      <c r="E169" s="167"/>
      <c r="F169" s="166"/>
      <c r="G169" s="167"/>
      <c r="H169" s="167"/>
      <c r="I169" s="167"/>
      <c r="J169" s="167"/>
      <c r="K169" s="167"/>
      <c r="L169" s="167"/>
      <c r="M169" s="167"/>
      <c r="N169" s="167"/>
    </row>
    <row r="170" spans="1:16" x14ac:dyDescent="0.25">
      <c r="A170" s="90"/>
      <c r="B170" s="70" t="s">
        <v>547</v>
      </c>
      <c r="C170" s="166"/>
      <c r="D170" s="166"/>
      <c r="E170" s="167"/>
      <c r="F170" s="166"/>
      <c r="G170" s="167"/>
      <c r="H170" s="167"/>
      <c r="I170" s="167"/>
      <c r="J170" s="167"/>
      <c r="K170" s="167"/>
      <c r="L170" s="167"/>
      <c r="M170" s="167"/>
      <c r="N170" s="167"/>
    </row>
    <row r="171" spans="1:16" ht="25.5" x14ac:dyDescent="0.25">
      <c r="A171" s="90"/>
      <c r="B171" s="71"/>
      <c r="C171" s="71"/>
      <c r="D171" s="71" t="s">
        <v>650</v>
      </c>
      <c r="E171" s="72" t="s">
        <v>550</v>
      </c>
      <c r="F171" s="73">
        <v>5923</v>
      </c>
      <c r="G171" s="73">
        <v>4784</v>
      </c>
      <c r="H171" s="73">
        <v>4646</v>
      </c>
      <c r="I171" s="73">
        <v>4508</v>
      </c>
      <c r="J171" s="73">
        <v>4369</v>
      </c>
      <c r="K171" s="73">
        <v>4264</v>
      </c>
      <c r="L171" s="73">
        <v>0</v>
      </c>
      <c r="M171" s="73">
        <v>0</v>
      </c>
      <c r="N171" s="74">
        <f>SUM(F171:M171)</f>
        <v>28494</v>
      </c>
    </row>
    <row r="172" spans="1:16" ht="25.5" x14ac:dyDescent="0.25">
      <c r="A172" s="90"/>
      <c r="B172" s="71" t="s">
        <v>552</v>
      </c>
      <c r="C172" s="71" t="s">
        <v>551</v>
      </c>
      <c r="D172" s="71" t="s">
        <v>553</v>
      </c>
      <c r="E172" s="72" t="s">
        <v>554</v>
      </c>
      <c r="F172" s="73">
        <v>953</v>
      </c>
      <c r="G172" s="73">
        <v>922</v>
      </c>
      <c r="H172" s="73">
        <v>892</v>
      </c>
      <c r="I172" s="73">
        <v>861</v>
      </c>
      <c r="J172" s="73">
        <v>831</v>
      </c>
      <c r="K172" s="73">
        <v>800</v>
      </c>
      <c r="L172" s="73">
        <v>768</v>
      </c>
      <c r="M172" s="73">
        <v>1084</v>
      </c>
      <c r="N172" s="75">
        <f>SUM(F172:M172)</f>
        <v>7111</v>
      </c>
    </row>
    <row r="173" spans="1:16" x14ac:dyDescent="0.25">
      <c r="A173" s="168"/>
      <c r="B173" s="76" t="s">
        <v>556</v>
      </c>
      <c r="C173" s="169"/>
      <c r="D173" s="68" t="s">
        <v>544</v>
      </c>
      <c r="E173" s="68" t="s">
        <v>544</v>
      </c>
      <c r="F173" s="77">
        <f>F171+F172</f>
        <v>6876</v>
      </c>
      <c r="G173" s="77">
        <f t="shared" ref="G173:M173" si="5">G171+G172</f>
        <v>5706</v>
      </c>
      <c r="H173" s="77">
        <f t="shared" si="5"/>
        <v>5538</v>
      </c>
      <c r="I173" s="77">
        <f t="shared" si="5"/>
        <v>5369</v>
      </c>
      <c r="J173" s="77">
        <f t="shared" si="5"/>
        <v>5200</v>
      </c>
      <c r="K173" s="77">
        <f t="shared" si="5"/>
        <v>5064</v>
      </c>
      <c r="L173" s="77">
        <f t="shared" si="5"/>
        <v>768</v>
      </c>
      <c r="M173" s="77">
        <f t="shared" si="5"/>
        <v>1084</v>
      </c>
      <c r="N173" s="78">
        <f>SUM(F173:M173)</f>
        <v>35605</v>
      </c>
    </row>
    <row r="174" spans="1:16" x14ac:dyDescent="0.25">
      <c r="A174" s="170"/>
      <c r="B174" s="187" t="s">
        <v>557</v>
      </c>
      <c r="C174" s="187"/>
      <c r="D174" s="187"/>
      <c r="E174" s="171"/>
      <c r="F174" s="172">
        <f>F168+F173</f>
        <v>7317395.7350000013</v>
      </c>
      <c r="G174" s="172">
        <f>G168+G173</f>
        <v>5786491.2899999972</v>
      </c>
      <c r="H174" s="172">
        <f t="shared" ref="H174:M174" si="6">H168+H173</f>
        <v>5674691.6400000006</v>
      </c>
      <c r="I174" s="172">
        <f t="shared" si="6"/>
        <v>5497139.6200000001</v>
      </c>
      <c r="J174" s="172">
        <f t="shared" si="6"/>
        <v>5022805.0199999986</v>
      </c>
      <c r="K174" s="172">
        <f t="shared" si="6"/>
        <v>4626762.4400000013</v>
      </c>
      <c r="L174" s="172">
        <f t="shared" si="6"/>
        <v>4314399.1586469989</v>
      </c>
      <c r="M174" s="172">
        <f t="shared" si="6"/>
        <v>29784670.270000007</v>
      </c>
      <c r="N174" s="172">
        <f>SUM(F174:M174)</f>
        <v>68024355.173647016</v>
      </c>
    </row>
    <row r="175" spans="1:16" x14ac:dyDescent="0.25">
      <c r="A175" s="90"/>
      <c r="B175" s="166"/>
      <c r="C175" s="166"/>
      <c r="D175" s="166"/>
      <c r="E175" s="167"/>
      <c r="F175" s="166"/>
      <c r="G175" s="167"/>
      <c r="H175" s="167"/>
      <c r="I175" s="167"/>
      <c r="J175" s="167"/>
      <c r="K175" s="167"/>
      <c r="L175" s="167"/>
      <c r="M175" s="167"/>
      <c r="N175" s="167"/>
    </row>
    <row r="176" spans="1:16" x14ac:dyDescent="0.25">
      <c r="A176" s="90"/>
      <c r="B176" s="178" t="s">
        <v>558</v>
      </c>
      <c r="C176" s="179"/>
      <c r="D176" s="180"/>
      <c r="E176" s="82"/>
      <c r="F176" s="83">
        <f>F174/$N$178*100</f>
        <v>13.40630326184449</v>
      </c>
      <c r="G176" s="83">
        <f t="shared" ref="G176:L176" si="7">G174/$N$178*100</f>
        <v>10.60151177620595</v>
      </c>
      <c r="H176" s="83">
        <f t="shared" si="7"/>
        <v>10.396682070837004</v>
      </c>
      <c r="I176" s="83">
        <f t="shared" si="7"/>
        <v>10.071386527029288</v>
      </c>
      <c r="J176" s="83">
        <f t="shared" si="7"/>
        <v>9.2023514597075238</v>
      </c>
      <c r="K176" s="83">
        <f t="shared" si="7"/>
        <v>8.4767562993026484</v>
      </c>
      <c r="L176" s="83">
        <f t="shared" si="7"/>
        <v>7.9044711545136055</v>
      </c>
      <c r="M176" s="84" t="s">
        <v>544</v>
      </c>
      <c r="N176" s="84" t="s">
        <v>544</v>
      </c>
    </row>
    <row r="177" spans="1:14" x14ac:dyDescent="0.25">
      <c r="A177" s="102"/>
      <c r="B177" s="42"/>
      <c r="C177" s="42"/>
      <c r="D177" s="42"/>
      <c r="E177" s="43"/>
      <c r="F177" s="43"/>
      <c r="G177" s="54"/>
      <c r="H177" s="54"/>
      <c r="I177" s="54"/>
      <c r="J177" s="54"/>
      <c r="K177" s="54"/>
      <c r="L177" s="54"/>
      <c r="M177" s="54"/>
      <c r="N177" s="54"/>
    </row>
    <row r="178" spans="1:14" ht="40.5" customHeight="1" x14ac:dyDescent="0.25">
      <c r="A178" s="102"/>
      <c r="B178" s="175" t="s">
        <v>559</v>
      </c>
      <c r="C178" s="176"/>
      <c r="D178" s="176"/>
      <c r="E178" s="177"/>
      <c r="F178" s="40"/>
      <c r="G178" s="45"/>
      <c r="H178" s="45"/>
      <c r="I178" s="45"/>
      <c r="J178" s="45"/>
      <c r="K178" s="45"/>
      <c r="L178" s="45"/>
      <c r="M178" s="45"/>
      <c r="N178" s="47">
        <v>54581756</v>
      </c>
    </row>
    <row r="179" spans="1:14" x14ac:dyDescent="0.25">
      <c r="A179" s="102"/>
      <c r="E179" s="15"/>
      <c r="G179" s="15"/>
      <c r="H179" s="15"/>
      <c r="I179" s="15"/>
      <c r="J179" s="15"/>
      <c r="K179" s="15"/>
      <c r="L179" s="15"/>
      <c r="M179" s="15"/>
      <c r="N179" s="48"/>
    </row>
  </sheetData>
  <mergeCells count="12">
    <mergeCell ref="L1:N1"/>
    <mergeCell ref="A165:D165"/>
    <mergeCell ref="B174:D174"/>
    <mergeCell ref="B176:D176"/>
    <mergeCell ref="B178:E178"/>
    <mergeCell ref="B2:L2"/>
    <mergeCell ref="A4:A5"/>
    <mergeCell ref="B4:B5"/>
    <mergeCell ref="C4:C5"/>
    <mergeCell ref="D4:D5"/>
    <mergeCell ref="E4:E5"/>
    <mergeCell ref="F4:N4"/>
  </mergeCells>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09_2023</vt:lpstr>
      <vt:lpstr>12_10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Aivija Zerne</dc:creator>
  <cp:lastModifiedBy>Sanita Djadela</cp:lastModifiedBy>
  <cp:lastPrinted>2023-06-06T11:02:07Z</cp:lastPrinted>
  <dcterms:created xsi:type="dcterms:W3CDTF">2023-02-08T21:30:38Z</dcterms:created>
  <dcterms:modified xsi:type="dcterms:W3CDTF">2023-10-20T11:13:17Z</dcterms:modified>
</cp:coreProperties>
</file>