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80" windowHeight="14640"/>
  </bookViews>
  <sheets>
    <sheet name="1.pielikums" sheetId="4" r:id="rId1"/>
    <sheet name="nemainās" sheetId="3" state="hidden" r:id="rId2"/>
    <sheet name="2.pielikums" sheetId="2" r:id="rId3"/>
    <sheet name="3.pielikums" sheetId="1" r:id="rId4"/>
  </sheets>
  <definedNames>
    <definedName name="_xlnm.Print_Area" localSheetId="3">'3.pielikums'!$A$11:$I$326</definedName>
  </definedNames>
  <calcPr calcId="145621"/>
</workbook>
</file>

<file path=xl/calcChain.xml><?xml version="1.0" encoding="utf-8"?>
<calcChain xmlns="http://schemas.openxmlformats.org/spreadsheetml/2006/main">
  <c r="E73" i="4" l="1"/>
  <c r="I322" i="1"/>
  <c r="H322" i="1"/>
  <c r="G322" i="1"/>
  <c r="F322" i="1"/>
  <c r="E322" i="1"/>
  <c r="D322" i="1"/>
  <c r="C322" i="1"/>
  <c r="B322" i="1"/>
  <c r="B321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B308" i="1"/>
  <c r="B307" i="1"/>
  <c r="B306" i="1"/>
  <c r="B305" i="1"/>
  <c r="B304" i="1"/>
  <c r="B303" i="1"/>
  <c r="B302" i="1"/>
  <c r="B301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B281" i="1"/>
  <c r="B280" i="1"/>
  <c r="B279" i="1"/>
  <c r="B278" i="1"/>
  <c r="B277" i="1"/>
  <c r="B276" i="1"/>
  <c r="B275" i="1"/>
  <c r="B274" i="1"/>
  <c r="B273" i="1"/>
  <c r="B272" i="1"/>
  <c r="B271" i="1"/>
  <c r="B270" i="1"/>
  <c r="B269" i="1"/>
  <c r="B268" i="1"/>
  <c r="B267" i="1"/>
  <c r="G266" i="1"/>
  <c r="B266" i="1"/>
  <c r="B265" i="1"/>
  <c r="B264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C177" i="1"/>
  <c r="B177" i="1"/>
  <c r="C176" i="1"/>
  <c r="B176" i="1"/>
  <c r="C175" i="1"/>
  <c r="B175" i="1"/>
  <c r="C174" i="1"/>
  <c r="B174" i="1"/>
  <c r="C173" i="1"/>
  <c r="B173" i="1"/>
  <c r="C172" i="1"/>
  <c r="B172" i="1"/>
  <c r="C171" i="1"/>
  <c r="B171" i="1"/>
  <c r="C170" i="1"/>
  <c r="B170" i="1"/>
  <c r="C169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I126" i="1"/>
  <c r="H126" i="1"/>
  <c r="G126" i="1"/>
  <c r="F126" i="1"/>
  <c r="E126" i="1"/>
  <c r="D126" i="1"/>
  <c r="C126" i="1"/>
  <c r="B126" i="1"/>
  <c r="I125" i="1"/>
  <c r="H125" i="1"/>
  <c r="G125" i="1"/>
  <c r="F125" i="1"/>
  <c r="E125" i="1"/>
  <c r="D125" i="1"/>
  <c r="C125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G23" i="1"/>
  <c r="B23" i="1"/>
  <c r="I22" i="1"/>
  <c r="H22" i="1"/>
  <c r="G22" i="1"/>
  <c r="F22" i="1"/>
  <c r="E22" i="1"/>
  <c r="D22" i="1"/>
  <c r="C22" i="1"/>
  <c r="B22" i="1"/>
  <c r="B21" i="1"/>
  <c r="B20" i="1"/>
  <c r="B19" i="1"/>
  <c r="B18" i="1"/>
  <c r="H340" i="2"/>
  <c r="D340" i="2"/>
  <c r="H339" i="2"/>
  <c r="D339" i="2"/>
  <c r="H338" i="2"/>
  <c r="D338" i="2"/>
  <c r="H337" i="2"/>
  <c r="D337" i="2"/>
  <c r="H336" i="2"/>
  <c r="D336" i="2"/>
  <c r="H335" i="2"/>
  <c r="E335" i="2"/>
  <c r="D335" i="2"/>
  <c r="H334" i="2"/>
  <c r="E334" i="2"/>
  <c r="D334" i="2"/>
  <c r="H333" i="2"/>
  <c r="E333" i="2"/>
  <c r="D333" i="2"/>
  <c r="H332" i="2"/>
  <c r="D332" i="2"/>
  <c r="H331" i="2"/>
  <c r="E331" i="2"/>
  <c r="D331" i="2"/>
  <c r="H330" i="2"/>
  <c r="F330" i="2"/>
  <c r="E330" i="2"/>
  <c r="D330" i="2"/>
  <c r="H329" i="2"/>
  <c r="F329" i="2"/>
  <c r="E329" i="2"/>
  <c r="D329" i="2"/>
  <c r="H328" i="2"/>
  <c r="F328" i="2"/>
  <c r="E328" i="2"/>
  <c r="D328" i="2"/>
  <c r="H327" i="2"/>
  <c r="F327" i="2"/>
  <c r="E327" i="2"/>
  <c r="D327" i="2"/>
  <c r="H326" i="2"/>
  <c r="E326" i="2"/>
  <c r="D326" i="2"/>
  <c r="H325" i="2"/>
  <c r="E325" i="2"/>
  <c r="D325" i="2"/>
  <c r="H324" i="2"/>
  <c r="D324" i="2"/>
  <c r="H323" i="2"/>
  <c r="F323" i="2"/>
  <c r="D323" i="2"/>
  <c r="H322" i="2"/>
  <c r="E322" i="2"/>
  <c r="D322" i="2"/>
  <c r="H321" i="2"/>
  <c r="G321" i="2"/>
  <c r="F321" i="2"/>
  <c r="E321" i="2"/>
  <c r="D321" i="2"/>
  <c r="C321" i="2"/>
  <c r="H320" i="2"/>
  <c r="D320" i="2"/>
  <c r="H319" i="2"/>
  <c r="G319" i="2"/>
  <c r="F319" i="2"/>
  <c r="E319" i="2"/>
  <c r="D319" i="2"/>
  <c r="C319" i="2"/>
  <c r="H318" i="2"/>
  <c r="D318" i="2"/>
  <c r="H317" i="2"/>
  <c r="D317" i="2"/>
  <c r="H316" i="2"/>
  <c r="D316" i="2"/>
  <c r="H315" i="2"/>
  <c r="D315" i="2"/>
  <c r="H314" i="2"/>
  <c r="D314" i="2"/>
  <c r="H313" i="2"/>
  <c r="D313" i="2"/>
  <c r="H312" i="2"/>
  <c r="D312" i="2"/>
  <c r="H311" i="2"/>
  <c r="D311" i="2"/>
  <c r="H310" i="2"/>
  <c r="D310" i="2"/>
  <c r="H309" i="2"/>
  <c r="D309" i="2"/>
  <c r="H308" i="2"/>
  <c r="D308" i="2"/>
  <c r="H307" i="2"/>
  <c r="D307" i="2"/>
  <c r="H306" i="2"/>
  <c r="D306" i="2"/>
  <c r="H305" i="2"/>
  <c r="D305" i="2"/>
  <c r="H304" i="2"/>
  <c r="D304" i="2"/>
  <c r="H303" i="2"/>
  <c r="D303" i="2"/>
  <c r="H302" i="2"/>
  <c r="D302" i="2"/>
  <c r="H301" i="2"/>
  <c r="G301" i="2"/>
  <c r="D301" i="2"/>
  <c r="H300" i="2"/>
  <c r="D300" i="2"/>
  <c r="H299" i="2"/>
  <c r="D299" i="2"/>
  <c r="H298" i="2"/>
  <c r="D298" i="2"/>
  <c r="H297" i="2"/>
  <c r="D297" i="2"/>
  <c r="H296" i="2"/>
  <c r="D296" i="2"/>
  <c r="H295" i="2"/>
  <c r="D295" i="2"/>
  <c r="H294" i="2"/>
  <c r="D294" i="2"/>
  <c r="H293" i="2"/>
  <c r="D293" i="2"/>
  <c r="H292" i="2"/>
  <c r="D292" i="2"/>
  <c r="H291" i="2"/>
  <c r="D291" i="2"/>
  <c r="H290" i="2"/>
  <c r="D290" i="2"/>
  <c r="H289" i="2"/>
  <c r="D289" i="2"/>
  <c r="H288" i="2"/>
  <c r="D288" i="2"/>
  <c r="H287" i="2"/>
  <c r="D287" i="2"/>
  <c r="H286" i="2"/>
  <c r="E286" i="2"/>
  <c r="D286" i="2"/>
  <c r="H285" i="2"/>
  <c r="G285" i="2"/>
  <c r="F285" i="2"/>
  <c r="E285" i="2"/>
  <c r="D285" i="2"/>
  <c r="C285" i="2"/>
  <c r="H284" i="2"/>
  <c r="D284" i="2"/>
  <c r="H283" i="2"/>
  <c r="G283" i="2"/>
  <c r="F283" i="2"/>
  <c r="E283" i="2"/>
  <c r="D283" i="2"/>
  <c r="C283" i="2"/>
  <c r="H282" i="2"/>
  <c r="F282" i="2"/>
  <c r="E282" i="2"/>
  <c r="D282" i="2"/>
  <c r="H281" i="2"/>
  <c r="E281" i="2"/>
  <c r="D281" i="2"/>
  <c r="H280" i="2"/>
  <c r="F280" i="2"/>
  <c r="E280" i="2"/>
  <c r="D280" i="2"/>
  <c r="H279" i="2"/>
  <c r="F279" i="2"/>
  <c r="E279" i="2"/>
  <c r="D279" i="2"/>
  <c r="H278" i="2"/>
  <c r="F278" i="2"/>
  <c r="E278" i="2"/>
  <c r="D278" i="2"/>
  <c r="H277" i="2"/>
  <c r="F277" i="2"/>
  <c r="E277" i="2"/>
  <c r="D277" i="2"/>
  <c r="H276" i="2"/>
  <c r="F276" i="2"/>
  <c r="E276" i="2"/>
  <c r="D276" i="2"/>
  <c r="H275" i="2"/>
  <c r="G275" i="2"/>
  <c r="F275" i="2"/>
  <c r="E275" i="2"/>
  <c r="D275" i="2"/>
  <c r="C275" i="2"/>
  <c r="H274" i="2"/>
  <c r="F274" i="2"/>
  <c r="E274" i="2"/>
  <c r="D274" i="2"/>
  <c r="H273" i="2"/>
  <c r="F273" i="2"/>
  <c r="E273" i="2"/>
  <c r="D273" i="2"/>
  <c r="H272" i="2"/>
  <c r="F272" i="2"/>
  <c r="E272" i="2"/>
  <c r="D272" i="2"/>
  <c r="H271" i="2"/>
  <c r="F271" i="2"/>
  <c r="E271" i="2"/>
  <c r="D271" i="2"/>
  <c r="H270" i="2"/>
  <c r="F270" i="2"/>
  <c r="E270" i="2"/>
  <c r="D270" i="2"/>
  <c r="H269" i="2"/>
  <c r="F269" i="2"/>
  <c r="E269" i="2"/>
  <c r="D269" i="2"/>
  <c r="H268" i="2"/>
  <c r="F268" i="2"/>
  <c r="E268" i="2"/>
  <c r="D268" i="2"/>
  <c r="H267" i="2"/>
  <c r="G267" i="2"/>
  <c r="F267" i="2"/>
  <c r="E267" i="2"/>
  <c r="D267" i="2"/>
  <c r="C267" i="2"/>
  <c r="H266" i="2"/>
  <c r="F266" i="2"/>
  <c r="E266" i="2"/>
  <c r="D266" i="2"/>
  <c r="H265" i="2"/>
  <c r="F265" i="2"/>
  <c r="E265" i="2"/>
  <c r="D265" i="2"/>
  <c r="H264" i="2"/>
  <c r="F264" i="2"/>
  <c r="E264" i="2"/>
  <c r="D264" i="2"/>
  <c r="H263" i="2"/>
  <c r="F263" i="2"/>
  <c r="E263" i="2"/>
  <c r="D263" i="2"/>
  <c r="H262" i="2"/>
  <c r="F262" i="2"/>
  <c r="E262" i="2"/>
  <c r="D262" i="2"/>
  <c r="H261" i="2"/>
  <c r="F261" i="2"/>
  <c r="E261" i="2"/>
  <c r="D261" i="2"/>
  <c r="H260" i="2"/>
  <c r="F260" i="2"/>
  <c r="E260" i="2"/>
  <c r="D260" i="2"/>
  <c r="H259" i="2"/>
  <c r="E259" i="2"/>
  <c r="D259" i="2"/>
  <c r="H258" i="2"/>
  <c r="F258" i="2"/>
  <c r="E258" i="2"/>
  <c r="D258" i="2"/>
  <c r="H257" i="2"/>
  <c r="F257" i="2"/>
  <c r="E257" i="2"/>
  <c r="D257" i="2"/>
  <c r="H256" i="2"/>
  <c r="G256" i="2"/>
  <c r="F256" i="2"/>
  <c r="E256" i="2"/>
  <c r="D256" i="2"/>
  <c r="C256" i="2"/>
  <c r="H254" i="2"/>
  <c r="F254" i="2"/>
  <c r="E254" i="2"/>
  <c r="D254" i="2"/>
  <c r="H253" i="2"/>
  <c r="F253" i="2"/>
  <c r="E253" i="2"/>
  <c r="D253" i="2"/>
  <c r="H252" i="2"/>
  <c r="F252" i="2"/>
  <c r="E252" i="2"/>
  <c r="D252" i="2"/>
  <c r="H251" i="2"/>
  <c r="F251" i="2"/>
  <c r="E251" i="2"/>
  <c r="D251" i="2"/>
  <c r="H250" i="2"/>
  <c r="F250" i="2"/>
  <c r="E250" i="2"/>
  <c r="D250" i="2"/>
  <c r="H249" i="2"/>
  <c r="F249" i="2"/>
  <c r="E249" i="2"/>
  <c r="D249" i="2"/>
  <c r="H248" i="2"/>
  <c r="G248" i="2"/>
  <c r="F248" i="2"/>
  <c r="E248" i="2"/>
  <c r="D248" i="2"/>
  <c r="C248" i="2"/>
  <c r="H247" i="2"/>
  <c r="G247" i="2"/>
  <c r="F247" i="2"/>
  <c r="E247" i="2"/>
  <c r="D247" i="2"/>
  <c r="C247" i="2"/>
  <c r="H246" i="2"/>
  <c r="D246" i="2"/>
  <c r="H245" i="2"/>
  <c r="D245" i="2"/>
  <c r="H244" i="2"/>
  <c r="D244" i="2"/>
  <c r="H243" i="2"/>
  <c r="D243" i="2"/>
  <c r="H242" i="2"/>
  <c r="D242" i="2"/>
  <c r="H241" i="2"/>
  <c r="D241" i="2"/>
  <c r="H240" i="2"/>
  <c r="D240" i="2"/>
  <c r="H239" i="2"/>
  <c r="D239" i="2"/>
  <c r="H238" i="2"/>
  <c r="D238" i="2"/>
  <c r="H237" i="2"/>
  <c r="D237" i="2"/>
  <c r="H236" i="2"/>
  <c r="D236" i="2"/>
  <c r="H235" i="2"/>
  <c r="D235" i="2"/>
  <c r="H234" i="2"/>
  <c r="D234" i="2"/>
  <c r="H233" i="2"/>
  <c r="G233" i="2"/>
  <c r="F233" i="2"/>
  <c r="E233" i="2"/>
  <c r="D233" i="2"/>
  <c r="C233" i="2"/>
  <c r="H232" i="2"/>
  <c r="F232" i="2"/>
  <c r="E232" i="2"/>
  <c r="D232" i="2"/>
  <c r="H231" i="2"/>
  <c r="F231" i="2"/>
  <c r="E231" i="2"/>
  <c r="D231" i="2"/>
  <c r="H230" i="2"/>
  <c r="F230" i="2"/>
  <c r="E230" i="2"/>
  <c r="D230" i="2"/>
  <c r="H229" i="2"/>
  <c r="F229" i="2"/>
  <c r="E229" i="2"/>
  <c r="D229" i="2"/>
  <c r="H228" i="2"/>
  <c r="F228" i="2"/>
  <c r="E228" i="2"/>
  <c r="D228" i="2"/>
  <c r="H227" i="2"/>
  <c r="F227" i="2"/>
  <c r="E227" i="2"/>
  <c r="D227" i="2"/>
  <c r="H226" i="2"/>
  <c r="F226" i="2"/>
  <c r="E226" i="2"/>
  <c r="D226" i="2"/>
  <c r="H225" i="2"/>
  <c r="F225" i="2"/>
  <c r="E225" i="2"/>
  <c r="D225" i="2"/>
  <c r="H224" i="2"/>
  <c r="E224" i="2"/>
  <c r="D224" i="2"/>
  <c r="H223" i="2"/>
  <c r="E223" i="2"/>
  <c r="D223" i="2"/>
  <c r="H222" i="2"/>
  <c r="F222" i="2"/>
  <c r="E222" i="2"/>
  <c r="D222" i="2"/>
  <c r="H221" i="2"/>
  <c r="E221" i="2"/>
  <c r="D221" i="2"/>
  <c r="H220" i="2"/>
  <c r="E220" i="2"/>
  <c r="D220" i="2"/>
  <c r="H219" i="2"/>
  <c r="E219" i="2"/>
  <c r="D219" i="2"/>
  <c r="H218" i="2"/>
  <c r="E218" i="2"/>
  <c r="D218" i="2"/>
  <c r="H217" i="2"/>
  <c r="F217" i="2"/>
  <c r="E217" i="2"/>
  <c r="D217" i="2"/>
  <c r="H216" i="2"/>
  <c r="F216" i="2"/>
  <c r="E216" i="2"/>
  <c r="D216" i="2"/>
  <c r="H215" i="2"/>
  <c r="D215" i="2"/>
  <c r="H214" i="2"/>
  <c r="D214" i="2"/>
  <c r="H213" i="2"/>
  <c r="E213" i="2"/>
  <c r="D213" i="2"/>
  <c r="H212" i="2"/>
  <c r="F212" i="2"/>
  <c r="E212" i="2"/>
  <c r="D212" i="2"/>
  <c r="H211" i="2"/>
  <c r="G211" i="2"/>
  <c r="F211" i="2"/>
  <c r="E211" i="2"/>
  <c r="D211" i="2"/>
  <c r="C211" i="2"/>
  <c r="H210" i="2"/>
  <c r="E210" i="2"/>
  <c r="D210" i="2"/>
  <c r="H209" i="2"/>
  <c r="E209" i="2"/>
  <c r="D209" i="2"/>
  <c r="H208" i="2"/>
  <c r="D208" i="2"/>
  <c r="H207" i="2"/>
  <c r="E207" i="2"/>
  <c r="D207" i="2"/>
  <c r="H206" i="2"/>
  <c r="E206" i="2"/>
  <c r="D206" i="2"/>
  <c r="H205" i="2"/>
  <c r="G205" i="2"/>
  <c r="F205" i="2"/>
  <c r="E205" i="2"/>
  <c r="D205" i="2"/>
  <c r="C205" i="2"/>
  <c r="H204" i="2"/>
  <c r="E204" i="2"/>
  <c r="D204" i="2"/>
  <c r="H203" i="2"/>
  <c r="G203" i="2"/>
  <c r="F203" i="2"/>
  <c r="E203" i="2"/>
  <c r="D203" i="2"/>
  <c r="C203" i="2"/>
  <c r="H201" i="2"/>
  <c r="D201" i="2"/>
  <c r="H200" i="2"/>
  <c r="E200" i="2"/>
  <c r="D200" i="2"/>
  <c r="H199" i="2"/>
  <c r="D199" i="2"/>
  <c r="H198" i="2"/>
  <c r="D198" i="2"/>
  <c r="H197" i="2"/>
  <c r="G197" i="2"/>
  <c r="F197" i="2"/>
  <c r="E197" i="2"/>
  <c r="D197" i="2"/>
  <c r="C197" i="2"/>
  <c r="H196" i="2"/>
  <c r="G196" i="2"/>
  <c r="F196" i="2"/>
  <c r="E196" i="2"/>
  <c r="D196" i="2"/>
  <c r="C196" i="2"/>
  <c r="H195" i="2"/>
  <c r="D195" i="2"/>
  <c r="H194" i="2"/>
  <c r="D194" i="2"/>
  <c r="H193" i="2"/>
  <c r="F193" i="2"/>
  <c r="D193" i="2"/>
  <c r="H192" i="2"/>
  <c r="D192" i="2"/>
  <c r="H191" i="2"/>
  <c r="D191" i="2"/>
  <c r="H190" i="2"/>
  <c r="E190" i="2"/>
  <c r="D190" i="2"/>
  <c r="H189" i="2"/>
  <c r="E189" i="2"/>
  <c r="D189" i="2"/>
  <c r="H188" i="2"/>
  <c r="D188" i="2"/>
  <c r="H187" i="2"/>
  <c r="D187" i="2"/>
  <c r="H186" i="2"/>
  <c r="E186" i="2"/>
  <c r="D186" i="2"/>
  <c r="H185" i="2"/>
  <c r="D185" i="2"/>
  <c r="H184" i="2"/>
  <c r="E184" i="2"/>
  <c r="D184" i="2"/>
  <c r="H183" i="2"/>
  <c r="E183" i="2"/>
  <c r="D183" i="2"/>
  <c r="H182" i="2"/>
  <c r="E182" i="2"/>
  <c r="D182" i="2"/>
  <c r="H181" i="2"/>
  <c r="G181" i="2"/>
  <c r="F181" i="2"/>
  <c r="E181" i="2"/>
  <c r="D181" i="2"/>
  <c r="C181" i="2"/>
  <c r="H180" i="2"/>
  <c r="D180" i="2"/>
  <c r="H179" i="2"/>
  <c r="F179" i="2"/>
  <c r="D179" i="2"/>
  <c r="H178" i="2"/>
  <c r="D178" i="2"/>
  <c r="H177" i="2"/>
  <c r="E177" i="2"/>
  <c r="D177" i="2"/>
  <c r="H176" i="2"/>
  <c r="D176" i="2"/>
  <c r="H175" i="2"/>
  <c r="E175" i="2"/>
  <c r="D175" i="2"/>
  <c r="H174" i="2"/>
  <c r="E174" i="2"/>
  <c r="D174" i="2"/>
  <c r="H173" i="2"/>
  <c r="E173" i="2"/>
  <c r="D173" i="2"/>
  <c r="H172" i="2"/>
  <c r="D172" i="2"/>
  <c r="H171" i="2"/>
  <c r="D171" i="2"/>
  <c r="H170" i="2"/>
  <c r="D170" i="2"/>
  <c r="H169" i="2"/>
  <c r="E169" i="2"/>
  <c r="D169" i="2"/>
  <c r="H168" i="2"/>
  <c r="E168" i="2"/>
  <c r="D168" i="2"/>
  <c r="H167" i="2"/>
  <c r="E167" i="2"/>
  <c r="D167" i="2"/>
  <c r="H166" i="2"/>
  <c r="D166" i="2"/>
  <c r="H165" i="2"/>
  <c r="E165" i="2"/>
  <c r="D165" i="2"/>
  <c r="H164" i="2"/>
  <c r="E164" i="2"/>
  <c r="D164" i="2"/>
  <c r="H163" i="2"/>
  <c r="E163" i="2"/>
  <c r="D163" i="2"/>
  <c r="H162" i="2"/>
  <c r="E162" i="2"/>
  <c r="D162" i="2"/>
  <c r="H161" i="2"/>
  <c r="D161" i="2"/>
  <c r="H160" i="2"/>
  <c r="E160" i="2"/>
  <c r="D160" i="2"/>
  <c r="H159" i="2"/>
  <c r="D159" i="2"/>
  <c r="H158" i="2"/>
  <c r="E158" i="2"/>
  <c r="D158" i="2"/>
  <c r="H157" i="2"/>
  <c r="E157" i="2"/>
  <c r="D157" i="2"/>
  <c r="H156" i="2"/>
  <c r="E156" i="2"/>
  <c r="D156" i="2"/>
  <c r="H155" i="2"/>
  <c r="D155" i="2"/>
  <c r="H154" i="2"/>
  <c r="D154" i="2"/>
  <c r="H153" i="2"/>
  <c r="D153" i="2"/>
  <c r="H152" i="2"/>
  <c r="D152" i="2"/>
  <c r="H151" i="2"/>
  <c r="E151" i="2"/>
  <c r="D151" i="2"/>
  <c r="H150" i="2"/>
  <c r="E150" i="2"/>
  <c r="D150" i="2"/>
  <c r="H149" i="2"/>
  <c r="E149" i="2"/>
  <c r="D149" i="2"/>
  <c r="H148" i="2"/>
  <c r="D148" i="2"/>
  <c r="H147" i="2"/>
  <c r="D147" i="2"/>
  <c r="H146" i="2"/>
  <c r="E146" i="2"/>
  <c r="D146" i="2"/>
  <c r="H145" i="2"/>
  <c r="D145" i="2"/>
  <c r="H144" i="2"/>
  <c r="D144" i="2"/>
  <c r="H143" i="2"/>
  <c r="D143" i="2"/>
  <c r="H142" i="2"/>
  <c r="D142" i="2"/>
  <c r="H141" i="2"/>
  <c r="E141" i="2"/>
  <c r="D141" i="2"/>
  <c r="H140" i="2"/>
  <c r="E140" i="2"/>
  <c r="D140" i="2"/>
  <c r="H139" i="2"/>
  <c r="D139" i="2"/>
  <c r="H138" i="2"/>
  <c r="D138" i="2"/>
  <c r="H137" i="2"/>
  <c r="E137" i="2"/>
  <c r="D137" i="2"/>
  <c r="H136" i="2"/>
  <c r="E136" i="2"/>
  <c r="D136" i="2"/>
  <c r="H135" i="2"/>
  <c r="D135" i="2"/>
  <c r="H134" i="2"/>
  <c r="E134" i="2"/>
  <c r="D134" i="2"/>
  <c r="H133" i="2"/>
  <c r="E133" i="2"/>
  <c r="D133" i="2"/>
  <c r="H132" i="2"/>
  <c r="E132" i="2"/>
  <c r="D132" i="2"/>
  <c r="H131" i="2"/>
  <c r="D131" i="2"/>
  <c r="H130" i="2"/>
  <c r="E130" i="2"/>
  <c r="D130" i="2"/>
  <c r="H129" i="2"/>
  <c r="D129" i="2"/>
  <c r="H128" i="2"/>
  <c r="E128" i="2"/>
  <c r="D128" i="2"/>
  <c r="H127" i="2"/>
  <c r="E127" i="2"/>
  <c r="D127" i="2"/>
  <c r="H126" i="2"/>
  <c r="E126" i="2"/>
  <c r="D126" i="2"/>
  <c r="H125" i="2"/>
  <c r="E125" i="2"/>
  <c r="D125" i="2"/>
  <c r="H124" i="2"/>
  <c r="E124" i="2"/>
  <c r="D124" i="2"/>
  <c r="H123" i="2"/>
  <c r="E123" i="2"/>
  <c r="D123" i="2"/>
  <c r="H122" i="2"/>
  <c r="D122" i="2"/>
  <c r="H121" i="2"/>
  <c r="E121" i="2"/>
  <c r="D121" i="2"/>
  <c r="H120" i="2"/>
  <c r="D120" i="2"/>
  <c r="H119" i="2"/>
  <c r="D119" i="2"/>
  <c r="H118" i="2"/>
  <c r="G118" i="2"/>
  <c r="F118" i="2"/>
  <c r="E118" i="2"/>
  <c r="D118" i="2"/>
  <c r="C118" i="2"/>
  <c r="H117" i="2"/>
  <c r="D117" i="2"/>
  <c r="H116" i="2"/>
  <c r="D116" i="2"/>
  <c r="H115" i="2"/>
  <c r="D115" i="2"/>
  <c r="H114" i="2"/>
  <c r="G114" i="2"/>
  <c r="F114" i="2"/>
  <c r="E114" i="2"/>
  <c r="D114" i="2"/>
  <c r="C114" i="2"/>
  <c r="H113" i="2"/>
  <c r="G113" i="2"/>
  <c r="F113" i="2"/>
  <c r="E113" i="2"/>
  <c r="D113" i="2"/>
  <c r="C113" i="2"/>
  <c r="H112" i="2"/>
  <c r="E112" i="2"/>
  <c r="D112" i="2"/>
  <c r="H111" i="2"/>
  <c r="D111" i="2"/>
  <c r="H110" i="2"/>
  <c r="D110" i="2"/>
  <c r="H109" i="2"/>
  <c r="E109" i="2"/>
  <c r="D109" i="2"/>
  <c r="H108" i="2"/>
  <c r="E108" i="2"/>
  <c r="D108" i="2"/>
  <c r="H107" i="2"/>
  <c r="E107" i="2"/>
  <c r="D107" i="2"/>
  <c r="H106" i="2"/>
  <c r="E106" i="2"/>
  <c r="D106" i="2"/>
  <c r="H105" i="2"/>
  <c r="E105" i="2"/>
  <c r="D105" i="2"/>
  <c r="H104" i="2"/>
  <c r="E104" i="2"/>
  <c r="D104" i="2"/>
  <c r="H103" i="2"/>
  <c r="E103" i="2"/>
  <c r="D103" i="2"/>
  <c r="H102" i="2"/>
  <c r="D102" i="2"/>
  <c r="H101" i="2"/>
  <c r="E101" i="2"/>
  <c r="D101" i="2"/>
  <c r="H100" i="2"/>
  <c r="D100" i="2"/>
  <c r="H99" i="2"/>
  <c r="D99" i="2"/>
  <c r="H98" i="2"/>
  <c r="E98" i="2"/>
  <c r="D98" i="2"/>
  <c r="H97" i="2"/>
  <c r="D97" i="2"/>
  <c r="H96" i="2"/>
  <c r="E96" i="2"/>
  <c r="D96" i="2"/>
  <c r="H95" i="2"/>
  <c r="D95" i="2"/>
  <c r="H94" i="2"/>
  <c r="D94" i="2"/>
  <c r="H93" i="2"/>
  <c r="D93" i="2"/>
  <c r="H92" i="2"/>
  <c r="G92" i="2"/>
  <c r="F92" i="2"/>
  <c r="E92" i="2"/>
  <c r="D92" i="2"/>
  <c r="C92" i="2"/>
  <c r="H91" i="2"/>
  <c r="D91" i="2"/>
  <c r="H90" i="2"/>
  <c r="D90" i="2"/>
  <c r="H89" i="2"/>
  <c r="E89" i="2"/>
  <c r="D89" i="2"/>
  <c r="H88" i="2"/>
  <c r="D88" i="2"/>
  <c r="H87" i="2"/>
  <c r="D87" i="2"/>
  <c r="H86" i="2"/>
  <c r="D86" i="2"/>
  <c r="H85" i="2"/>
  <c r="D85" i="2"/>
  <c r="H84" i="2"/>
  <c r="D84" i="2"/>
  <c r="H83" i="2"/>
  <c r="D83" i="2"/>
  <c r="H82" i="2"/>
  <c r="E82" i="2"/>
  <c r="D82" i="2"/>
  <c r="H81" i="2"/>
  <c r="D81" i="2"/>
  <c r="H80" i="2"/>
  <c r="G80" i="2"/>
  <c r="D80" i="2"/>
  <c r="H79" i="2"/>
  <c r="D79" i="2"/>
  <c r="H78" i="2"/>
  <c r="D78" i="2"/>
  <c r="H77" i="2"/>
  <c r="D77" i="2"/>
  <c r="H76" i="2"/>
  <c r="D76" i="2"/>
  <c r="H75" i="2"/>
  <c r="D75" i="2"/>
  <c r="H74" i="2"/>
  <c r="D74" i="2"/>
  <c r="H73" i="2"/>
  <c r="D73" i="2"/>
  <c r="H72" i="2"/>
  <c r="D72" i="2"/>
  <c r="H71" i="2"/>
  <c r="D71" i="2"/>
  <c r="H70" i="2"/>
  <c r="D70" i="2"/>
  <c r="H69" i="2"/>
  <c r="D69" i="2"/>
  <c r="H68" i="2"/>
  <c r="D68" i="2"/>
  <c r="H67" i="2"/>
  <c r="D67" i="2"/>
  <c r="H66" i="2"/>
  <c r="D66" i="2"/>
  <c r="H65" i="2"/>
  <c r="D65" i="2"/>
  <c r="H64" i="2"/>
  <c r="D64" i="2"/>
  <c r="H63" i="2"/>
  <c r="D63" i="2"/>
  <c r="H62" i="2"/>
  <c r="D62" i="2"/>
  <c r="H61" i="2"/>
  <c r="D61" i="2"/>
  <c r="H60" i="2"/>
  <c r="D60" i="2"/>
  <c r="H59" i="2"/>
  <c r="D59" i="2"/>
  <c r="H58" i="2"/>
  <c r="D58" i="2"/>
  <c r="H57" i="2"/>
  <c r="F57" i="2"/>
  <c r="E57" i="2"/>
  <c r="D57" i="2"/>
  <c r="H56" i="2"/>
  <c r="E56" i="2"/>
  <c r="D56" i="2"/>
  <c r="H55" i="2"/>
  <c r="D55" i="2"/>
  <c r="H54" i="2"/>
  <c r="G54" i="2"/>
  <c r="F54" i="2"/>
  <c r="E54" i="2"/>
  <c r="D54" i="2"/>
  <c r="C54" i="2"/>
  <c r="H53" i="2"/>
  <c r="E53" i="2"/>
  <c r="D53" i="2"/>
  <c r="H52" i="2"/>
  <c r="E52" i="2"/>
  <c r="D52" i="2"/>
  <c r="H51" i="2"/>
  <c r="E51" i="2"/>
  <c r="D51" i="2"/>
  <c r="H50" i="2"/>
  <c r="G50" i="2"/>
  <c r="F50" i="2"/>
  <c r="E50" i="2"/>
  <c r="D50" i="2"/>
  <c r="C50" i="2"/>
  <c r="H49" i="2"/>
  <c r="D49" i="2"/>
  <c r="H48" i="2"/>
  <c r="D48" i="2"/>
  <c r="H47" i="2"/>
  <c r="D47" i="2"/>
  <c r="H46" i="2"/>
  <c r="D46" i="2"/>
  <c r="H45" i="2"/>
  <c r="E45" i="2"/>
  <c r="D45" i="2"/>
  <c r="H44" i="2"/>
  <c r="D44" i="2"/>
  <c r="H43" i="2"/>
  <c r="D43" i="2"/>
  <c r="H42" i="2"/>
  <c r="E42" i="2"/>
  <c r="D42" i="2"/>
  <c r="H41" i="2"/>
  <c r="E41" i="2"/>
  <c r="D41" i="2"/>
  <c r="H40" i="2"/>
  <c r="D40" i="2"/>
  <c r="H39" i="2"/>
  <c r="D39" i="2"/>
  <c r="H38" i="2"/>
  <c r="E38" i="2"/>
  <c r="D38" i="2"/>
  <c r="H37" i="2"/>
  <c r="D37" i="2"/>
  <c r="H36" i="2"/>
  <c r="D36" i="2"/>
  <c r="H35" i="2"/>
  <c r="E35" i="2"/>
  <c r="D35" i="2"/>
  <c r="H34" i="2"/>
  <c r="D34" i="2"/>
  <c r="H33" i="2"/>
  <c r="D33" i="2"/>
  <c r="H32" i="2"/>
  <c r="D32" i="2"/>
  <c r="H31" i="2"/>
  <c r="E31" i="2"/>
  <c r="D31" i="2"/>
  <c r="H30" i="2"/>
  <c r="E30" i="2"/>
  <c r="D30" i="2"/>
  <c r="H29" i="2"/>
  <c r="E29" i="2"/>
  <c r="D29" i="2"/>
  <c r="H28" i="2"/>
  <c r="D28" i="2"/>
  <c r="H27" i="2"/>
  <c r="E27" i="2"/>
  <c r="D27" i="2"/>
  <c r="H26" i="2"/>
  <c r="D26" i="2"/>
  <c r="H25" i="2"/>
  <c r="E25" i="2"/>
  <c r="D25" i="2"/>
  <c r="H24" i="2"/>
  <c r="D24" i="2"/>
  <c r="H23" i="2"/>
  <c r="G23" i="2"/>
  <c r="D23" i="2"/>
  <c r="H22" i="2"/>
  <c r="D22" i="2"/>
  <c r="H21" i="2"/>
  <c r="D21" i="2"/>
  <c r="H20" i="2"/>
  <c r="D20" i="2"/>
  <c r="H19" i="2"/>
  <c r="D19" i="2"/>
  <c r="H18" i="2"/>
  <c r="G18" i="2"/>
  <c r="F18" i="2"/>
  <c r="E18" i="2"/>
  <c r="D18" i="2"/>
  <c r="C18" i="2"/>
  <c r="H17" i="2"/>
  <c r="G17" i="2"/>
  <c r="F17" i="2"/>
  <c r="E17" i="2"/>
  <c r="D17" i="2"/>
  <c r="C17" i="2"/>
  <c r="F122" i="3"/>
  <c r="F121" i="3"/>
  <c r="F120" i="3"/>
  <c r="D120" i="3"/>
  <c r="F119" i="3"/>
  <c r="F118" i="3"/>
  <c r="F117" i="3"/>
  <c r="F116" i="3"/>
  <c r="F115" i="3"/>
  <c r="D115" i="3"/>
  <c r="F114" i="3"/>
  <c r="F113" i="3"/>
  <c r="F112" i="3"/>
  <c r="D112" i="3"/>
  <c r="F111" i="3"/>
  <c r="F110" i="3"/>
  <c r="F109" i="3"/>
  <c r="F108" i="3"/>
  <c r="D108" i="3"/>
  <c r="F107" i="3"/>
  <c r="F106" i="3"/>
  <c r="D106" i="3"/>
  <c r="F105" i="3"/>
  <c r="F104" i="3"/>
  <c r="F103" i="3"/>
  <c r="D103" i="3"/>
  <c r="F102" i="3"/>
  <c r="F101" i="3"/>
  <c r="F100" i="3"/>
  <c r="D100" i="3"/>
  <c r="F99" i="3"/>
  <c r="D99" i="3"/>
  <c r="F98" i="3"/>
  <c r="F97" i="3"/>
  <c r="D97" i="3"/>
  <c r="F96" i="3"/>
  <c r="F95" i="3"/>
  <c r="E95" i="3"/>
  <c r="F94" i="3"/>
  <c r="F93" i="3"/>
  <c r="F92" i="3"/>
  <c r="F91" i="3"/>
  <c r="F90" i="3"/>
  <c r="F89" i="3"/>
  <c r="F88" i="3"/>
  <c r="E88" i="3"/>
  <c r="F87" i="3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E66" i="3"/>
  <c r="F65" i="3"/>
  <c r="E65" i="3"/>
  <c r="F64" i="3"/>
  <c r="F63" i="3"/>
  <c r="F62" i="3"/>
  <c r="E62" i="3"/>
  <c r="F61" i="3"/>
  <c r="F60" i="3"/>
  <c r="C60" i="3"/>
  <c r="F59" i="3"/>
  <c r="F58" i="3"/>
  <c r="C58" i="3"/>
  <c r="F57" i="3"/>
  <c r="F56" i="3"/>
  <c r="C56" i="3"/>
  <c r="F55" i="3"/>
  <c r="F54" i="3"/>
  <c r="F53" i="3"/>
  <c r="C53" i="3"/>
  <c r="F52" i="3"/>
  <c r="F51" i="3"/>
  <c r="F50" i="3"/>
  <c r="F49" i="3"/>
  <c r="F48" i="3"/>
  <c r="F47" i="3"/>
  <c r="C47" i="3"/>
  <c r="F46" i="3"/>
  <c r="F45" i="3"/>
  <c r="F44" i="3"/>
  <c r="F43" i="3"/>
  <c r="C43" i="3"/>
  <c r="F42" i="3"/>
  <c r="C42" i="3"/>
  <c r="F41" i="3"/>
  <c r="F40" i="3"/>
  <c r="C40" i="3"/>
  <c r="F39" i="3"/>
  <c r="C39" i="3"/>
  <c r="F38" i="3"/>
  <c r="F37" i="3"/>
  <c r="C37" i="3"/>
  <c r="F36" i="3"/>
  <c r="F35" i="3"/>
  <c r="C35" i="3"/>
  <c r="F34" i="3"/>
  <c r="C34" i="3"/>
  <c r="F33" i="3"/>
  <c r="F32" i="3"/>
  <c r="F31" i="3"/>
  <c r="C31" i="3"/>
  <c r="F30" i="3"/>
  <c r="F29" i="3"/>
  <c r="F28" i="3"/>
  <c r="F27" i="3"/>
  <c r="C27" i="3"/>
  <c r="F26" i="3"/>
  <c r="F25" i="3"/>
  <c r="C25" i="3"/>
  <c r="F24" i="3"/>
  <c r="C24" i="3"/>
  <c r="F23" i="3"/>
  <c r="C23" i="3"/>
  <c r="F22" i="3"/>
  <c r="C22" i="3"/>
  <c r="F21" i="3"/>
  <c r="F20" i="3"/>
  <c r="C20" i="3"/>
  <c r="F19" i="3"/>
  <c r="C19" i="3"/>
  <c r="F18" i="3"/>
  <c r="C18" i="3"/>
  <c r="F17" i="3"/>
  <c r="E17" i="3"/>
  <c r="D17" i="3"/>
  <c r="C17" i="3"/>
  <c r="E72" i="4"/>
  <c r="E71" i="4"/>
  <c r="D71" i="4"/>
  <c r="C71" i="4"/>
  <c r="E70" i="4"/>
  <c r="C70" i="4"/>
  <c r="E69" i="4"/>
  <c r="E68" i="4"/>
  <c r="D68" i="4"/>
  <c r="C68" i="4"/>
  <c r="E67" i="4"/>
  <c r="E66" i="4"/>
  <c r="D66" i="4"/>
  <c r="C66" i="4"/>
  <c r="E65" i="4"/>
  <c r="D65" i="4"/>
  <c r="C65" i="4"/>
  <c r="E64" i="4"/>
  <c r="D64" i="4"/>
  <c r="C64" i="4"/>
  <c r="E63" i="4"/>
  <c r="E62" i="4"/>
  <c r="E61" i="4"/>
  <c r="E60" i="4"/>
  <c r="E59" i="4"/>
  <c r="E58" i="4"/>
  <c r="E57" i="4"/>
  <c r="E56" i="4"/>
  <c r="E55" i="4"/>
  <c r="D55" i="4"/>
  <c r="C55" i="4"/>
  <c r="E54" i="4"/>
  <c r="C54" i="4"/>
  <c r="E53" i="4"/>
  <c r="C53" i="4"/>
  <c r="E52" i="4"/>
  <c r="C52" i="4"/>
  <c r="E51" i="4"/>
  <c r="C51" i="4"/>
  <c r="E50" i="4"/>
  <c r="E49" i="4"/>
  <c r="C49" i="4"/>
  <c r="E48" i="4"/>
  <c r="C48" i="4"/>
  <c r="E47" i="4"/>
  <c r="C47" i="4"/>
  <c r="E46" i="4"/>
  <c r="E45" i="4"/>
  <c r="D45" i="4"/>
  <c r="C45" i="4"/>
  <c r="E44" i="4"/>
  <c r="D44" i="4"/>
  <c r="C44" i="4"/>
  <c r="E43" i="4"/>
  <c r="C43" i="4"/>
  <c r="E42" i="4"/>
  <c r="C42" i="4"/>
  <c r="E41" i="4"/>
  <c r="C41" i="4"/>
  <c r="E40" i="4"/>
  <c r="C40" i="4"/>
  <c r="E39" i="4"/>
  <c r="C39" i="4"/>
  <c r="E38" i="4"/>
  <c r="C38" i="4"/>
  <c r="E37" i="4"/>
  <c r="C37" i="4"/>
  <c r="E36" i="4"/>
  <c r="C36" i="4"/>
  <c r="E35" i="4"/>
  <c r="C35" i="4"/>
  <c r="E34" i="4"/>
  <c r="C34" i="4"/>
  <c r="E33" i="4"/>
  <c r="C33" i="4"/>
  <c r="E32" i="4"/>
  <c r="C32" i="4"/>
  <c r="E31" i="4"/>
  <c r="C31" i="4"/>
  <c r="E30" i="4"/>
  <c r="C30" i="4"/>
  <c r="E29" i="4"/>
  <c r="C29" i="4"/>
  <c r="E28" i="4"/>
  <c r="C28" i="4"/>
  <c r="E27" i="4"/>
  <c r="C27" i="4"/>
  <c r="E26" i="4"/>
  <c r="C26" i="4"/>
  <c r="E25" i="4"/>
  <c r="C25" i="4"/>
  <c r="E24" i="4"/>
  <c r="C24" i="4"/>
  <c r="E23" i="4"/>
  <c r="C23" i="4"/>
  <c r="E22" i="4"/>
  <c r="C22" i="4"/>
  <c r="E21" i="4"/>
  <c r="C21" i="4"/>
  <c r="E20" i="4"/>
  <c r="C20" i="4"/>
  <c r="E19" i="4"/>
  <c r="C19" i="4"/>
  <c r="E18" i="4"/>
  <c r="C18" i="4"/>
  <c r="E17" i="4"/>
  <c r="C17" i="4"/>
  <c r="E16" i="4"/>
  <c r="C16" i="4"/>
</calcChain>
</file>

<file path=xl/comments1.xml><?xml version="1.0" encoding="utf-8"?>
<comments xmlns="http://schemas.openxmlformats.org/spreadsheetml/2006/main">
  <authors>
    <author>Olga Sinica</author>
  </authors>
  <commentList>
    <comment ref="B280" authorId="0">
      <text>
        <r>
          <rPr>
            <b/>
            <sz val="9"/>
            <rFont val="Tahoma"/>
            <family val="2"/>
            <charset val="186"/>
          </rPr>
          <t>Olga Sinica:</t>
        </r>
        <r>
          <rPr>
            <sz val="9"/>
            <rFont val="Tahoma"/>
            <family val="2"/>
            <charset val="186"/>
          </rPr>
          <t xml:space="preserve">
pašvaldības finansējums</t>
        </r>
      </text>
    </comment>
  </commentList>
</comments>
</file>

<file path=xl/sharedStrings.xml><?xml version="1.0" encoding="utf-8"?>
<sst xmlns="http://schemas.openxmlformats.org/spreadsheetml/2006/main" count="1027" uniqueCount="685">
  <si>
    <t>Iestādes</t>
  </si>
  <si>
    <t>Balvu novada administrācija</t>
  </si>
  <si>
    <t>Deputātu darba samaksa</t>
  </si>
  <si>
    <t>Balvu pagasta pārvalde</t>
  </si>
  <si>
    <t>Bērzkalnes pagasta pārvalde</t>
  </si>
  <si>
    <t>Bērzpils pagasta pārvalde</t>
  </si>
  <si>
    <t>Briežuciema pagasta pārvalde</t>
  </si>
  <si>
    <t>Krišjāņu pagasta pārvalde</t>
  </si>
  <si>
    <t>Kubulu pagasta pārvalde</t>
  </si>
  <si>
    <t>Lazdulejas pagasta pārvalde</t>
  </si>
  <si>
    <t>Tilžas pagasta pārvalde</t>
  </si>
  <si>
    <t>Vectilžas pagasta pārvalde</t>
  </si>
  <si>
    <t>Vīksnas pagasta pārvalde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</si>
  <si>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</si>
  <si>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</si>
  <si>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</si>
  <si>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</si>
  <si>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</si>
  <si>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</si>
  <si>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</si>
  <si>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</si>
  <si>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</si>
  <si>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</si>
  <si>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</si>
  <si>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</si>
  <si>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</si>
  <si>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</si>
  <si>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</si>
  <si>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</si>
  <si>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Pašvaldības aģentūra SAN-TEX</t>
  </si>
  <si>
    <t xml:space="preserve">Sporta pasākumi novadā </t>
  </si>
  <si>
    <t>Balvu Centrālā bibliotēka</t>
  </si>
  <si>
    <t>KAC pasākumi</t>
  </si>
  <si>
    <t>Briežuciema Tautas nams</t>
  </si>
  <si>
    <t>Krišjāņu Tautas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</si>
  <si>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</si>
  <si>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</si>
  <si>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</si>
  <si>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</si>
  <si>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</si>
  <si>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PII Ieviņa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</si>
  <si>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</si>
  <si>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</si>
  <si>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</si>
  <si>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</si>
  <si>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</si>
  <si>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</si>
  <si>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</si>
  <si>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</si>
  <si>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</si>
  <si>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Asisitenta pakalpojumi personām ar invaliditāti</t>
  </si>
  <si>
    <t>KOPĀ</t>
  </si>
  <si>
    <t>Balvu sporta skolas Peldbaseins</t>
  </si>
  <si>
    <t>Balvu Profesionālā un vispārizglītojošā vidusskola</t>
  </si>
  <si>
    <t>Atskurbtuves uzturēšana</t>
  </si>
  <si>
    <t>Profesionālā sociālā darba attīstība pašvaldībās</t>
  </si>
  <si>
    <t>Deinstitucionālizācijas pasākumu īstenošana Latgales reģionā</t>
  </si>
  <si>
    <t>Projekts "Pasākumi vietējās sabiedrības veselības veicināšanai Balvu novadā"</t>
  </si>
  <si>
    <t>Latgales speciālās ekonomiskās zonas atbalsts</t>
  </si>
  <si>
    <t>Projekts "Karjeras atbalsts vispārējās un profesionālās izglītības iestādēs"</t>
  </si>
  <si>
    <t>Ziemeļlatgales biznesa un tūrisma centrs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</si>
  <si>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</si>
  <si>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</si>
  <si>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</si>
  <si>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</si>
  <si>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</si>
  <si>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</si>
  <si>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</si>
  <si>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</si>
  <si>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</si>
  <si>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</si>
  <si>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</si>
  <si>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</si>
  <si>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</si>
  <si>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</si>
  <si>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</si>
  <si>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</si>
  <si>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</si>
  <si>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</si>
  <si>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</si>
  <si>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LV-LT pārrobežu sadarbības projekts "Amatu prasmes tūrisma telpā"</t>
  </si>
  <si>
    <t>Sociālā rakstura maksājumi un kompensācijas</t>
  </si>
  <si>
    <t>Transferti</t>
  </si>
  <si>
    <t xml:space="preserve"> Atlīdzība</t>
  </si>
  <si>
    <t>Preces un pakalpojumi</t>
  </si>
  <si>
    <t>Subsīdijas un dotācijas</t>
  </si>
  <si>
    <t>Procentu maksājumi</t>
  </si>
  <si>
    <t>Pamatkapitāla veidošana</t>
  </si>
  <si>
    <t>Izdevumi pa ekonomiskās klasifikācijas kodiem (EUR)</t>
  </si>
  <si>
    <t>Viļakas pilsētas pārvalde</t>
  </si>
  <si>
    <t>Valsts un pašvaldības vienotais klientu apkalpošanas centrs</t>
  </si>
  <si>
    <t>Baltinavas pagasta pārvalde</t>
  </si>
  <si>
    <t>Kupravas pagasta pārvalde</t>
  </si>
  <si>
    <t>Medņevas pagasta pārvalde</t>
  </si>
  <si>
    <t>Susāju pagasta pārvalde</t>
  </si>
  <si>
    <t>Šķilbēnu pagasta pārvalde</t>
  </si>
  <si>
    <t>Vecumu pagasta pārvalde</t>
  </si>
  <si>
    <t>Žīguru pagasta pārvalde</t>
  </si>
  <si>
    <t>Susāju pārvaldes teritorijas apsaimniekošana</t>
  </si>
  <si>
    <t>Viļakas pilsētas komunālā saimniecība - apkure</t>
  </si>
  <si>
    <t>Viļakas pilsētas komunālā saimniecība-ūdens</t>
  </si>
  <si>
    <t>Žīguru komunālā saimniecība - apkure</t>
  </si>
  <si>
    <t>Medņevas pagasta teritorijas apsaimniekošana</t>
  </si>
  <si>
    <t>Medņevas komunālā saimniecība - ūdens</t>
  </si>
  <si>
    <t>Šķilbēnu pagasta teritorijas apsaimniekošana</t>
  </si>
  <si>
    <t>Upītes komunālā saimniecība - ūdens</t>
  </si>
  <si>
    <t xml:space="preserve"> Rekavas komunālā saimniecība - apkure</t>
  </si>
  <si>
    <t>Rekavas komunālā saimniecība - ūdens</t>
  </si>
  <si>
    <t>Šķilbēnu komunālā saimniecība - ūdens</t>
  </si>
  <si>
    <t>Kupravas komunālā saimniecība - apkure</t>
  </si>
  <si>
    <t>Kupravas komunālā saimniecība - ūdens</t>
  </si>
  <si>
    <t>Vecumu komunālā saimniecība - apkure</t>
  </si>
  <si>
    <t xml:space="preserve"> Vecumu pagasta teritorijas apsaimniekošana</t>
  </si>
  <si>
    <t>Vecumu komunālā saimniecība - ūdens</t>
  </si>
  <si>
    <t>Žīguru pagasta teritorijas apsaimniekošana</t>
  </si>
  <si>
    <t xml:space="preserve"> Žīguru komunālā saimniecība - ūdens</t>
  </si>
  <si>
    <t>Kupravas pārvaldes pašvaldības dzīvokļu uzturēšana</t>
  </si>
  <si>
    <t>Viļakas pilsētas pašvaldības dzīvokļu uzturēšana</t>
  </si>
  <si>
    <t>Žīguru pārvaldes pašvaldības  dzīvokļu uzturēšana</t>
  </si>
  <si>
    <t>Viļakas pilsētas labiekārtošana</t>
  </si>
  <si>
    <t>Vecumu pārvaldes pašvaldības dzīvokļu uzturēšana</t>
  </si>
  <si>
    <t>Rugāju sociālās aprūpes centrs</t>
  </si>
  <si>
    <t>Viļakas sociālās aprūpes centrs</t>
  </si>
  <si>
    <t>Šķilbēnu sociālās aprūpes māja</t>
  </si>
  <si>
    <t>Kultūrvēsturiskā lauku sēta "Vēršukalns"</t>
  </si>
  <si>
    <t>Viļakas muzejs</t>
  </si>
  <si>
    <t xml:space="preserve">Rugāju muzejs  </t>
  </si>
  <si>
    <t>Lazdukalna pagasta pārvalde</t>
  </si>
  <si>
    <t>Rugāju pagasta pārvalde</t>
  </si>
  <si>
    <t>Algotie pagaidu sabiedriskie darbi</t>
  </si>
  <si>
    <t>Balkanu Dabas parks</t>
  </si>
  <si>
    <t>Viļakas pilsētas komunālā saimniecība - atkritumu apsaimniekošana</t>
  </si>
  <si>
    <t>Medņevas komunālā saimniecība -notekūdeņu apsaimniekošana</t>
  </si>
  <si>
    <t>Upītes komunālā saimniecība -notekūdeņu apsaimniekošana</t>
  </si>
  <si>
    <t>Rekavas komunālā saimniecība -notekūdeņu apsaimniekošana</t>
  </si>
  <si>
    <t>Kupravas komunālā saimniecība -notekūdeņu apsaimniekošana</t>
  </si>
  <si>
    <t>Vecumu komunālā saimniecība -notekūdeņu apsaimniekošana</t>
  </si>
  <si>
    <t>Žīguru komunālā saimniecība -notekūdeņu apsaimniekošana</t>
  </si>
  <si>
    <t xml:space="preserve">Ūdenssaimniecības attīstība Rugājos 2.kārta </t>
  </si>
  <si>
    <t>Lazdukalna pagasta komunālā saimniecība</t>
  </si>
  <si>
    <t>Rugāju pagasta komunālā saimniecība</t>
  </si>
  <si>
    <t>Lazdukalna pagasta ūdensapgāde</t>
  </si>
  <si>
    <t>Rugāju pagasta ūdensapgāde</t>
  </si>
  <si>
    <t>Projekts "Dzīvo aktīvs Baltinavā"</t>
  </si>
  <si>
    <t>Kupravas feldšeru punkts</t>
  </si>
  <si>
    <t>Baltinavas muzejs</t>
  </si>
  <si>
    <t>Nemateriālās kultūras mantojuma centrs "Upīte" - tautas nams</t>
  </si>
  <si>
    <t>Medņevas Tautas nams</t>
  </si>
  <si>
    <t>Šķilbēnu pagasta kultūras centrs "Rekova"</t>
  </si>
  <si>
    <t>Skolēnu pārvadāšana Šķilbēnu pārvalde</t>
  </si>
  <si>
    <t>Viļakas mūzikas un mākslas skola</t>
  </si>
  <si>
    <t>Rekavas vidusskola</t>
  </si>
  <si>
    <t>Viduču pamatskola</t>
  </si>
  <si>
    <t>Projekts "Atbalsts izglītojamo individuālo kompetenču attīstībai"</t>
  </si>
  <si>
    <t>Viļakas pirmsskolas izglītības iestāde "Namiņš"</t>
  </si>
  <si>
    <t>Medņevas pirmsskolas izglītības iestāde "Pasaciņa"</t>
  </si>
  <si>
    <t>Eglaines pamatskola</t>
  </si>
  <si>
    <t>Izglītības pārvalde</t>
  </si>
  <si>
    <t>Baltinavas mūzikas un mākslas skola</t>
  </si>
  <si>
    <t>Baltinavas vidusskola</t>
  </si>
  <si>
    <t>Viļakas Valsts ģimnāzija</t>
  </si>
  <si>
    <t>Veļas mazgāšanas pakalpojumi (Rugāji)</t>
  </si>
  <si>
    <t>Baltinavas kultūras pasākumi</t>
  </si>
  <si>
    <t>Bērzpils pamatskola</t>
  </si>
  <si>
    <t>Rugāju vidusskola</t>
  </si>
  <si>
    <t>Degradēto teritoriju revitalizācija Austrumu pierobežā</t>
  </si>
  <si>
    <t>Ziemeļlatgales sporta centrs</t>
  </si>
  <si>
    <t>Izglītības pārvaldes pasākumi</t>
  </si>
  <si>
    <t>Kultūras pārvalde</t>
  </si>
  <si>
    <t>Kultūras pārvaldes pasākumi</t>
  </si>
  <si>
    <t>Bijušo pagastu padomju un pilsētu domju vadītāju pabalsti</t>
  </si>
  <si>
    <t>Svētku un atceres dienu pabalsti</t>
  </si>
  <si>
    <t>Balvu novada pašvaldības dzīvojamā fonda atjaunošana</t>
  </si>
  <si>
    <t>Pašvaldības aizņēmumu apkalpošana un procentu maksa</t>
  </si>
  <si>
    <t xml:space="preserve">Lazdukalna pagasta apgaismojuma un ietvju uzturēšana </t>
  </si>
  <si>
    <t xml:space="preserve">Rugāju pagasta apgaismojuma un ietvju uzturēšana 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</si>
  <si>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</si>
  <si>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</si>
  <si>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</si>
  <si>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</si>
  <si>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</si>
  <si>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</si>
  <si>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</si>
  <si>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</si>
  <si>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</si>
  <si>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</si>
  <si>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</si>
  <si>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</si>
  <si>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</si>
  <si>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</si>
  <si>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</si>
  <si>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</si>
  <si>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</si>
  <si>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</si>
  <si>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</si>
  <si>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</si>
  <si>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Balvu pilsētas pārvalde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</si>
  <si>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</si>
  <si>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</si>
  <si>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</si>
  <si>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</si>
  <si>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</si>
  <si>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</si>
  <si>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</si>
  <si>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</si>
  <si>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Projekts "Veselības veicināšanas un slimību profilakses pasākumi Viļakā un apkaimē"</t>
  </si>
  <si>
    <t>Skolēnu pārvadājumi Tilžas pagastā</t>
  </si>
  <si>
    <t xml:space="preserve">Nacionālo partizānu mītnes vietnes (pilsētiņas) Stompaku purvā atjaunošana 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</si>
  <si>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</si>
  <si>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</si>
  <si>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</si>
  <si>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</si>
  <si>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</si>
  <si>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</si>
  <si>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</si>
  <si>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</si>
  <si>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</si>
  <si>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</si>
  <si>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 xml:space="preserve">Atbalsts priekšlaicīgas mācību pārtraukšanas samazināšanai </t>
  </si>
  <si>
    <t>Balvu pilsētas stadiona uzturēšana</t>
  </si>
  <si>
    <t>Politiski represēto apvienība Balvu nodaļa</t>
  </si>
  <si>
    <t>Balvu pensionāru biedrība</t>
  </si>
  <si>
    <t>Balvu Teritoriālā Invalīdu biedrība</t>
  </si>
  <si>
    <t>Bērzpils pamatskolas pirmsskolas izglītības grupa Krišjāņos</t>
  </si>
  <si>
    <t>Tilžas pamatskola</t>
  </si>
  <si>
    <t>Tilžas pamatskolas pirmsskolas izglītības grupa Vectilžā</t>
  </si>
  <si>
    <t>Balvu novada Bērnu un jauniešu centrs</t>
  </si>
  <si>
    <t>Sociālie pabalsti</t>
  </si>
  <si>
    <t>Baltinavas muzeja ēkas energoefektivitātes paaugstināšana</t>
  </si>
  <si>
    <t>Rugāju pagasta pārvaldes ēkas energoefektivitātes paaugstināšana</t>
  </si>
  <si>
    <t>Muižas apbūves kompleksa pārbūve 2.kārta</t>
  </si>
  <si>
    <t>t.sk. labiekārtošana</t>
  </si>
  <si>
    <t>Krišjāņu komunālā saimniecība -notekūdeņu apsaimniekošana</t>
  </si>
  <si>
    <t>Krišjāņu komunālā saimniecība - ūdens</t>
  </si>
  <si>
    <t>Krišjāņu komunālā saimniecība - apkure</t>
  </si>
  <si>
    <t>Kubulu komunālā saimniecība -notekūdeņu apsaimniekošana</t>
  </si>
  <si>
    <t>Kubulu komunālā saimniecība - ūdens</t>
  </si>
  <si>
    <t>"Par Balvu novada pašvaldības 2023.gada budžetu"</t>
  </si>
  <si>
    <t>Amatierkolektīvu tautu tērpu iegāde</t>
  </si>
  <si>
    <t>Erasmus + projekts Bērzpils pamatskola</t>
  </si>
  <si>
    <t>Es-Tu-Mēs, well-being Balvu novadā</t>
  </si>
  <si>
    <t>ERAF projekts Balvu mākslas skolas ēkas energoefektivitātes paaugstināšana</t>
  </si>
  <si>
    <t>Projekts "Dzīvo vesels"-veselīga dzīvesveida un  profilakses veicināšanas pasākumi Rugāju un Lazdukalna pagastu iedzīvotājiem</t>
  </si>
  <si>
    <t>Vides pieejamības veicināšana Balvu novada Nodarbinātības valsts aģentūrā</t>
  </si>
  <si>
    <t>Rekavas vidusskolas darbnīcu ēkas energoefektivitātes paaugstināšana</t>
  </si>
  <si>
    <t>Balvu sākumskolas pārbūve</t>
  </si>
  <si>
    <t>Bērzpils komunālā saimniecība -notekūdeņu apsaimniekošana</t>
  </si>
  <si>
    <t>Bērzpils komunālā saimniecība - ūdens</t>
  </si>
  <si>
    <t>Tilžas komunālā saimniecība -notekūdeņu apsaimniekošana</t>
  </si>
  <si>
    <t>Tilžas komunālā saimniecība - apkure</t>
  </si>
  <si>
    <t>Tilžas komunālā saimniecība - ūdens</t>
  </si>
  <si>
    <t>AS Balvu Enerģija akciju iegāde</t>
  </si>
  <si>
    <t>Viduču pamatskola Žīguros</t>
  </si>
  <si>
    <t>ERASMUS+ projekts Balvu profesionālā un vispārizglītojošā vidusskola (Pandemi Art)</t>
  </si>
  <si>
    <t>Erasmus + projekts Play, Learn, Act, Ensure Sustainable Development Viļakas Valsts ģimnāzija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</si>
  <si>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</si>
  <si>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</si>
  <si>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</si>
  <si>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</si>
  <si>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</si>
  <si>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</si>
  <si>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</si>
  <si>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</si>
  <si>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</si>
  <si>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</si>
  <si>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Rugāju  pagasta pārvalde</t>
  </si>
  <si>
    <t>03.000</t>
  </si>
  <si>
    <t>Sabiedriskā kārtība un drošība</t>
  </si>
  <si>
    <t>04.000</t>
  </si>
  <si>
    <t>Ekonomiskā darbība</t>
  </si>
  <si>
    <t>Algoti pagaidu sabiedriskie darbi</t>
  </si>
  <si>
    <t>Balvu novada Būvvalde</t>
  </si>
  <si>
    <t>Ziemeļlatgales biznesa  un tūrisma centrs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</si>
  <si>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</si>
  <si>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</si>
  <si>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</si>
  <si>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</si>
  <si>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</si>
  <si>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</si>
  <si>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</si>
  <si>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</si>
  <si>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P/A "SAN-TEX"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</si>
  <si>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</si>
  <si>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</si>
  <si>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</si>
  <si>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</si>
  <si>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</si>
  <si>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Lazdulejas feldšeru veselības punkts</t>
  </si>
  <si>
    <t>Skujetnieku feldšeru veselības punkts</t>
  </si>
  <si>
    <t>Upītes feldšeru-vecmāšu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</si>
  <si>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</si>
  <si>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</si>
  <si>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</si>
  <si>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</si>
  <si>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</si>
  <si>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Sporta pasākumi novadā</t>
  </si>
  <si>
    <t>Kultūra</t>
  </si>
  <si>
    <t>Bibliotēkas</t>
  </si>
  <si>
    <t>Muzeji</t>
  </si>
  <si>
    <t>Balvu novada muzejs</t>
  </si>
  <si>
    <t>Kultūras nami</t>
  </si>
  <si>
    <t>Nemateriālās kultūras mantojuma centrs "Upīte"</t>
  </si>
  <si>
    <t>Balvu kultūras un atpūtas centra pasākumi</t>
  </si>
  <si>
    <t>08.600</t>
  </si>
  <si>
    <t>Pārējā citur neklasificētā kultūra</t>
  </si>
  <si>
    <t>Nacionālo partizānu mītnes vietnes (pilsētiņas) Stompaku purvā atjaunošana</t>
  </si>
  <si>
    <t>09.000</t>
  </si>
  <si>
    <t>Izglītība</t>
  </si>
  <si>
    <t>Pirmsskolas izglītība</t>
  </si>
  <si>
    <t>Pamatizglītība, vispārējā un profesionālā izglītība</t>
  </si>
  <si>
    <t>Pamatskola</t>
  </si>
  <si>
    <t>Bērzpils pamatskolas Krišjāņu pirmsskolas grupa</t>
  </si>
  <si>
    <t>Vidusskolas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</si>
  <si>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</si>
  <si>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</si>
  <si>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</si>
  <si>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</si>
  <si>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</si>
  <si>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</si>
  <si>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</si>
  <si>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</si>
  <si>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</si>
  <si>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</si>
  <si>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Domes priekšsēdētājs                                                                                               S.Maksimovs</t>
  </si>
  <si>
    <t>Rugāju komunālā saimniecība - notekūdeņu apsaimniekošana</t>
  </si>
  <si>
    <t>Baltinavas komunālā saimniecība - notekūdeņu apsaimniekošana</t>
  </si>
  <si>
    <t>Lazdukalna komunālā saimniecība - notekūdeņu apsaimniekošana</t>
  </si>
  <si>
    <t>Kupravas pagasta komunālā saimniecība</t>
  </si>
  <si>
    <t>Medņevas pagasta komunālā saimniecība</t>
  </si>
  <si>
    <t>Šķilbēnu pagasta komunālā saimniecība</t>
  </si>
  <si>
    <t>Vecumu pagasta teritorijas apsaimniekošana</t>
  </si>
  <si>
    <t>Rekavas komunālā saimniecība - apkure</t>
  </si>
  <si>
    <t>Žīguru komunālā saimniecība - ūdens</t>
  </si>
  <si>
    <t>2.pielikums</t>
  </si>
  <si>
    <t>Balvu novada pašvaldības pamatbudžeta ieņēmumi 2023.gadam (EUR)</t>
  </si>
  <si>
    <t>Ieņēmumi</t>
  </si>
  <si>
    <t>Ieņēmumu veidi</t>
  </si>
  <si>
    <t>KOPĀ (EUR)</t>
  </si>
  <si>
    <t>Vispārējie pamatbudžeta ieņēmumi (EUR)</t>
  </si>
  <si>
    <t>Maksas pakalpojumi un pašu ieņēmumi (EUR)</t>
  </si>
  <si>
    <t>Valsts mērķdotācijas (EUR)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</si>
  <si>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</si>
  <si>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</si>
  <si>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</si>
  <si>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</si>
  <si>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</si>
  <si>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</si>
  <si>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</si>
  <si>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</si>
  <si>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</si>
  <si>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</si>
  <si>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</si>
  <si>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</si>
  <si>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</si>
  <si>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</si>
  <si>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</si>
  <si>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</si>
  <si>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</si>
  <si>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Nekustamā īpašuma nodoklis par zemi-iepriekšējo gadu parādi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</si>
  <si>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</si>
  <si>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</si>
  <si>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</si>
  <si>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</si>
  <si>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</si>
  <si>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</si>
  <si>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Nekustamā īpašuma nodoklis par ēkām-iepriekšējo gadu parādi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</si>
  <si>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</si>
  <si>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</si>
  <si>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</si>
  <si>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</si>
  <si>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</si>
  <si>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</si>
  <si>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</si>
  <si>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</si>
  <si>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</si>
  <si>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</si>
  <si>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</si>
  <si>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</si>
  <si>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</si>
  <si>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</si>
  <si>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</si>
  <si>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</si>
  <si>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</si>
  <si>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</si>
  <si>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</si>
  <si>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</si>
  <si>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</si>
  <si>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</si>
  <si>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</si>
  <si>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Valsts nodevas, kuras ieskaita valsts budžetā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</si>
  <si>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</si>
  <si>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</si>
  <si>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</si>
  <si>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</si>
  <si>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</si>
  <si>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</si>
  <si>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</si>
  <si>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</si>
  <si>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</si>
  <si>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</si>
  <si>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</si>
  <si>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</si>
  <si>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</si>
  <si>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9.5.2.1.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</si>
  <si>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</si>
  <si>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</si>
  <si>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</si>
  <si>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</si>
  <si>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</si>
  <si>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</si>
  <si>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</si>
  <si>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</si>
  <si>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</si>
  <si>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</si>
  <si>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</si>
  <si>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</si>
  <si>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</si>
  <si>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</si>
  <si>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</si>
  <si>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</si>
  <si>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</si>
  <si>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</si>
  <si>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</si>
  <si>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</si>
  <si>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17.0.0.0.</t>
  </si>
  <si>
    <t>NO VALSTS BUDŽETA DAĻĒJI FINANSĒTO PUBLISKO PERSONU UN BUDŽETA NEFINANSĒTO IESTĀŽU TRANSFERTI</t>
  </si>
  <si>
    <t>Latgales plānošanas reģiona finansējums projektam "Deinstitucionalizācijas pasākumu īstenošana Latgales reģionā"</t>
  </si>
  <si>
    <t>17.2.0.0.</t>
  </si>
  <si>
    <t>18.0.0.0.</t>
  </si>
  <si>
    <t>VALSTS BUDŽETA TRANSFERTI</t>
  </si>
  <si>
    <t>18.6.2.0.</t>
  </si>
  <si>
    <t>Pašvaldības saņemtie valsts budžeta transferti noteiktam mērķim</t>
  </si>
  <si>
    <t>18.6.2.0.02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</si>
  <si>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</si>
  <si>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</si>
  <si>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</si>
  <si>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18.6.2.0.03</t>
  </si>
  <si>
    <t>18.6.2.0.04</t>
  </si>
  <si>
    <t>Mērķdotācija audžuģimenēm par bērna uzturnaudas palielināšanu</t>
  </si>
  <si>
    <t>18.6.2.0.05</t>
  </si>
  <si>
    <t>Valsts dotācija autoceļu (ielu) uzturēšanai</t>
  </si>
  <si>
    <t>18.6.2.0.06</t>
  </si>
  <si>
    <t>Valsts dotācija sporta skolai</t>
  </si>
  <si>
    <t>18.6.2.0.07</t>
  </si>
  <si>
    <t>Valsts dotācija mūzikas un mākslas skolām</t>
  </si>
  <si>
    <t>18.6.2.0.08</t>
  </si>
  <si>
    <t>Valsts dotācija 1.-4.klašu brīvpusdienu daļējai apmaksai</t>
  </si>
  <si>
    <t>18.6.2.0.11</t>
  </si>
  <si>
    <t>18.6.2.0.13</t>
  </si>
  <si>
    <t>MD māksliniecisko kolektīvu vadītāju darba samaksai un valsts sociālās apdrošināšanas obligātajām iemaksām</t>
  </si>
  <si>
    <t>18.6.2.0.14</t>
  </si>
  <si>
    <t>Valsts un pašvaldības vienotā klientu apkalpošanas centra uzturēšana</t>
  </si>
  <si>
    <t>Latvijas Skolas soma</t>
  </si>
  <si>
    <t>18.6.2.0.18.</t>
  </si>
  <si>
    <t>18.6.2.0.23</t>
  </si>
  <si>
    <t>Feldšerpunktu dotācija</t>
  </si>
  <si>
    <t>18.6.2.0.20</t>
  </si>
  <si>
    <t>LM finansējums asistenta pakalpojumiem personām ar invaliditāti</t>
  </si>
  <si>
    <t>18.6.2.0.27</t>
  </si>
  <si>
    <t>18.6.2.0.30</t>
  </si>
  <si>
    <t>18.6.2.0.47</t>
  </si>
  <si>
    <t>18.6.2.0.54</t>
  </si>
  <si>
    <t>Valsts dotācija mājokļa pabalstam</t>
  </si>
  <si>
    <t>18.6.2.0.52</t>
  </si>
  <si>
    <t>18.6.3.0.</t>
  </si>
  <si>
    <t>Pašvaldību no valsts budžeta iestādēm saņemtie transferti ES politiku instrumentu un pārējās ārvalstu finanšu palīdzības līdzfinansētajiem projektiem (pasākumiem)</t>
  </si>
  <si>
    <t>18.6.4.0.</t>
  </si>
  <si>
    <t>Pašvaldību budžetā saņemta dotācijas no pašvaldības finanšu izlīdzināšanas fonda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</si>
  <si>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</si>
  <si>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</si>
  <si>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</si>
  <si>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</si>
  <si>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</si>
  <si>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21.3.7.0.</t>
  </si>
  <si>
    <t>Ieņēmumi par dokumentu izsniegšanu un kancelejas pakalpojumiem</t>
  </si>
  <si>
    <t>21.3.8.0.</t>
  </si>
  <si>
    <t>Ieņēmumi par nomu un īri</t>
  </si>
  <si>
    <t>21.3.8.1.</t>
  </si>
  <si>
    <t>21.3.8.3.</t>
  </si>
  <si>
    <t>Ieņēmumi no kustamā īpašuma iznomāšanas</t>
  </si>
  <si>
    <t>21.3.8.4.</t>
  </si>
  <si>
    <t>Ieņēmumi par zemes nomu</t>
  </si>
  <si>
    <t>21.3.8.9.</t>
  </si>
  <si>
    <t>Pārējie ieņēmumi par nomu un īri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</si>
  <si>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</si>
  <si>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</si>
  <si>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</si>
  <si>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</si>
  <si>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</si>
  <si>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</si>
  <si>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21.3.9.3.</t>
  </si>
  <si>
    <t>Ieņēmumi par biļešu realizāciju</t>
  </si>
  <si>
    <t>21.3.9.4.</t>
  </si>
  <si>
    <t>Ieņēmumi par dzīvokļu un komunālajiem pakalpojumiem</t>
  </si>
  <si>
    <t>21.3.9.4.2.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</si>
  <si>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</si>
  <si>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</si>
  <si>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</si>
  <si>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</si>
  <si>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</si>
  <si>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</si>
  <si>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</si>
  <si>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</si>
  <si>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</si>
  <si>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</si>
  <si>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21.3.9.9.7.</t>
  </si>
  <si>
    <t>Ieņēmumi no darbinieku ēdināšanas</t>
  </si>
  <si>
    <t>21.4.0.0.</t>
  </si>
  <si>
    <t>Pārējie 2.3.0.0.0.grupā neklasificētie budžeta iestāžu ieņēmumi par budžeta iestāžu sniegtajiem maksas pakalpojumiem un citi pašu ieņēmumi</t>
  </si>
  <si>
    <t>21.4.2.9.</t>
  </si>
  <si>
    <t>Pārējie iepriekš neklasificētie īpašiem mērķiem noteiktie ieņēmumi</t>
  </si>
  <si>
    <t>21.4.9.0.</t>
  </si>
  <si>
    <t>Citi iepriekš neklasificētie pašu ieņēmumi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</si>
  <si>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</si>
  <si>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</si>
  <si>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</si>
  <si>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</si>
  <si>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</si>
  <si>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</si>
  <si>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</si>
  <si>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</si>
  <si>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</si>
  <si>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</si>
  <si>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</si>
  <si>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</si>
  <si>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</si>
  <si>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</si>
  <si>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</si>
  <si>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</si>
  <si>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</si>
  <si>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</si>
  <si>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</si>
  <si>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</si>
  <si>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</si>
  <si>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</si>
  <si>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</si>
  <si>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</si>
  <si>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</si>
  <si>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</si>
  <si>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</si>
  <si>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</si>
  <si>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</si>
  <si>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 xml:space="preserve">  18.6.0.0.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</si>
  <si>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</si>
  <si>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</si>
  <si>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</si>
  <si>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</si>
  <si>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</si>
  <si>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</si>
  <si>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</si>
  <si>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</si>
  <si>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</si>
  <si>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</si>
  <si>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</si>
  <si>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</si>
  <si>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</si>
  <si>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</si>
  <si>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</si>
  <si>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</si>
  <si>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</si>
  <si>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</si>
  <si>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</si>
  <si>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</si>
  <si>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</si>
  <si>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</si>
  <si>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</si>
  <si>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</si>
  <si>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</si>
  <si>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</si>
  <si>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</si>
  <si>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</si>
  <si>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</si>
  <si>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</si>
  <si>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</si>
  <si>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</si>
  <si>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</si>
  <si>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</si>
  <si>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</si>
  <si>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</si>
  <si>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</si>
  <si>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</si>
  <si>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</si>
  <si>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Balvu muižas apbūves tematiskā plānojuma izstrāde</t>
  </si>
  <si>
    <t>F40020010</t>
  </si>
  <si>
    <t>Atlikums             uz gada sākumu</t>
  </si>
  <si>
    <t>Ģimenei draudzīgākā pašvaldība 2022</t>
  </si>
  <si>
    <t>Valsts dotācija Ukrainas civiliedzīvotāju izmitināšanas iespējām</t>
  </si>
  <si>
    <t>Ukrainas civiliedzīvotāju izmitināšanas iespējām</t>
  </si>
  <si>
    <t>Veļas mājas pakalpojumi iedzīvotājiem Baltinavā</t>
  </si>
  <si>
    <t>Projekts ERASMUS+ akreditācija
Nr. 2021-1-LV01-KA121-SCH-000006935 2 Rugāju vidusskola</t>
  </si>
  <si>
    <t>Atbalsts mājsaimniecībām apkures izdevumu kompensēšanai</t>
  </si>
  <si>
    <t>Valsts dotācija Ukrainas civiliedzīvotāju atbalstam</t>
  </si>
  <si>
    <t>Atbalsts Ukrainas civiliedzīvotājiem un izmitināšanas iespējām</t>
  </si>
  <si>
    <t>Dotācija asistentu pakalpojumu nodrošināšanai</t>
  </si>
  <si>
    <t>Ieņēmumi par nedzīvojamā nekustamā īpašuma nomu</t>
  </si>
  <si>
    <t>PAŠVALDĪBU BUDŽETU TRANSFERTI</t>
  </si>
  <si>
    <t>19.0.0.0.</t>
  </si>
  <si>
    <t>19.2.0.0.01.</t>
  </si>
  <si>
    <t>Pašvaldību budžetu transferti</t>
  </si>
  <si>
    <t>19.0.0.0</t>
  </si>
  <si>
    <t>Pašvaldību saņemtie transferti no citām pašvaldībām</t>
  </si>
  <si>
    <t>19.2.0.0.</t>
  </si>
  <si>
    <t>Apstiprināts 2023. gadam (EUR)</t>
  </si>
  <si>
    <t>Apstiprināts 2023.gadam (EUR)</t>
  </si>
  <si>
    <t>Vectilžas komunālā saimniecība - ūdens</t>
  </si>
  <si>
    <t>Vīksnas pagasta komunālā saimniecība-ūdens</t>
  </si>
  <si>
    <t>Bērzkalnes komunālā saimniecība - ūdens</t>
  </si>
  <si>
    <t>Briežuciema komunālā saimniecība - ūdens</t>
  </si>
  <si>
    <t>Lazdulejas komunālā saimniecība - ūdens</t>
  </si>
  <si>
    <t>Bērzkalnes komunālā saimniecība - notekūdeņu apsaimniekošana</t>
  </si>
  <si>
    <t>Briežuciema komunālā saimniecība - notekūdeņu apsaimniekošana</t>
  </si>
  <si>
    <t>Lazdulejas komunālā saimniecība - notekūdeņu apsaimniekošana</t>
  </si>
  <si>
    <t>Briežuciema komunālā saimniecība -notekūdeņu apsaimniekošana</t>
  </si>
  <si>
    <t>Vīksnas komunālā saimniecība -notekūdeņu apsaimniekošana</t>
  </si>
  <si>
    <t>Vīksnas komunālā saimniecība - ūdens</t>
  </si>
  <si>
    <t>Vidzemes ielas pārbūve</t>
  </si>
  <si>
    <t>Bērzkalnes komunālā saimniecība -notekūdeņu apsaimniekošana</t>
  </si>
  <si>
    <t>Autoceļu (ielu) uzturēšanas līdzekļu rezerves fonds</t>
  </si>
  <si>
    <t>Balvu pilsētas stadiona rekonstrukcija</t>
  </si>
  <si>
    <t>Projekts "Strengthening the entrepreneurial environment of the Balvi municipality"</t>
  </si>
  <si>
    <t>Baltinavas pagasta teritorijas apsaimniekošana</t>
  </si>
  <si>
    <t>Skolēnu pārvadāšana Susāju pārvalde</t>
  </si>
  <si>
    <t>Balvu novada domes</t>
  </si>
  <si>
    <t>Pašvaldības nodeva par būvatļaujas izdošanu vai būvniecības ieceres akceptu</t>
  </si>
  <si>
    <t>Rugāju Tautas nams</t>
  </si>
  <si>
    <t>Lazdukalna Saieta nams</t>
  </si>
  <si>
    <t>Pašvaldības infrastruktūras attīstība, uzlabojot pakalpojumu efektivitāti "Upītes Kultūrtelpā"</t>
  </si>
  <si>
    <t>Tilžas pamatskolas pirmsskolas izglītības grupa Tilžā</t>
  </si>
  <si>
    <t>Erasmus projekts "Bilimi T @kipteyiz" 2020-1-TR01-KA229-094355_2</t>
  </si>
  <si>
    <t>ERASMUS+ "My e story" projekts Balvu profesionālā un             vispārizglītojošā vidusskola 2020-1-ES01-KA229- 078654_2</t>
  </si>
  <si>
    <t>ERASMUS+ "Health For Body" projekts Balvu profesionālā un    vispārizglītojošā vidusskola 2020-1-BG01-KA229- 079124_4</t>
  </si>
  <si>
    <t>ERASMUS+ "Health For Body" projekts Balvu profesionālā    un vispārizglītojošā vidusskola 2020-1-BG01-KA229- 079124_4</t>
  </si>
  <si>
    <t>ERASMUS+ "My e story" projekts Balvu profesionālā un          vispārizglītojošā vidusskola 2020-1-ES01-KA229- 078654_2</t>
  </si>
  <si>
    <t>Žīguru Kultūras nams</t>
  </si>
  <si>
    <t>Viļakas Kultūras nams</t>
  </si>
  <si>
    <t>Tilžas Kultūras un vēstures nams</t>
  </si>
  <si>
    <t>Kubulu Kultūras nams</t>
  </si>
  <si>
    <t>Baltinavas Kultūras nams</t>
  </si>
  <si>
    <t>Latvijas neredzīgo biedrība</t>
  </si>
  <si>
    <t>Kubulu pagasta ielu pārbūve</t>
  </si>
  <si>
    <t>Dotācijas nevalstiskajām organizācijām, biedrībām projektu līdzfinansējumam, priekšfinansējumam</t>
  </si>
  <si>
    <t>Ekspozīcijas "Viļakas apkārtne vēstures līkločos" 1. posma realizācija. Viļakas muzejs.</t>
  </si>
  <si>
    <t>Ukrainas civiliedzīvotāju mērķdotācija pabalstu izmaksām</t>
  </si>
  <si>
    <t>Valsts atbalsts pašvaldībām sociālo darbinieku atlīdzības palielināšanai</t>
  </si>
  <si>
    <t>Nekustamā īpašuma nodoklis par mājokļiem-iepriekšējo gadu parādi</t>
  </si>
  <si>
    <t>Pašvaldības nodeva par reklāmas, afišu un sludinājumu izvietošanu publiskajās vietās</t>
  </si>
  <si>
    <t>Pašvaldību saņemtie transferti no valsts budžeta daļēji atvasinātām publiskām personām un no budžeta nefinansētām iestādēm</t>
  </si>
  <si>
    <t>Mērķdotācijas pašvaldības izglītības iestāžu piecgadīgo un sešgadīgo bērnu apmācības pedagogu darba samaksai un valsts soc.apdrošināšanas obligātajām iemaksām</t>
  </si>
  <si>
    <t>Valsts dotācija projektam "Pašvaldības infrastruktūras attīstība, uzlabojot pakalpojumu efektivitāti "Upītes Kultūrtelpā""</t>
  </si>
  <si>
    <t>Dotācija no līdzekļiem neparedzētiem gadījumiem atskurbtuves uzturēšanai</t>
  </si>
  <si>
    <t>Ieņēmumi izglītības funkciju nodrošināšanai</t>
  </si>
  <si>
    <t>Ieņēmumi par komunāliem pakalpojumiem</t>
  </si>
  <si>
    <t>Viļakas pilsētas komunālā saimniecība-notekūdeņu apsaimniekošana</t>
  </si>
  <si>
    <t>Vīksnas komunālā saimniecība-notekūdeņu apsaimniekošana</t>
  </si>
  <si>
    <t>Balvu profesionālā un vispārizglītojošā vidusskola</t>
  </si>
  <si>
    <t>Balvu profesionālās un vispārizglītojošās vidusskolas tālākizglītības centrs</t>
  </si>
  <si>
    <t>7.Starptautiskais mākslas plenērs Valdis Bušs 2023</t>
  </si>
  <si>
    <t>Projekts "Lasītāji satiek rakstniekus 2023" Balvu Centrālā bibliotēka</t>
  </si>
  <si>
    <t>Projekts "Akordeona iegāde Viļakas mūzikas un mākslas skolai"</t>
  </si>
  <si>
    <t>XXVII Vispārējie latviešu Dziesmu un XVII Deju svētki</t>
  </si>
  <si>
    <t>2023.gada 23.marta saistošajiem noteikumiem Nr.4/2023</t>
  </si>
  <si>
    <t>Grozījumi</t>
  </si>
  <si>
    <t>2023.gada 27.aprīļa saistošajiem noteikumiem Nr.__/2023</t>
  </si>
  <si>
    <t>"Grozījumi 2023.gada 23.marta saistošajos noteikumos Nr.4/2023</t>
  </si>
  <si>
    <t>"Par Balvu novada pašvaldības budžetu 2023.gadam""</t>
  </si>
  <si>
    <t>Grozījumi (EUR)</t>
  </si>
  <si>
    <t>Apstiprināts ar grozījumiem 2023.gadam (EUR)</t>
  </si>
  <si>
    <t xml:space="preserve">    Domes priekšsēdētāja vietniece                                                                                             S.Kapteine</t>
  </si>
  <si>
    <t>Domes priekšsēdētāja vietniece                                                                                               S.Kapteine</t>
  </si>
  <si>
    <t xml:space="preserve">Domes priekšsēdētāja vietniece                                                                                              S.Kapteine                                               </t>
  </si>
  <si>
    <t>1. pielikums</t>
  </si>
  <si>
    <t>2023. gada 27. aprīļa saistošajiem noteikumiem Nr. 5/2023</t>
  </si>
  <si>
    <t>"Grozījumi  Balvu novada domes 2023. gada 23. marta saistošajos noteikumos Nr. 4/2023</t>
  </si>
  <si>
    <t>2023. gada 23. marta saistošajiem noteikumiem Nr. 4/2023</t>
  </si>
  <si>
    <t>"Par Balvu novada pašvaldības 2023. gada budžetu"</t>
  </si>
  <si>
    <t>Balvu novada pašvaldības pamatbudžets 2023. gadam ( EUR)</t>
  </si>
  <si>
    <t>2. pielikums</t>
  </si>
  <si>
    <t>"Grozījumi Balvu novada domes  2023. gada 23. marta saistošajos noteikumos Nr. 4/2023</t>
  </si>
  <si>
    <t>"Par Balvu novada pašvaldības budžetu 2023. gadam""</t>
  </si>
  <si>
    <t>3. pielikums</t>
  </si>
  <si>
    <t>Balvu novada pašvaldības pamatbudžeta izdevumi 2023. gadam (EUR)</t>
  </si>
  <si>
    <t>2023. gada 27. aprīļa saistošajiem noteikumiem Nr .5/2023</t>
  </si>
  <si>
    <t>"Grozījumi Balvu novada domes 2023. gada 23. marta saistošajos noteikumos Nr .4/2023</t>
  </si>
  <si>
    <t>4. pielikums</t>
  </si>
  <si>
    <t>Balvu novada pašvaldības 2023. gada  pamatbudžeta izdevumi atbilstoši ekonomiskajām kategorijām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</si>
</sst>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5" x14ac:knownFonts="1">
    <font>
      <sz val="11"/>
      <color theme="1"/>
      <name val="Calibri"/>
      <family val="2"/>
      <charset val="186"/>
      <scheme val="minor"/>
    </font>
    <font>
      <b/>
      <i/>
      <sz val="11"/>
      <name val="Times New Roman"/>
      <family val="1"/>
      <charset val="186"/>
    </font>
    <font>
      <sz val="9"/>
      <name val="Tahoma"/>
      <family val="2"/>
      <charset val="186"/>
    </font>
    <font>
      <b/>
      <sz val="9"/>
      <name val="Tahoma"/>
      <family val="2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3"/>
      <name val="Times New Roman"/>
      <family val="1"/>
      <charset val="186"/>
    </font>
    <font>
      <sz val="13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b/>
      <sz val="16"/>
      <name val="Times New Roman"/>
      <family val="1"/>
      <charset val="186"/>
    </font>
    <font>
      <i/>
      <sz val="11"/>
      <name val="Times New Roman"/>
      <family val="1"/>
      <charset val="186"/>
    </font>
    <font>
      <sz val="14"/>
      <name val="Times New Roman"/>
      <family val="1"/>
      <charset val="186"/>
    </font>
    <font>
      <b/>
      <u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0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22" fillId="0" borderId="0" applyFont="0" applyFill="0" applyBorder="0" applyAlignment="0" applyProtection="0"/>
  </cellStyleXfs>
  <cellXfs count="126">
    <xf numFmtId="0" fontId="0" fillId="0" borderId="0" xfId="0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2" fillId="0" borderId="0" xfId="0" applyFont="1"/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wrapText="1"/>
      <protection locked="0"/>
    </xf>
    <xf numFmtId="0" fontId="7" fillId="0" borderId="1" xfId="0" applyFont="1" applyBorder="1" applyAlignment="1" applyProtection="1">
      <alignment horizontal="left" wrapText="1"/>
      <protection locked="0"/>
    </xf>
    <xf numFmtId="3" fontId="7" fillId="0" borderId="1" xfId="0" applyNumberFormat="1" applyFont="1" applyBorder="1" applyAlignment="1" applyProtection="1">
      <alignment horizontal="center" wrapText="1"/>
      <protection locked="0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center" wrapText="1"/>
      <protection locked="0"/>
    </xf>
    <xf numFmtId="3" fontId="6" fillId="0" borderId="1" xfId="0" applyNumberFormat="1" applyFont="1" applyBorder="1" applyAlignment="1" applyProtection="1">
      <alignment horizontal="center" wrapText="1"/>
      <protection locked="0"/>
    </xf>
    <xf numFmtId="0" fontId="7" fillId="0" borderId="1" xfId="0" applyFont="1" applyBorder="1" applyAlignment="1">
      <alignment horizontal="left" wrapText="1"/>
    </xf>
    <xf numFmtId="3" fontId="7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6" fillId="0" borderId="1" xfId="0" applyFont="1" applyBorder="1"/>
    <xf numFmtId="3" fontId="6" fillId="0" borderId="1" xfId="0" applyNumberFormat="1" applyFont="1" applyBorder="1" applyAlignment="1">
      <alignment horizontal="center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/>
    <xf numFmtId="0" fontId="10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4" fillId="0" borderId="1" xfId="0" applyFont="1" applyBorder="1" applyAlignment="1">
      <alignment vertical="top" wrapText="1"/>
    </xf>
    <xf numFmtId="0" fontId="7" fillId="0" borderId="1" xfId="0" applyFont="1" applyBorder="1"/>
    <xf numFmtId="3" fontId="7" fillId="0" borderId="1" xfId="0" applyNumberFormat="1" applyFont="1" applyBorder="1"/>
    <xf numFmtId="3" fontId="6" fillId="0" borderId="1" xfId="0" applyNumberFormat="1" applyFont="1" applyBorder="1"/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left"/>
    </xf>
    <xf numFmtId="0" fontId="6" fillId="0" borderId="1" xfId="0" applyFont="1" applyBorder="1" applyAlignment="1">
      <alignment wrapText="1"/>
    </xf>
    <xf numFmtId="0" fontId="8" fillId="0" borderId="0" xfId="0" applyFont="1"/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left" vertical="center" wrapText="1"/>
    </xf>
    <xf numFmtId="3" fontId="6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vertical="center" wrapText="1"/>
    </xf>
    <xf numFmtId="1" fontId="7" fillId="0" borderId="0" xfId="0" applyNumberFormat="1" applyFont="1" applyAlignment="1">
      <alignment horizontal="center"/>
    </xf>
    <xf numFmtId="1" fontId="6" fillId="0" borderId="0" xfId="0" applyNumberFormat="1" applyFont="1"/>
    <xf numFmtId="3" fontId="7" fillId="0" borderId="1" xfId="0" applyNumberFormat="1" applyFont="1" applyBorder="1" applyAlignment="1">
      <alignment horizontal="right" wrapText="1"/>
    </xf>
    <xf numFmtId="3" fontId="6" fillId="0" borderId="1" xfId="0" applyNumberFormat="1" applyFont="1" applyBorder="1" applyAlignment="1">
      <alignment horizontal="right"/>
    </xf>
    <xf numFmtId="0" fontId="9" fillId="0" borderId="1" xfId="0" applyFont="1" applyBorder="1"/>
    <xf numFmtId="3" fontId="7" fillId="0" borderId="1" xfId="0" applyNumberFormat="1" applyFont="1" applyBorder="1" applyAlignment="1">
      <alignment horizontal="right"/>
    </xf>
    <xf numFmtId="2" fontId="6" fillId="0" borderId="1" xfId="0" applyNumberFormat="1" applyFont="1" applyBorder="1" applyAlignment="1">
      <alignment horizontal="center"/>
    </xf>
    <xf numFmtId="3" fontId="9" fillId="0" borderId="0" xfId="0" applyNumberFormat="1" applyFont="1"/>
    <xf numFmtId="0" fontId="6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vertical="top" wrapText="1"/>
    </xf>
    <xf numFmtId="164" fontId="7" fillId="0" borderId="1" xfId="1" applyFont="1" applyFill="1" applyBorder="1" applyAlignment="1">
      <alignment horizontal="center" vertical="top"/>
    </xf>
    <xf numFmtId="0" fontId="5" fillId="0" borderId="0" xfId="0" applyFont="1" applyAlignment="1">
      <alignment horizontal="right"/>
    </xf>
    <xf numFmtId="1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3" fontId="1" fillId="0" borderId="1" xfId="0" applyNumberFormat="1" applyFont="1" applyBorder="1" applyAlignment="1">
      <alignment horizontal="left" wrapText="1"/>
    </xf>
    <xf numFmtId="3" fontId="5" fillId="0" borderId="1" xfId="0" applyNumberFormat="1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vertical="center" wrapText="1"/>
    </xf>
    <xf numFmtId="3" fontId="15" fillId="0" borderId="2" xfId="0" applyNumberFormat="1" applyFont="1" applyBorder="1" applyAlignment="1">
      <alignment wrapText="1"/>
    </xf>
    <xf numFmtId="3" fontId="15" fillId="0" borderId="3" xfId="0" applyNumberFormat="1" applyFont="1" applyBorder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left" vertical="center" wrapText="1"/>
    </xf>
    <xf numFmtId="3" fontId="5" fillId="0" borderId="2" xfId="0" applyNumberFormat="1" applyFont="1" applyBorder="1" applyAlignment="1">
      <alignment wrapText="1"/>
    </xf>
    <xf numFmtId="3" fontId="5" fillId="0" borderId="0" xfId="0" applyNumberFormat="1" applyFont="1" applyAlignment="1">
      <alignment wrapText="1"/>
    </xf>
    <xf numFmtId="3" fontId="5" fillId="0" borderId="4" xfId="0" applyNumberFormat="1" applyFont="1" applyBorder="1" applyAlignment="1">
      <alignment horizontal="right" wrapText="1"/>
    </xf>
    <xf numFmtId="3" fontId="5" fillId="0" borderId="4" xfId="0" applyNumberFormat="1" applyFont="1" applyBorder="1" applyAlignment="1">
      <alignment wrapText="1"/>
    </xf>
    <xf numFmtId="3" fontId="5" fillId="0" borderId="1" xfId="0" applyNumberFormat="1" applyFont="1" applyBorder="1" applyAlignment="1">
      <alignment horizontal="right" wrapText="1"/>
    </xf>
    <xf numFmtId="3" fontId="5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vertical="top"/>
    </xf>
    <xf numFmtId="3" fontId="4" fillId="0" borderId="1" xfId="0" applyNumberFormat="1" applyFont="1" applyBorder="1"/>
    <xf numFmtId="3" fontId="5" fillId="0" borderId="5" xfId="0" applyNumberFormat="1" applyFont="1" applyBorder="1" applyAlignment="1">
      <alignment horizontal="right" wrapText="1"/>
    </xf>
    <xf numFmtId="3" fontId="5" fillId="0" borderId="5" xfId="0" applyNumberFormat="1" applyFont="1" applyBorder="1" applyAlignment="1">
      <alignment wrapText="1"/>
    </xf>
    <xf numFmtId="0" fontId="1" fillId="0" borderId="3" xfId="0" applyFont="1" applyBorder="1" applyAlignment="1">
      <alignment vertical="center" wrapText="1"/>
    </xf>
    <xf numFmtId="3" fontId="5" fillId="0" borderId="3" xfId="0" applyNumberFormat="1" applyFont="1" applyBorder="1" applyAlignment="1">
      <alignment horizontal="right" wrapText="1"/>
    </xf>
    <xf numFmtId="3" fontId="5" fillId="0" borderId="3" xfId="0" applyNumberFormat="1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/>
    </xf>
    <xf numFmtId="3" fontId="4" fillId="0" borderId="1" xfId="0" applyNumberFormat="1" applyFont="1" applyBorder="1" applyAlignment="1">
      <alignment horizontal="left"/>
    </xf>
    <xf numFmtId="0" fontId="4" fillId="0" borderId="0" xfId="0" applyFont="1" applyAlignment="1">
      <alignment vertical="top"/>
    </xf>
    <xf numFmtId="1" fontId="4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0" fontId="16" fillId="0" borderId="0" xfId="0" applyFont="1"/>
    <xf numFmtId="1" fontId="5" fillId="0" borderId="0" xfId="0" applyNumberFormat="1" applyFont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center"/>
    </xf>
    <xf numFmtId="0" fontId="19" fillId="0" borderId="1" xfId="0" applyFont="1" applyBorder="1" applyAlignment="1">
      <alignment horizontal="left" wrapText="1"/>
    </xf>
    <xf numFmtId="3" fontId="19" fillId="0" borderId="1" xfId="0" applyNumberFormat="1" applyFont="1" applyBorder="1" applyAlignment="1">
      <alignment horizontal="right" wrapText="1"/>
    </xf>
    <xf numFmtId="3" fontId="19" fillId="0" borderId="1" xfId="0" applyNumberFormat="1" applyFont="1" applyBorder="1"/>
    <xf numFmtId="3" fontId="20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wrapText="1"/>
    </xf>
    <xf numFmtId="3" fontId="1" fillId="3" borderId="1" xfId="0" applyNumberFormat="1" applyFont="1" applyFill="1" applyBorder="1" applyAlignment="1">
      <alignment horizontal="left" wrapText="1"/>
    </xf>
    <xf numFmtId="3" fontId="5" fillId="3" borderId="1" xfId="0" applyNumberFormat="1" applyFont="1" applyFill="1" applyBorder="1"/>
    <xf numFmtId="0" fontId="5" fillId="3" borderId="0" xfId="0" applyFont="1" applyFill="1"/>
    <xf numFmtId="0" fontId="20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49" fontId="6" fillId="0" borderId="1" xfId="0" applyNumberFormat="1" applyFont="1" applyBorder="1" applyAlignment="1">
      <alignment horizontal="left" wrapText="1"/>
    </xf>
    <xf numFmtId="3" fontId="7" fillId="0" borderId="1" xfId="0" applyNumberFormat="1" applyFont="1" applyBorder="1" applyAlignment="1">
      <alignment horizontal="center" vertical="center"/>
    </xf>
    <xf numFmtId="3" fontId="7" fillId="0" borderId="0" xfId="0" applyNumberFormat="1" applyFont="1"/>
    <xf numFmtId="0" fontId="21" fillId="0" borderId="0" xfId="0" applyFont="1"/>
    <xf numFmtId="0" fontId="23" fillId="0" borderId="0" xfId="0" applyFont="1" applyAlignment="1">
      <alignment horizontal="right"/>
    </xf>
    <xf numFmtId="0" fontId="24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tabSelected="1" workbookViewId="0">
      <selection activeCell="F1" sqref="F1"/>
    </sheetView>
  </sheetViews>
  <sheetFormatPr defaultColWidth="9.140625" defaultRowHeight="15.75" x14ac:dyDescent="0.25"/>
  <cols>
    <col min="1" max="1" width="65.7109375" style="5" customWidth="1"/>
    <col min="2" max="5" width="13.85546875" style="5" customWidth="1"/>
    <col min="6" max="6" width="10.140625" style="5" bestFit="1" customWidth="1"/>
    <col min="7" max="16384" width="9.140625" style="5"/>
  </cols>
  <sheetData>
    <row r="1" spans="1:11" customFormat="1" x14ac:dyDescent="0.25">
      <c r="C1" s="110"/>
      <c r="E1" s="116" t="s">
        <v>670</v>
      </c>
      <c r="J1" s="110"/>
    </row>
    <row r="2" spans="1:11" customFormat="1" x14ac:dyDescent="0.25">
      <c r="C2" s="111"/>
      <c r="E2" s="111" t="s">
        <v>622</v>
      </c>
      <c r="J2" s="111"/>
    </row>
    <row r="3" spans="1:11" customFormat="1" x14ac:dyDescent="0.25">
      <c r="C3" s="111"/>
      <c r="E3" s="111" t="s">
        <v>671</v>
      </c>
      <c r="J3" s="111"/>
    </row>
    <row r="4" spans="1:11" customFormat="1" x14ac:dyDescent="0.25">
      <c r="C4" s="111"/>
      <c r="E4" s="111" t="s">
        <v>672</v>
      </c>
      <c r="J4" s="111"/>
    </row>
    <row r="5" spans="1:11" customFormat="1" ht="15.75" customHeight="1" x14ac:dyDescent="0.25">
      <c r="C5" s="111"/>
      <c r="E5" s="111" t="s">
        <v>664</v>
      </c>
      <c r="F5" s="111"/>
      <c r="G5" s="111"/>
      <c r="H5" s="111"/>
      <c r="I5" s="111"/>
      <c r="J5" s="111"/>
    </row>
    <row r="6" spans="1:11" customFormat="1" ht="15.75" customHeight="1" x14ac:dyDescent="0.25">
      <c r="F6" s="111"/>
      <c r="G6" s="111"/>
      <c r="H6" s="111"/>
      <c r="I6" s="111"/>
    </row>
    <row r="7" spans="1:11" x14ac:dyDescent="0.25">
      <c r="A7" s="6"/>
      <c r="C7" s="7"/>
      <c r="E7" s="117" t="s">
        <v>670</v>
      </c>
      <c r="F7" s="6"/>
      <c r="G7" s="6"/>
      <c r="H7" s="6"/>
    </row>
    <row r="8" spans="1:11" x14ac:dyDescent="0.25">
      <c r="A8" s="6"/>
      <c r="C8" s="8"/>
      <c r="E8" s="8" t="s">
        <v>622</v>
      </c>
      <c r="F8" s="6"/>
      <c r="G8" s="6"/>
      <c r="H8" s="6"/>
    </row>
    <row r="9" spans="1:11" x14ac:dyDescent="0.25">
      <c r="A9" s="6"/>
      <c r="C9" s="8"/>
      <c r="D9" s="6"/>
      <c r="E9" s="8" t="s">
        <v>673</v>
      </c>
      <c r="F9" s="6"/>
      <c r="G9" s="6"/>
      <c r="H9" s="6"/>
      <c r="I9" s="6"/>
      <c r="J9" s="6"/>
      <c r="K9" s="6"/>
    </row>
    <row r="10" spans="1:11" x14ac:dyDescent="0.25">
      <c r="A10" s="6"/>
      <c r="B10" s="8"/>
      <c r="C10" s="8"/>
      <c r="D10" s="6"/>
      <c r="E10" s="8" t="s">
        <v>674</v>
      </c>
      <c r="F10" s="6"/>
      <c r="G10" s="6"/>
      <c r="H10" s="6"/>
    </row>
    <row r="11" spans="1:11" s="6" customFormat="1" ht="14.25" customHeight="1" x14ac:dyDescent="0.25"/>
    <row r="12" spans="1:11" s="6" customFormat="1" ht="15" customHeight="1" x14ac:dyDescent="0.25"/>
    <row r="13" spans="1:11" s="6" customFormat="1" ht="15" customHeight="1" x14ac:dyDescent="0.25">
      <c r="A13" s="118" t="s">
        <v>675</v>
      </c>
      <c r="B13" s="118"/>
      <c r="C13" s="118"/>
    </row>
    <row r="14" spans="1:11" s="6" customFormat="1" ht="15" customHeight="1" x14ac:dyDescent="0.25"/>
    <row r="15" spans="1:11" s="6" customFormat="1" ht="75" customHeight="1" x14ac:dyDescent="0.25">
      <c r="A15" s="9" t="s">
        <v>513</v>
      </c>
      <c r="B15" s="9" t="s">
        <v>514</v>
      </c>
      <c r="C15" s="9" t="s">
        <v>602</v>
      </c>
      <c r="D15" s="3" t="s">
        <v>665</v>
      </c>
      <c r="E15" s="3" t="s">
        <v>666</v>
      </c>
    </row>
    <row r="16" spans="1:11" s="28" customFormat="1" ht="30" customHeight="1" x14ac:dyDescent="0.25">
      <c r="A16" s="10" t="s">
        <v>515</v>
      </c>
      <c r="B16" s="11"/>
      <c r="C16" s="12">
        <f>C17+C19+C21+C25+C28+C30+C32+C35+C37+C39+C41+C23</f>
        <v>32075342</v>
      </c>
      <c r="D16" s="23"/>
      <c r="E16" s="23">
        <f>C16+D16</f>
        <v>32075342</v>
      </c>
    </row>
    <row r="17" spans="1:5" s="13" customFormat="1" ht="15" customHeight="1" x14ac:dyDescent="0.25">
      <c r="A17" s="11" t="s">
        <v>345</v>
      </c>
      <c r="B17" s="11" t="s">
        <v>344</v>
      </c>
      <c r="C17" s="12">
        <f>C18</f>
        <v>9705356</v>
      </c>
      <c r="D17" s="113"/>
      <c r="E17" s="23">
        <f t="shared" ref="E17:E73" si="0">C17+D17</f>
        <v>9705356</v>
      </c>
    </row>
    <row r="18" spans="1:5" s="6" customFormat="1" ht="15" customHeight="1" x14ac:dyDescent="0.25">
      <c r="A18" s="14" t="s">
        <v>516</v>
      </c>
      <c r="B18" s="15" t="s">
        <v>517</v>
      </c>
      <c r="C18" s="16">
        <f>nemainās!F20</f>
        <v>9705356</v>
      </c>
      <c r="D18" s="27"/>
      <c r="E18" s="27">
        <f t="shared" si="0"/>
        <v>9705356</v>
      </c>
    </row>
    <row r="19" spans="1:5" s="28" customFormat="1" ht="15" customHeight="1" x14ac:dyDescent="0.25">
      <c r="A19" s="17" t="s">
        <v>350</v>
      </c>
      <c r="B19" s="17" t="s">
        <v>349</v>
      </c>
      <c r="C19" s="18">
        <f>C20</f>
        <v>1245954</v>
      </c>
      <c r="D19" s="23"/>
      <c r="E19" s="23">
        <f t="shared" si="0"/>
        <v>1245954</v>
      </c>
    </row>
    <row r="20" spans="1:5" s="6" customFormat="1" ht="15" customHeight="1" x14ac:dyDescent="0.25">
      <c r="A20" s="19" t="s">
        <v>518</v>
      </c>
      <c r="B20" s="20" t="s">
        <v>519</v>
      </c>
      <c r="C20" s="21">
        <f>nemainās!F23</f>
        <v>1245954</v>
      </c>
      <c r="D20" s="27"/>
      <c r="E20" s="27">
        <f t="shared" si="0"/>
        <v>1245954</v>
      </c>
    </row>
    <row r="21" spans="1:5" s="28" customFormat="1" ht="15" customHeight="1" x14ac:dyDescent="0.25">
      <c r="A21" s="17" t="s">
        <v>520</v>
      </c>
      <c r="B21" s="17" t="s">
        <v>371</v>
      </c>
      <c r="C21" s="18">
        <f>C22</f>
        <v>46000</v>
      </c>
      <c r="D21" s="23"/>
      <c r="E21" s="23">
        <f t="shared" si="0"/>
        <v>46000</v>
      </c>
    </row>
    <row r="22" spans="1:5" s="6" customFormat="1" ht="15" customHeight="1" x14ac:dyDescent="0.25">
      <c r="A22" s="19" t="s">
        <v>521</v>
      </c>
      <c r="B22" s="20" t="s">
        <v>522</v>
      </c>
      <c r="C22" s="21">
        <f>nemainās!F34</f>
        <v>46000</v>
      </c>
      <c r="D22" s="27"/>
      <c r="E22" s="27">
        <f t="shared" si="0"/>
        <v>46000</v>
      </c>
    </row>
    <row r="23" spans="1:5" s="28" customFormat="1" ht="15" customHeight="1" x14ac:dyDescent="0.25">
      <c r="A23" s="17" t="s">
        <v>523</v>
      </c>
      <c r="B23" s="17" t="s">
        <v>382</v>
      </c>
      <c r="C23" s="18">
        <f>C24</f>
        <v>7080</v>
      </c>
      <c r="D23" s="23"/>
      <c r="E23" s="23">
        <f t="shared" si="0"/>
        <v>7080</v>
      </c>
    </row>
    <row r="24" spans="1:5" s="6" customFormat="1" ht="30" customHeight="1" x14ac:dyDescent="0.25">
      <c r="A24" s="19" t="s">
        <v>385</v>
      </c>
      <c r="B24" s="20" t="s">
        <v>384</v>
      </c>
      <c r="C24" s="21">
        <f>nemainās!F41</f>
        <v>7080</v>
      </c>
      <c r="D24" s="27"/>
      <c r="E24" s="27">
        <f t="shared" si="0"/>
        <v>7080</v>
      </c>
    </row>
    <row r="25" spans="1:5" s="28" customFormat="1" ht="15" customHeight="1" x14ac:dyDescent="0.25">
      <c r="A25" s="17" t="s">
        <v>387</v>
      </c>
      <c r="B25" s="17" t="s">
        <v>386</v>
      </c>
      <c r="C25" s="18">
        <f>C26+C27</f>
        <v>24840</v>
      </c>
      <c r="D25" s="23"/>
      <c r="E25" s="23">
        <f t="shared" si="0"/>
        <v>24840</v>
      </c>
    </row>
    <row r="26" spans="1:5" s="6" customFormat="1" ht="15" customHeight="1" x14ac:dyDescent="0.25">
      <c r="A26" s="19" t="s">
        <v>524</v>
      </c>
      <c r="B26" s="20" t="s">
        <v>525</v>
      </c>
      <c r="C26" s="21">
        <f>nemainās!F43</f>
        <v>12690</v>
      </c>
      <c r="D26" s="27"/>
      <c r="E26" s="27">
        <f t="shared" si="0"/>
        <v>12690</v>
      </c>
    </row>
    <row r="27" spans="1:5" s="6" customFormat="1" ht="15" customHeight="1" x14ac:dyDescent="0.25">
      <c r="A27" s="19" t="s">
        <v>526</v>
      </c>
      <c r="B27" s="20" t="s">
        <v>527</v>
      </c>
      <c r="C27" s="21">
        <f>nemainās!F47</f>
        <v>12150</v>
      </c>
      <c r="D27" s="27"/>
      <c r="E27" s="27">
        <f t="shared" si="0"/>
        <v>12150</v>
      </c>
    </row>
    <row r="28" spans="1:5" s="28" customFormat="1" ht="15" customHeight="1" x14ac:dyDescent="0.25">
      <c r="A28" s="17" t="s">
        <v>407</v>
      </c>
      <c r="B28" s="17" t="s">
        <v>406</v>
      </c>
      <c r="C28" s="18">
        <f>C29</f>
        <v>4000</v>
      </c>
      <c r="D28" s="23"/>
      <c r="E28" s="23">
        <f t="shared" si="0"/>
        <v>4000</v>
      </c>
    </row>
    <row r="29" spans="1:5" s="6" customFormat="1" ht="15" customHeight="1" x14ac:dyDescent="0.25">
      <c r="A29" s="19" t="s">
        <v>528</v>
      </c>
      <c r="B29" s="20" t="s">
        <v>529</v>
      </c>
      <c r="C29" s="21">
        <f>nemainās!F53</f>
        <v>4000</v>
      </c>
      <c r="D29" s="27"/>
      <c r="E29" s="27">
        <f t="shared" si="0"/>
        <v>4000</v>
      </c>
    </row>
    <row r="30" spans="1:5" s="28" customFormat="1" ht="15" customHeight="1" x14ac:dyDescent="0.25">
      <c r="A30" s="17" t="s">
        <v>413</v>
      </c>
      <c r="B30" s="17" t="s">
        <v>412</v>
      </c>
      <c r="C30" s="18">
        <f>C31</f>
        <v>133975</v>
      </c>
      <c r="D30" s="23"/>
      <c r="E30" s="23">
        <f t="shared" si="0"/>
        <v>133975</v>
      </c>
    </row>
    <row r="31" spans="1:5" s="6" customFormat="1" ht="15" customHeight="1" x14ac:dyDescent="0.25">
      <c r="A31" s="112" t="s">
        <v>530</v>
      </c>
      <c r="B31" s="20" t="s">
        <v>531</v>
      </c>
      <c r="C31" s="21">
        <f>nemainās!F56</f>
        <v>133975</v>
      </c>
      <c r="D31" s="27"/>
      <c r="E31" s="27">
        <f t="shared" si="0"/>
        <v>133975</v>
      </c>
    </row>
    <row r="32" spans="1:5" s="28" customFormat="1" ht="30" customHeight="1" x14ac:dyDescent="0.25">
      <c r="A32" s="17" t="s">
        <v>532</v>
      </c>
      <c r="B32" s="17" t="s">
        <v>416</v>
      </c>
      <c r="C32" s="18">
        <f>C33+C34</f>
        <v>420000</v>
      </c>
      <c r="D32" s="23"/>
      <c r="E32" s="23">
        <f t="shared" si="0"/>
        <v>420000</v>
      </c>
    </row>
    <row r="33" spans="1:5" s="6" customFormat="1" ht="15" customHeight="1" x14ac:dyDescent="0.25">
      <c r="A33" s="19" t="s">
        <v>533</v>
      </c>
      <c r="B33" s="22" t="s">
        <v>534</v>
      </c>
      <c r="C33" s="21">
        <f>nemainās!F59</f>
        <v>20000</v>
      </c>
      <c r="D33" s="27"/>
      <c r="E33" s="27">
        <f t="shared" si="0"/>
        <v>20000</v>
      </c>
    </row>
    <row r="34" spans="1:5" s="6" customFormat="1" ht="15" customHeight="1" x14ac:dyDescent="0.25">
      <c r="A34" s="19" t="s">
        <v>535</v>
      </c>
      <c r="B34" s="22" t="s">
        <v>536</v>
      </c>
      <c r="C34" s="21">
        <f>nemainās!F60</f>
        <v>400000</v>
      </c>
      <c r="D34" s="27"/>
      <c r="E34" s="27">
        <f t="shared" si="0"/>
        <v>400000</v>
      </c>
    </row>
    <row r="35" spans="1:5" s="28" customFormat="1" ht="30" customHeight="1" x14ac:dyDescent="0.25">
      <c r="A35" s="17" t="s">
        <v>537</v>
      </c>
      <c r="B35" s="17" t="s">
        <v>424</v>
      </c>
      <c r="C35" s="18">
        <f>C36</f>
        <v>912778</v>
      </c>
      <c r="D35" s="23"/>
      <c r="E35" s="23">
        <f t="shared" si="0"/>
        <v>912778</v>
      </c>
    </row>
    <row r="36" spans="1:5" s="6" customFormat="1" ht="30" customHeight="1" x14ac:dyDescent="0.25">
      <c r="A36" s="19" t="s">
        <v>538</v>
      </c>
      <c r="B36" s="20" t="s">
        <v>539</v>
      </c>
      <c r="C36" s="21">
        <f>nemainās!F62</f>
        <v>912778</v>
      </c>
      <c r="D36" s="27"/>
      <c r="E36" s="27">
        <f t="shared" si="0"/>
        <v>912778</v>
      </c>
    </row>
    <row r="37" spans="1:5" s="28" customFormat="1" ht="15" customHeight="1" x14ac:dyDescent="0.25">
      <c r="A37" s="17" t="s">
        <v>540</v>
      </c>
      <c r="B37" s="17" t="s">
        <v>428</v>
      </c>
      <c r="C37" s="18">
        <f>C38</f>
        <v>14303939</v>
      </c>
      <c r="D37" s="23"/>
      <c r="E37" s="23">
        <f t="shared" si="0"/>
        <v>14303939</v>
      </c>
    </row>
    <row r="38" spans="1:5" s="6" customFormat="1" ht="15" customHeight="1" x14ac:dyDescent="0.25">
      <c r="A38" s="19" t="s">
        <v>541</v>
      </c>
      <c r="B38" s="20" t="s">
        <v>542</v>
      </c>
      <c r="C38" s="21">
        <f>nemainās!F65</f>
        <v>14303939</v>
      </c>
      <c r="D38" s="27"/>
      <c r="E38" s="27">
        <f t="shared" si="0"/>
        <v>14303939</v>
      </c>
    </row>
    <row r="39" spans="1:5" s="28" customFormat="1" ht="15" customHeight="1" x14ac:dyDescent="0.25">
      <c r="A39" s="17" t="s">
        <v>598</v>
      </c>
      <c r="B39" s="17" t="s">
        <v>599</v>
      </c>
      <c r="C39" s="18">
        <f>C40</f>
        <v>158500</v>
      </c>
      <c r="D39" s="23"/>
      <c r="E39" s="23">
        <f t="shared" si="0"/>
        <v>158500</v>
      </c>
    </row>
    <row r="40" spans="1:5" s="6" customFormat="1" ht="15" customHeight="1" x14ac:dyDescent="0.25">
      <c r="A40" s="19" t="s">
        <v>600</v>
      </c>
      <c r="B40" s="20" t="s">
        <v>601</v>
      </c>
      <c r="C40" s="21">
        <f>nemainās!F97</f>
        <v>158500</v>
      </c>
      <c r="D40" s="27"/>
      <c r="E40" s="27">
        <f t="shared" si="0"/>
        <v>158500</v>
      </c>
    </row>
    <row r="41" spans="1:5" s="28" customFormat="1" ht="15" customHeight="1" x14ac:dyDescent="0.25">
      <c r="A41" s="17" t="s">
        <v>543</v>
      </c>
      <c r="B41" s="17" t="s">
        <v>544</v>
      </c>
      <c r="C41" s="18">
        <f>SUM(C42:C43)</f>
        <v>5112920</v>
      </c>
      <c r="D41" s="23"/>
      <c r="E41" s="23">
        <f t="shared" si="0"/>
        <v>5112920</v>
      </c>
    </row>
    <row r="42" spans="1:5" s="6" customFormat="1" ht="30" customHeight="1" x14ac:dyDescent="0.25">
      <c r="A42" s="19" t="s">
        <v>545</v>
      </c>
      <c r="B42" s="20" t="s">
        <v>546</v>
      </c>
      <c r="C42" s="21">
        <f>nemainās!F100</f>
        <v>4508265</v>
      </c>
      <c r="D42" s="27"/>
      <c r="E42" s="27">
        <f t="shared" si="0"/>
        <v>4508265</v>
      </c>
    </row>
    <row r="43" spans="1:5" s="6" customFormat="1" ht="30" customHeight="1" x14ac:dyDescent="0.25">
      <c r="A43" s="19" t="s">
        <v>547</v>
      </c>
      <c r="B43" s="20" t="s">
        <v>548</v>
      </c>
      <c r="C43" s="21">
        <f>nemainās!F120</f>
        <v>604655</v>
      </c>
      <c r="D43" s="27"/>
      <c r="E43" s="27">
        <f t="shared" si="0"/>
        <v>604655</v>
      </c>
    </row>
    <row r="44" spans="1:5" s="28" customFormat="1" ht="30" customHeight="1" x14ac:dyDescent="0.25">
      <c r="A44" s="2" t="s">
        <v>549</v>
      </c>
      <c r="B44" s="17" t="s">
        <v>550</v>
      </c>
      <c r="C44" s="23">
        <f>C45</f>
        <v>36798522</v>
      </c>
      <c r="D44" s="23">
        <f>D45</f>
        <v>-135743</v>
      </c>
      <c r="E44" s="23">
        <f t="shared" si="0"/>
        <v>36662779</v>
      </c>
    </row>
    <row r="45" spans="1:5" s="28" customFormat="1" ht="30" customHeight="1" x14ac:dyDescent="0.25">
      <c r="A45" s="24" t="s">
        <v>551</v>
      </c>
      <c r="B45" s="25"/>
      <c r="C45" s="23">
        <f>SUM(C46:C54)</f>
        <v>36798522</v>
      </c>
      <c r="D45" s="23">
        <f>SUM(D46:D54)</f>
        <v>-135743</v>
      </c>
      <c r="E45" s="23">
        <f t="shared" si="0"/>
        <v>36662779</v>
      </c>
    </row>
    <row r="46" spans="1:5" s="28" customFormat="1" ht="15" customHeight="1" x14ac:dyDescent="0.25">
      <c r="A46" s="17" t="s">
        <v>264</v>
      </c>
      <c r="B46" s="17" t="s">
        <v>263</v>
      </c>
      <c r="C46" s="23">
        <v>4394774</v>
      </c>
      <c r="D46" s="23">
        <v>67007</v>
      </c>
      <c r="E46" s="23">
        <f t="shared" si="0"/>
        <v>4461781</v>
      </c>
    </row>
    <row r="47" spans="1:5" s="28" customFormat="1" ht="15" customHeight="1" x14ac:dyDescent="0.25">
      <c r="A47" s="17" t="s">
        <v>267</v>
      </c>
      <c r="B47" s="17" t="s">
        <v>266</v>
      </c>
      <c r="C47" s="23">
        <f>'2.pielikums'!H50</f>
        <v>315668</v>
      </c>
      <c r="D47" s="23"/>
      <c r="E47" s="23">
        <f t="shared" si="0"/>
        <v>315668</v>
      </c>
    </row>
    <row r="48" spans="1:5" s="28" customFormat="1" ht="15" customHeight="1" x14ac:dyDescent="0.25">
      <c r="A48" s="17" t="s">
        <v>269</v>
      </c>
      <c r="B48" s="17" t="s">
        <v>268</v>
      </c>
      <c r="C48" s="23">
        <f>'2.pielikums'!H54</f>
        <v>2962888</v>
      </c>
      <c r="D48" s="23"/>
      <c r="E48" s="23">
        <f t="shared" si="0"/>
        <v>2962888</v>
      </c>
    </row>
    <row r="49" spans="1:6" s="28" customFormat="1" ht="15" customHeight="1" x14ac:dyDescent="0.25">
      <c r="A49" s="17" t="s">
        <v>275</v>
      </c>
      <c r="B49" s="17" t="s">
        <v>274</v>
      </c>
      <c r="C49" s="23">
        <f>'2.pielikums'!H92</f>
        <v>211308</v>
      </c>
      <c r="D49" s="23"/>
      <c r="E49" s="23">
        <f t="shared" si="0"/>
        <v>211308</v>
      </c>
    </row>
    <row r="50" spans="1:6" s="28" customFormat="1" ht="15" customHeight="1" x14ac:dyDescent="0.25">
      <c r="A50" s="17" t="s">
        <v>552</v>
      </c>
      <c r="B50" s="17" t="s">
        <v>276</v>
      </c>
      <c r="C50" s="23">
        <v>4415221</v>
      </c>
      <c r="D50" s="23">
        <v>-202750</v>
      </c>
      <c r="E50" s="23">
        <f t="shared" si="0"/>
        <v>4212471</v>
      </c>
    </row>
    <row r="51" spans="1:6" s="28" customFormat="1" ht="15" customHeight="1" x14ac:dyDescent="0.25">
      <c r="A51" s="17" t="s">
        <v>283</v>
      </c>
      <c r="B51" s="17" t="s">
        <v>282</v>
      </c>
      <c r="C51" s="23">
        <f>'2.pielikums'!H181</f>
        <v>224212</v>
      </c>
      <c r="D51" s="23"/>
      <c r="E51" s="23">
        <f t="shared" si="0"/>
        <v>224212</v>
      </c>
    </row>
    <row r="52" spans="1:6" s="28" customFormat="1" ht="15" customHeight="1" x14ac:dyDescent="0.25">
      <c r="A52" s="17" t="s">
        <v>553</v>
      </c>
      <c r="B52" s="17" t="s">
        <v>293</v>
      </c>
      <c r="C52" s="23">
        <f>'2.pielikums'!H196</f>
        <v>4325037</v>
      </c>
      <c r="D52" s="23"/>
      <c r="E52" s="23">
        <f t="shared" si="0"/>
        <v>4325037</v>
      </c>
    </row>
    <row r="53" spans="1:6" s="28" customFormat="1" ht="15" customHeight="1" x14ac:dyDescent="0.25">
      <c r="A53" s="17" t="s">
        <v>307</v>
      </c>
      <c r="B53" s="17" t="s">
        <v>306</v>
      </c>
      <c r="C53" s="23">
        <f>'2.pielikums'!H247</f>
        <v>13916699</v>
      </c>
      <c r="D53" s="23"/>
      <c r="E53" s="23">
        <f t="shared" si="0"/>
        <v>13916699</v>
      </c>
    </row>
    <row r="54" spans="1:6" s="28" customFormat="1" ht="15" customHeight="1" x14ac:dyDescent="0.25">
      <c r="A54" s="17" t="s">
        <v>319</v>
      </c>
      <c r="B54" s="17" t="s">
        <v>318</v>
      </c>
      <c r="C54" s="23">
        <f>'2.pielikums'!H319</f>
        <v>6032715</v>
      </c>
      <c r="D54" s="23"/>
      <c r="E54" s="23">
        <f t="shared" si="0"/>
        <v>6032715</v>
      </c>
    </row>
    <row r="55" spans="1:6" s="28" customFormat="1" ht="30" customHeight="1" x14ac:dyDescent="0.25">
      <c r="A55" s="24" t="s">
        <v>554</v>
      </c>
      <c r="B55" s="25"/>
      <c r="C55" s="18">
        <f>C56+C57+C58+C59+C60+C61+C62</f>
        <v>36798522</v>
      </c>
      <c r="D55" s="18">
        <f>D56+D57+D58+D59+D60+D61+D62</f>
        <v>-135743</v>
      </c>
      <c r="E55" s="23">
        <f>C55+D55</f>
        <v>36662779</v>
      </c>
    </row>
    <row r="56" spans="1:6" s="28" customFormat="1" ht="15" customHeight="1" x14ac:dyDescent="0.25">
      <c r="A56" s="17" t="s">
        <v>555</v>
      </c>
      <c r="B56" s="17" t="s">
        <v>556</v>
      </c>
      <c r="C56" s="18">
        <v>20147637</v>
      </c>
      <c r="D56" s="23"/>
      <c r="E56" s="23">
        <f t="shared" si="0"/>
        <v>20147637</v>
      </c>
    </row>
    <row r="57" spans="1:6" s="28" customFormat="1" ht="15" customHeight="1" x14ac:dyDescent="0.25">
      <c r="A57" s="17" t="s">
        <v>84</v>
      </c>
      <c r="B57" s="17" t="s">
        <v>557</v>
      </c>
      <c r="C57" s="18">
        <v>8578659</v>
      </c>
      <c r="D57" s="23">
        <v>-997</v>
      </c>
      <c r="E57" s="23">
        <f t="shared" si="0"/>
        <v>8577662</v>
      </c>
      <c r="F57" s="114"/>
    </row>
    <row r="58" spans="1:6" s="28" customFormat="1" ht="15" customHeight="1" x14ac:dyDescent="0.25">
      <c r="A58" s="17" t="s">
        <v>85</v>
      </c>
      <c r="B58" s="17" t="s">
        <v>558</v>
      </c>
      <c r="C58" s="18">
        <v>61169</v>
      </c>
      <c r="D58" s="23"/>
      <c r="E58" s="23">
        <f t="shared" si="0"/>
        <v>61169</v>
      </c>
    </row>
    <row r="59" spans="1:6" s="28" customFormat="1" ht="15" customHeight="1" x14ac:dyDescent="0.25">
      <c r="A59" s="17" t="s">
        <v>559</v>
      </c>
      <c r="B59" s="17" t="s">
        <v>560</v>
      </c>
      <c r="C59" s="18">
        <v>422480</v>
      </c>
      <c r="D59" s="23"/>
      <c r="E59" s="23">
        <f t="shared" si="0"/>
        <v>422480</v>
      </c>
    </row>
    <row r="60" spans="1:6" s="28" customFormat="1" ht="15" customHeight="1" x14ac:dyDescent="0.25">
      <c r="A60" s="17" t="s">
        <v>87</v>
      </c>
      <c r="B60" s="17" t="s">
        <v>561</v>
      </c>
      <c r="C60" s="18">
        <v>5760201</v>
      </c>
      <c r="D60" s="23">
        <v>-134746</v>
      </c>
      <c r="E60" s="23">
        <f t="shared" si="0"/>
        <v>5625455</v>
      </c>
    </row>
    <row r="61" spans="1:6" s="28" customFormat="1" ht="15" customHeight="1" x14ac:dyDescent="0.25">
      <c r="A61" s="17" t="s">
        <v>227</v>
      </c>
      <c r="B61" s="17" t="s">
        <v>562</v>
      </c>
      <c r="C61" s="18">
        <v>1620864</v>
      </c>
      <c r="D61" s="23"/>
      <c r="E61" s="23">
        <f t="shared" si="0"/>
        <v>1620864</v>
      </c>
    </row>
    <row r="62" spans="1:6" s="28" customFormat="1" ht="30" customHeight="1" x14ac:dyDescent="0.25">
      <c r="A62" s="17" t="s">
        <v>563</v>
      </c>
      <c r="B62" s="17" t="s">
        <v>564</v>
      </c>
      <c r="C62" s="18">
        <v>207512</v>
      </c>
      <c r="D62" s="23"/>
      <c r="E62" s="23">
        <f t="shared" si="0"/>
        <v>207512</v>
      </c>
    </row>
    <row r="63" spans="1:6" s="28" customFormat="1" ht="30" customHeight="1" x14ac:dyDescent="0.25">
      <c r="A63" s="36"/>
      <c r="B63" s="36"/>
      <c r="C63" s="23"/>
      <c r="D63" s="23"/>
      <c r="E63" s="23">
        <f t="shared" si="0"/>
        <v>0</v>
      </c>
    </row>
    <row r="64" spans="1:6" s="28" customFormat="1" ht="15" customHeight="1" x14ac:dyDescent="0.25">
      <c r="A64" s="2" t="s">
        <v>565</v>
      </c>
      <c r="B64" s="17" t="s">
        <v>550</v>
      </c>
      <c r="C64" s="18">
        <f>C16-C44</f>
        <v>-4723180</v>
      </c>
      <c r="D64" s="23">
        <f>D16-D44</f>
        <v>135743</v>
      </c>
      <c r="E64" s="23">
        <f t="shared" si="0"/>
        <v>-4587437</v>
      </c>
    </row>
    <row r="65" spans="1:5" s="28" customFormat="1" ht="30" customHeight="1" x14ac:dyDescent="0.25">
      <c r="A65" s="2" t="s">
        <v>566</v>
      </c>
      <c r="B65" s="17" t="s">
        <v>550</v>
      </c>
      <c r="C65" s="23">
        <f>C66+C71</f>
        <v>4723180</v>
      </c>
      <c r="D65" s="23">
        <f>D66+D71</f>
        <v>-135743</v>
      </c>
      <c r="E65" s="23">
        <f t="shared" si="0"/>
        <v>4587437</v>
      </c>
    </row>
    <row r="66" spans="1:5" s="28" customFormat="1" ht="15" customHeight="1" x14ac:dyDescent="0.25">
      <c r="A66" s="17" t="s">
        <v>567</v>
      </c>
      <c r="B66" s="17" t="s">
        <v>568</v>
      </c>
      <c r="C66" s="23">
        <f>C67+C68</f>
        <v>2908300</v>
      </c>
      <c r="D66" s="23">
        <f>D67+D68</f>
        <v>-17706</v>
      </c>
      <c r="E66" s="23">
        <f t="shared" si="0"/>
        <v>2890594</v>
      </c>
    </row>
    <row r="67" spans="1:5" s="28" customFormat="1" ht="15" customHeight="1" x14ac:dyDescent="0.25">
      <c r="A67" s="17" t="s">
        <v>569</v>
      </c>
      <c r="B67" s="17" t="s">
        <v>570</v>
      </c>
      <c r="C67" s="23">
        <v>5214</v>
      </c>
      <c r="D67" s="23">
        <v>0</v>
      </c>
      <c r="E67" s="23">
        <f t="shared" si="0"/>
        <v>5214</v>
      </c>
    </row>
    <row r="68" spans="1:5" s="28" customFormat="1" ht="15" customHeight="1" x14ac:dyDescent="0.25">
      <c r="A68" s="17" t="s">
        <v>571</v>
      </c>
      <c r="B68" s="17" t="s">
        <v>572</v>
      </c>
      <c r="C68" s="23">
        <f>C69-C70</f>
        <v>2903086</v>
      </c>
      <c r="D68" s="23">
        <f>D69-D70</f>
        <v>-17706</v>
      </c>
      <c r="E68" s="23">
        <f t="shared" si="0"/>
        <v>2885380</v>
      </c>
    </row>
    <row r="69" spans="1:5" s="28" customFormat="1" ht="15" customHeight="1" x14ac:dyDescent="0.25">
      <c r="A69" s="17" t="s">
        <v>573</v>
      </c>
      <c r="B69" s="17" t="s">
        <v>574</v>
      </c>
      <c r="C69" s="23">
        <v>3385839</v>
      </c>
      <c r="D69" s="23">
        <v>0</v>
      </c>
      <c r="E69" s="23">
        <f t="shared" si="0"/>
        <v>3385839</v>
      </c>
    </row>
    <row r="70" spans="1:5" s="28" customFormat="1" ht="30" customHeight="1" x14ac:dyDescent="0.25">
      <c r="A70" s="17" t="s">
        <v>575</v>
      </c>
      <c r="B70" s="17" t="s">
        <v>576</v>
      </c>
      <c r="C70" s="23">
        <f>432613+50140</f>
        <v>482753</v>
      </c>
      <c r="D70" s="23">
        <v>17706</v>
      </c>
      <c r="E70" s="23">
        <f t="shared" si="0"/>
        <v>500459</v>
      </c>
    </row>
    <row r="71" spans="1:5" s="28" customFormat="1" ht="15" customHeight="1" x14ac:dyDescent="0.25">
      <c r="A71" s="17" t="s">
        <v>262</v>
      </c>
      <c r="B71" s="17" t="s">
        <v>577</v>
      </c>
      <c r="C71" s="23">
        <f>C72-C73</f>
        <v>1814880</v>
      </c>
      <c r="D71" s="23">
        <f>D72-D73</f>
        <v>-118037</v>
      </c>
      <c r="E71" s="23">
        <f t="shared" si="0"/>
        <v>1696843</v>
      </c>
    </row>
    <row r="72" spans="1:5" s="28" customFormat="1" ht="15" customHeight="1" x14ac:dyDescent="0.25">
      <c r="A72" s="17" t="s">
        <v>578</v>
      </c>
      <c r="B72" s="17" t="s">
        <v>583</v>
      </c>
      <c r="C72" s="23">
        <v>3499041</v>
      </c>
      <c r="D72" s="23">
        <v>-118037</v>
      </c>
      <c r="E72" s="23">
        <f t="shared" si="0"/>
        <v>3381004</v>
      </c>
    </row>
    <row r="73" spans="1:5" s="28" customFormat="1" ht="15" customHeight="1" x14ac:dyDescent="0.25">
      <c r="A73" s="17" t="s">
        <v>579</v>
      </c>
      <c r="B73" s="17" t="s">
        <v>580</v>
      </c>
      <c r="C73" s="23">
        <v>1684161</v>
      </c>
      <c r="D73" s="23">
        <v>0</v>
      </c>
      <c r="E73" s="23">
        <f t="shared" si="0"/>
        <v>1684161</v>
      </c>
    </row>
    <row r="75" spans="1:5" x14ac:dyDescent="0.25">
      <c r="A75" s="119" t="s">
        <v>667</v>
      </c>
      <c r="B75" s="119"/>
      <c r="C75" s="119"/>
      <c r="D75" s="119"/>
      <c r="E75" s="119"/>
    </row>
  </sheetData>
  <mergeCells count="2">
    <mergeCell ref="A13:C13"/>
    <mergeCell ref="A75:E75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4"/>
  <sheetViews>
    <sheetView topLeftCell="A125" workbookViewId="0">
      <selection activeCell="L138" sqref="L138"/>
    </sheetView>
  </sheetViews>
  <sheetFormatPr defaultRowHeight="15" x14ac:dyDescent="0.25"/>
  <cols>
    <col min="1" max="1" width="16.140625" style="115" customWidth="1"/>
    <col min="2" max="2" width="47.140625" style="115" customWidth="1"/>
    <col min="3" max="6" width="15.7109375" style="115" customWidth="1"/>
    <col min="7" max="16384" width="9.140625" style="115"/>
  </cols>
  <sheetData>
    <row r="1" spans="1:12" s="29" customFormat="1" ht="15.75" hidden="1" x14ac:dyDescent="0.25">
      <c r="C1" s="7"/>
      <c r="F1" s="7" t="s">
        <v>333</v>
      </c>
      <c r="K1" s="7"/>
    </row>
    <row r="2" spans="1:12" s="29" customFormat="1" ht="15.75" hidden="1" x14ac:dyDescent="0.25">
      <c r="C2" s="8"/>
      <c r="F2" s="8" t="s">
        <v>622</v>
      </c>
      <c r="K2" s="8"/>
    </row>
    <row r="3" spans="1:12" s="29" customFormat="1" ht="15.75" hidden="1" x14ac:dyDescent="0.25">
      <c r="C3" s="8"/>
      <c r="F3" s="8" t="s">
        <v>662</v>
      </c>
      <c r="K3" s="8"/>
    </row>
    <row r="4" spans="1:12" s="29" customFormat="1" ht="15.75" hidden="1" x14ac:dyDescent="0.25">
      <c r="C4" s="8"/>
      <c r="F4" s="8" t="s">
        <v>663</v>
      </c>
      <c r="K4" s="8"/>
    </row>
    <row r="5" spans="1:12" s="29" customFormat="1" ht="15.75" hidden="1" customHeight="1" x14ac:dyDescent="0.25">
      <c r="C5" s="8"/>
      <c r="F5" s="8" t="s">
        <v>664</v>
      </c>
      <c r="G5" s="8"/>
      <c r="H5" s="8"/>
      <c r="I5" s="8"/>
      <c r="J5" s="8"/>
      <c r="K5" s="8"/>
    </row>
    <row r="6" spans="1:12" s="29" customFormat="1" ht="15.75" hidden="1" customHeight="1" x14ac:dyDescent="0.25">
      <c r="G6" s="8"/>
      <c r="H6" s="8"/>
      <c r="I6" s="8"/>
      <c r="J6" s="8"/>
    </row>
    <row r="7" spans="1:12" s="5" customFormat="1" ht="15.75" hidden="1" x14ac:dyDescent="0.25">
      <c r="A7" s="6"/>
      <c r="C7" s="7"/>
      <c r="E7" s="6"/>
      <c r="F7" s="7" t="s">
        <v>333</v>
      </c>
      <c r="G7" s="6"/>
      <c r="H7" s="6"/>
      <c r="I7" s="6"/>
    </row>
    <row r="8" spans="1:12" s="5" customFormat="1" ht="15.75" hidden="1" x14ac:dyDescent="0.25">
      <c r="A8" s="6"/>
      <c r="C8" s="8"/>
      <c r="E8" s="6"/>
      <c r="F8" s="8" t="s">
        <v>622</v>
      </c>
      <c r="G8" s="6"/>
      <c r="H8" s="6"/>
      <c r="I8" s="6"/>
    </row>
    <row r="9" spans="1:12" s="5" customFormat="1" ht="15.75" hidden="1" x14ac:dyDescent="0.25">
      <c r="A9" s="6"/>
      <c r="C9" s="8"/>
      <c r="D9" s="6"/>
      <c r="E9" s="6"/>
      <c r="F9" s="8" t="s">
        <v>660</v>
      </c>
      <c r="G9" s="6"/>
      <c r="H9" s="6"/>
      <c r="I9" s="6"/>
      <c r="J9" s="6"/>
      <c r="K9" s="6"/>
      <c r="L9" s="6"/>
    </row>
    <row r="10" spans="1:12" s="5" customFormat="1" ht="15.75" hidden="1" x14ac:dyDescent="0.25">
      <c r="A10" s="6"/>
      <c r="B10" s="8"/>
      <c r="C10" s="8"/>
      <c r="D10" s="6"/>
      <c r="E10" s="6"/>
      <c r="F10" s="8" t="s">
        <v>237</v>
      </c>
      <c r="G10" s="6"/>
      <c r="H10" s="6"/>
      <c r="I10" s="6"/>
    </row>
    <row r="11" spans="1:12" s="29" customFormat="1" ht="15" hidden="1" customHeight="1" x14ac:dyDescent="0.3">
      <c r="A11" s="30"/>
      <c r="B11" s="33"/>
      <c r="C11" s="31"/>
      <c r="D11" s="31"/>
      <c r="E11" s="31"/>
      <c r="F11" s="31"/>
    </row>
    <row r="12" spans="1:12" s="29" customFormat="1" ht="15" hidden="1" customHeight="1" x14ac:dyDescent="0.3">
      <c r="A12" s="30"/>
      <c r="B12" s="34"/>
      <c r="C12" s="31"/>
      <c r="D12" s="31"/>
      <c r="E12" s="31"/>
      <c r="F12" s="31"/>
    </row>
    <row r="13" spans="1:12" s="29" customFormat="1" ht="15" hidden="1" customHeight="1" x14ac:dyDescent="0.3">
      <c r="A13" s="120" t="s">
        <v>334</v>
      </c>
      <c r="B13" s="120"/>
      <c r="C13" s="120"/>
      <c r="D13" s="120"/>
      <c r="E13" s="120"/>
      <c r="F13" s="120"/>
    </row>
    <row r="14" spans="1:12" s="29" customFormat="1" ht="15" hidden="1" customHeight="1" x14ac:dyDescent="0.3">
      <c r="A14" s="30"/>
      <c r="B14" s="30"/>
      <c r="C14" s="31"/>
      <c r="D14" s="31"/>
      <c r="E14" s="31"/>
      <c r="F14" s="31"/>
    </row>
    <row r="15" spans="1:12" s="29" customFormat="1" ht="15" hidden="1" customHeight="1" x14ac:dyDescent="0.25">
      <c r="A15" s="121" t="s">
        <v>255</v>
      </c>
      <c r="B15" s="122" t="s">
        <v>335</v>
      </c>
      <c r="C15" s="123" t="s">
        <v>336</v>
      </c>
      <c r="D15" s="123"/>
      <c r="E15" s="123"/>
      <c r="F15" s="122" t="s">
        <v>337</v>
      </c>
    </row>
    <row r="16" spans="1:12" s="29" customFormat="1" ht="45" hidden="1" customHeight="1" x14ac:dyDescent="0.25">
      <c r="A16" s="121"/>
      <c r="B16" s="122"/>
      <c r="C16" s="35" t="s">
        <v>338</v>
      </c>
      <c r="D16" s="35" t="s">
        <v>339</v>
      </c>
      <c r="E16" s="35" t="s">
        <v>340</v>
      </c>
      <c r="F16" s="122"/>
    </row>
    <row r="17" spans="1:6" s="29" customFormat="1" ht="15" hidden="1" customHeight="1" x14ac:dyDescent="0.25">
      <c r="A17" s="1" t="s">
        <v>341</v>
      </c>
      <c r="B17" s="36" t="s">
        <v>342</v>
      </c>
      <c r="C17" s="37">
        <f>C19+C22+C34+C42+C53+C58+C56+C40</f>
        <v>11587205</v>
      </c>
      <c r="D17" s="37">
        <f>D97+D100+D120</f>
        <v>5271420</v>
      </c>
      <c r="E17" s="37">
        <f>E65+E62</f>
        <v>15216717</v>
      </c>
      <c r="F17" s="37">
        <f>F19+F22+F34+F43+F47+F53+F56+F58+F96+F97+F99+F66+F62+F95+F40</f>
        <v>32075342</v>
      </c>
    </row>
    <row r="18" spans="1:6" s="29" customFormat="1" ht="15" hidden="1" customHeight="1" x14ac:dyDescent="0.25">
      <c r="A18" s="36">
        <v>1</v>
      </c>
      <c r="B18" s="36" t="s">
        <v>343</v>
      </c>
      <c r="C18" s="37">
        <f>C19+C22+C34</f>
        <v>10997310</v>
      </c>
      <c r="D18" s="38"/>
      <c r="E18" s="38"/>
      <c r="F18" s="37">
        <f t="shared" ref="F18:F27" si="0">C18</f>
        <v>10997310</v>
      </c>
    </row>
    <row r="19" spans="1:6" s="29" customFormat="1" ht="15" hidden="1" customHeight="1" x14ac:dyDescent="0.25">
      <c r="A19" s="36" t="s">
        <v>344</v>
      </c>
      <c r="B19" s="36" t="s">
        <v>345</v>
      </c>
      <c r="C19" s="37">
        <f>C20</f>
        <v>9705356</v>
      </c>
      <c r="D19" s="38"/>
      <c r="E19" s="38"/>
      <c r="F19" s="37">
        <f t="shared" si="0"/>
        <v>9705356</v>
      </c>
    </row>
    <row r="20" spans="1:6" s="29" customFormat="1" ht="15" hidden="1" customHeight="1" x14ac:dyDescent="0.25">
      <c r="A20" s="36" t="s">
        <v>346</v>
      </c>
      <c r="B20" s="36" t="s">
        <v>347</v>
      </c>
      <c r="C20" s="37">
        <f>C21</f>
        <v>9705356</v>
      </c>
      <c r="D20" s="38"/>
      <c r="E20" s="38"/>
      <c r="F20" s="37">
        <f t="shared" si="0"/>
        <v>9705356</v>
      </c>
    </row>
    <row r="21" spans="1:6" s="29" customFormat="1" ht="15" hidden="1" customHeight="1" x14ac:dyDescent="0.25">
      <c r="A21" s="39" t="s">
        <v>348</v>
      </c>
      <c r="B21" s="26" t="s">
        <v>347</v>
      </c>
      <c r="C21" s="38">
        <v>9705356</v>
      </c>
      <c r="D21" s="38"/>
      <c r="E21" s="38"/>
      <c r="F21" s="38">
        <f t="shared" si="0"/>
        <v>9705356</v>
      </c>
    </row>
    <row r="22" spans="1:6" s="29" customFormat="1" ht="15" hidden="1" customHeight="1" x14ac:dyDescent="0.25">
      <c r="A22" s="40" t="s">
        <v>349</v>
      </c>
      <c r="B22" s="36" t="s">
        <v>350</v>
      </c>
      <c r="C22" s="37">
        <f>C23</f>
        <v>1245954</v>
      </c>
      <c r="D22" s="38"/>
      <c r="E22" s="38"/>
      <c r="F22" s="37">
        <f t="shared" si="0"/>
        <v>1245954</v>
      </c>
    </row>
    <row r="23" spans="1:6" s="29" customFormat="1" ht="15" hidden="1" customHeight="1" x14ac:dyDescent="0.25">
      <c r="A23" s="36" t="s">
        <v>351</v>
      </c>
      <c r="B23" s="36" t="s">
        <v>352</v>
      </c>
      <c r="C23" s="37">
        <f>C24+C27+C31</f>
        <v>1245954</v>
      </c>
      <c r="D23" s="38"/>
      <c r="E23" s="38"/>
      <c r="F23" s="37">
        <f t="shared" si="0"/>
        <v>1245954</v>
      </c>
    </row>
    <row r="24" spans="1:6" s="29" customFormat="1" ht="15" hidden="1" customHeight="1" x14ac:dyDescent="0.25">
      <c r="A24" s="36" t="s">
        <v>353</v>
      </c>
      <c r="B24" s="36" t="s">
        <v>354</v>
      </c>
      <c r="C24" s="37">
        <f>C25+C26</f>
        <v>1114475</v>
      </c>
      <c r="D24" s="38"/>
      <c r="E24" s="38"/>
      <c r="F24" s="37">
        <f t="shared" si="0"/>
        <v>1114475</v>
      </c>
    </row>
    <row r="25" spans="1:6" s="29" customFormat="1" ht="30" hidden="1" customHeight="1" x14ac:dyDescent="0.25">
      <c r="A25" s="26" t="s">
        <v>355</v>
      </c>
      <c r="B25" s="41" t="s">
        <v>356</v>
      </c>
      <c r="C25" s="38">
        <f>747119+300000</f>
        <v>1047119</v>
      </c>
      <c r="D25" s="38"/>
      <c r="E25" s="38"/>
      <c r="F25" s="38">
        <f t="shared" si="0"/>
        <v>1047119</v>
      </c>
    </row>
    <row r="26" spans="1:6" s="29" customFormat="1" ht="30" hidden="1" customHeight="1" x14ac:dyDescent="0.25">
      <c r="A26" s="26" t="s">
        <v>357</v>
      </c>
      <c r="B26" s="41" t="s">
        <v>358</v>
      </c>
      <c r="C26" s="38">
        <v>67356</v>
      </c>
      <c r="D26" s="38"/>
      <c r="E26" s="38"/>
      <c r="F26" s="38">
        <f t="shared" si="0"/>
        <v>67356</v>
      </c>
    </row>
    <row r="27" spans="1:6" s="29" customFormat="1" ht="15" hidden="1" customHeight="1" x14ac:dyDescent="0.25">
      <c r="A27" s="36" t="s">
        <v>359</v>
      </c>
      <c r="B27" s="36" t="s">
        <v>360</v>
      </c>
      <c r="C27" s="37">
        <f>C28+C30</f>
        <v>81363</v>
      </c>
      <c r="D27" s="38"/>
      <c r="E27" s="38"/>
      <c r="F27" s="37">
        <f t="shared" si="0"/>
        <v>81363</v>
      </c>
    </row>
    <row r="28" spans="1:6" s="29" customFormat="1" ht="30" hidden="1" customHeight="1" x14ac:dyDescent="0.25">
      <c r="A28" s="26" t="s">
        <v>361</v>
      </c>
      <c r="B28" s="41" t="s">
        <v>362</v>
      </c>
      <c r="C28" s="38">
        <v>76097</v>
      </c>
      <c r="D28" s="38"/>
      <c r="E28" s="38"/>
      <c r="F28" s="38">
        <f t="shared" ref="F28:F29" si="1">C28</f>
        <v>76097</v>
      </c>
    </row>
    <row r="29" spans="1:6" s="29" customFormat="1" ht="15" hidden="1" customHeight="1" x14ac:dyDescent="0.25">
      <c r="A29" s="26"/>
      <c r="B29" s="41" t="s">
        <v>363</v>
      </c>
      <c r="C29" s="38">
        <v>4954</v>
      </c>
      <c r="D29" s="38"/>
      <c r="E29" s="38"/>
      <c r="F29" s="38">
        <f t="shared" si="1"/>
        <v>4954</v>
      </c>
    </row>
    <row r="30" spans="1:6" s="29" customFormat="1" ht="30" hidden="1" customHeight="1" x14ac:dyDescent="0.25">
      <c r="A30" s="26" t="s">
        <v>364</v>
      </c>
      <c r="B30" s="41" t="s">
        <v>365</v>
      </c>
      <c r="C30" s="38">
        <v>5266</v>
      </c>
      <c r="D30" s="38"/>
      <c r="E30" s="38"/>
      <c r="F30" s="38">
        <f>C30</f>
        <v>5266</v>
      </c>
    </row>
    <row r="31" spans="1:6" s="29" customFormat="1" ht="15" hidden="1" customHeight="1" x14ac:dyDescent="0.25">
      <c r="A31" s="36" t="s">
        <v>366</v>
      </c>
      <c r="B31" s="25" t="s">
        <v>367</v>
      </c>
      <c r="C31" s="37">
        <f>C32+C33</f>
        <v>50116</v>
      </c>
      <c r="D31" s="38"/>
      <c r="E31" s="38"/>
      <c r="F31" s="37">
        <f>C31</f>
        <v>50116</v>
      </c>
    </row>
    <row r="32" spans="1:6" s="29" customFormat="1" ht="30" hidden="1" customHeight="1" x14ac:dyDescent="0.25">
      <c r="A32" s="26" t="s">
        <v>368</v>
      </c>
      <c r="B32" s="41" t="s">
        <v>369</v>
      </c>
      <c r="C32" s="38">
        <v>41969</v>
      </c>
      <c r="D32" s="38"/>
      <c r="E32" s="38"/>
      <c r="F32" s="38">
        <f>C32</f>
        <v>41969</v>
      </c>
    </row>
    <row r="33" spans="1:6" s="29" customFormat="1" ht="30" hidden="1" customHeight="1" x14ac:dyDescent="0.25">
      <c r="A33" s="26" t="s">
        <v>370</v>
      </c>
      <c r="B33" s="41" t="s">
        <v>644</v>
      </c>
      <c r="C33" s="38">
        <v>8147</v>
      </c>
      <c r="D33" s="38"/>
      <c r="E33" s="38"/>
      <c r="F33" s="38">
        <f>C33</f>
        <v>8147</v>
      </c>
    </row>
    <row r="34" spans="1:6" s="29" customFormat="1" ht="30" hidden="1" customHeight="1" x14ac:dyDescent="0.25">
      <c r="A34" s="36" t="s">
        <v>371</v>
      </c>
      <c r="B34" s="25" t="s">
        <v>372</v>
      </c>
      <c r="C34" s="37">
        <f>C35+C37</f>
        <v>46000</v>
      </c>
      <c r="D34" s="38"/>
      <c r="E34" s="38"/>
      <c r="F34" s="37">
        <f>C34</f>
        <v>46000</v>
      </c>
    </row>
    <row r="35" spans="1:6" s="29" customFormat="1" ht="30" hidden="1" customHeight="1" x14ac:dyDescent="0.25">
      <c r="A35" s="36" t="s">
        <v>373</v>
      </c>
      <c r="B35" s="25" t="s">
        <v>374</v>
      </c>
      <c r="C35" s="37">
        <f>C36</f>
        <v>9000</v>
      </c>
      <c r="D35" s="38"/>
      <c r="E35" s="38"/>
      <c r="F35" s="37">
        <f>F36</f>
        <v>9000</v>
      </c>
    </row>
    <row r="36" spans="1:6" s="29" customFormat="1" ht="15" hidden="1" customHeight="1" x14ac:dyDescent="0.25">
      <c r="A36" s="26" t="s">
        <v>375</v>
      </c>
      <c r="B36" s="26" t="s">
        <v>376</v>
      </c>
      <c r="C36" s="38">
        <v>9000</v>
      </c>
      <c r="D36" s="38"/>
      <c r="E36" s="38"/>
      <c r="F36" s="38">
        <f>C36</f>
        <v>9000</v>
      </c>
    </row>
    <row r="37" spans="1:6" s="29" customFormat="1" ht="30" hidden="1" customHeight="1" x14ac:dyDescent="0.25">
      <c r="A37" s="36" t="s">
        <v>377</v>
      </c>
      <c r="B37" s="25" t="s">
        <v>378</v>
      </c>
      <c r="C37" s="37">
        <f>C38</f>
        <v>37000</v>
      </c>
      <c r="D37" s="37"/>
      <c r="E37" s="37"/>
      <c r="F37" s="37">
        <f>F38</f>
        <v>37000</v>
      </c>
    </row>
    <row r="38" spans="1:6" s="29" customFormat="1" ht="15" hidden="1" customHeight="1" x14ac:dyDescent="0.25">
      <c r="A38" s="26" t="s">
        <v>379</v>
      </c>
      <c r="B38" s="26" t="s">
        <v>380</v>
      </c>
      <c r="C38" s="38">
        <v>37000</v>
      </c>
      <c r="D38" s="38"/>
      <c r="E38" s="38"/>
      <c r="F38" s="38">
        <f>C38</f>
        <v>37000</v>
      </c>
    </row>
    <row r="39" spans="1:6" s="29" customFormat="1" ht="15" hidden="1" customHeight="1" x14ac:dyDescent="0.25">
      <c r="A39" s="36">
        <v>2</v>
      </c>
      <c r="B39" s="36" t="s">
        <v>381</v>
      </c>
      <c r="C39" s="37">
        <f>C42+C53+C56+C58+C40</f>
        <v>589895</v>
      </c>
      <c r="D39" s="38"/>
      <c r="E39" s="38"/>
      <c r="F39" s="37">
        <f>C39</f>
        <v>589895</v>
      </c>
    </row>
    <row r="40" spans="1:6" s="29" customFormat="1" ht="15" hidden="1" customHeight="1" x14ac:dyDescent="0.25">
      <c r="A40" s="36" t="s">
        <v>382</v>
      </c>
      <c r="B40" s="36" t="s">
        <v>383</v>
      </c>
      <c r="C40" s="37">
        <f>C41</f>
        <v>7080</v>
      </c>
      <c r="D40" s="37"/>
      <c r="E40" s="37"/>
      <c r="F40" s="37">
        <f>F41</f>
        <v>7080</v>
      </c>
    </row>
    <row r="41" spans="1:6" s="29" customFormat="1" ht="30" hidden="1" customHeight="1" x14ac:dyDescent="0.25">
      <c r="A41" s="26" t="s">
        <v>384</v>
      </c>
      <c r="B41" s="41" t="s">
        <v>385</v>
      </c>
      <c r="C41" s="38">
        <v>7080</v>
      </c>
      <c r="D41" s="38"/>
      <c r="E41" s="38"/>
      <c r="F41" s="38">
        <f>C41</f>
        <v>7080</v>
      </c>
    </row>
    <row r="42" spans="1:6" s="42" customFormat="1" ht="30" hidden="1" customHeight="1" x14ac:dyDescent="0.25">
      <c r="A42" s="36" t="s">
        <v>386</v>
      </c>
      <c r="B42" s="25" t="s">
        <v>387</v>
      </c>
      <c r="C42" s="37">
        <f>C43+C47</f>
        <v>24840</v>
      </c>
      <c r="D42" s="37"/>
      <c r="E42" s="37"/>
      <c r="F42" s="37">
        <f>C42</f>
        <v>24840</v>
      </c>
    </row>
    <row r="43" spans="1:6" s="42" customFormat="1" ht="15" hidden="1" customHeight="1" x14ac:dyDescent="0.25">
      <c r="A43" s="36" t="s">
        <v>388</v>
      </c>
      <c r="B43" s="25" t="s">
        <v>389</v>
      </c>
      <c r="C43" s="37">
        <f>C44+C45+C46</f>
        <v>12690</v>
      </c>
      <c r="D43" s="37"/>
      <c r="E43" s="37"/>
      <c r="F43" s="37">
        <f>C43</f>
        <v>12690</v>
      </c>
    </row>
    <row r="44" spans="1:6" s="29" customFormat="1" ht="30" hidden="1" customHeight="1" x14ac:dyDescent="0.25">
      <c r="A44" s="26" t="s">
        <v>390</v>
      </c>
      <c r="B44" s="41" t="s">
        <v>391</v>
      </c>
      <c r="C44" s="38">
        <v>11000</v>
      </c>
      <c r="D44" s="38"/>
      <c r="E44" s="38"/>
      <c r="F44" s="38">
        <f t="shared" ref="F44:F46" si="2">C44</f>
        <v>11000</v>
      </c>
    </row>
    <row r="45" spans="1:6" s="29" customFormat="1" ht="30" hidden="1" customHeight="1" x14ac:dyDescent="0.25">
      <c r="A45" s="26" t="s">
        <v>392</v>
      </c>
      <c r="B45" s="41" t="s">
        <v>393</v>
      </c>
      <c r="C45" s="38">
        <v>1400</v>
      </c>
      <c r="D45" s="38"/>
      <c r="E45" s="38"/>
      <c r="F45" s="38">
        <f t="shared" si="2"/>
        <v>1400</v>
      </c>
    </row>
    <row r="46" spans="1:6" s="29" customFormat="1" ht="30" hidden="1" customHeight="1" x14ac:dyDescent="0.25">
      <c r="A46" s="26" t="s">
        <v>394</v>
      </c>
      <c r="B46" s="41" t="s">
        <v>395</v>
      </c>
      <c r="C46" s="38">
        <v>290</v>
      </c>
      <c r="D46" s="38"/>
      <c r="E46" s="38"/>
      <c r="F46" s="38">
        <f t="shared" si="2"/>
        <v>290</v>
      </c>
    </row>
    <row r="47" spans="1:6" s="29" customFormat="1" ht="15" hidden="1" customHeight="1" x14ac:dyDescent="0.25">
      <c r="A47" s="36" t="s">
        <v>396</v>
      </c>
      <c r="B47" s="36" t="s">
        <v>397</v>
      </c>
      <c r="C47" s="37">
        <f>C48+C49+C50+C51+C52</f>
        <v>12150</v>
      </c>
      <c r="D47" s="38"/>
      <c r="E47" s="38"/>
      <c r="F47" s="37">
        <f>C47</f>
        <v>12150</v>
      </c>
    </row>
    <row r="48" spans="1:6" s="29" customFormat="1" ht="30" hidden="1" customHeight="1" x14ac:dyDescent="0.25">
      <c r="A48" s="26" t="s">
        <v>398</v>
      </c>
      <c r="B48" s="41" t="s">
        <v>399</v>
      </c>
      <c r="C48" s="38">
        <v>1000</v>
      </c>
      <c r="D48" s="38"/>
      <c r="E48" s="38"/>
      <c r="F48" s="38">
        <f t="shared" ref="F48:F51" si="3">C48</f>
        <v>1000</v>
      </c>
    </row>
    <row r="49" spans="1:6" s="29" customFormat="1" ht="15" hidden="1" customHeight="1" x14ac:dyDescent="0.25">
      <c r="A49" s="26" t="s">
        <v>400</v>
      </c>
      <c r="B49" s="41" t="s">
        <v>401</v>
      </c>
      <c r="C49" s="38">
        <v>1000</v>
      </c>
      <c r="D49" s="38"/>
      <c r="E49" s="38"/>
      <c r="F49" s="38">
        <f t="shared" si="3"/>
        <v>1000</v>
      </c>
    </row>
    <row r="50" spans="1:6" s="29" customFormat="1" ht="30" hidden="1" customHeight="1" x14ac:dyDescent="0.25">
      <c r="A50" s="26" t="s">
        <v>402</v>
      </c>
      <c r="B50" s="41" t="s">
        <v>645</v>
      </c>
      <c r="C50" s="38">
        <v>50</v>
      </c>
      <c r="D50" s="38"/>
      <c r="E50" s="38"/>
      <c r="F50" s="38">
        <f t="shared" si="3"/>
        <v>50</v>
      </c>
    </row>
    <row r="51" spans="1:6" s="29" customFormat="1" ht="30" hidden="1" customHeight="1" x14ac:dyDescent="0.25">
      <c r="A51" s="26" t="s">
        <v>403</v>
      </c>
      <c r="B51" s="41" t="s">
        <v>623</v>
      </c>
      <c r="C51" s="38">
        <v>10000</v>
      </c>
      <c r="D51" s="38"/>
      <c r="E51" s="38"/>
      <c r="F51" s="38">
        <f t="shared" si="3"/>
        <v>10000</v>
      </c>
    </row>
    <row r="52" spans="1:6" s="29" customFormat="1" ht="15" hidden="1" customHeight="1" x14ac:dyDescent="0.25">
      <c r="A52" s="26" t="s">
        <v>404</v>
      </c>
      <c r="B52" s="41" t="s">
        <v>405</v>
      </c>
      <c r="C52" s="38">
        <v>100</v>
      </c>
      <c r="D52" s="38"/>
      <c r="E52" s="38"/>
      <c r="F52" s="38">
        <f>C52</f>
        <v>100</v>
      </c>
    </row>
    <row r="53" spans="1:6" s="29" customFormat="1" ht="15" hidden="1" customHeight="1" x14ac:dyDescent="0.25">
      <c r="A53" s="36" t="s">
        <v>406</v>
      </c>
      <c r="B53" s="36" t="s">
        <v>407</v>
      </c>
      <c r="C53" s="37">
        <f>C54+C55</f>
        <v>4000</v>
      </c>
      <c r="D53" s="38"/>
      <c r="E53" s="38"/>
      <c r="F53" s="37">
        <f>C53</f>
        <v>4000</v>
      </c>
    </row>
    <row r="54" spans="1:6" s="29" customFormat="1" ht="15" hidden="1" customHeight="1" x14ac:dyDescent="0.25">
      <c r="A54" s="26" t="s">
        <v>408</v>
      </c>
      <c r="B54" s="41" t="s">
        <v>409</v>
      </c>
      <c r="C54" s="38">
        <v>3500</v>
      </c>
      <c r="D54" s="38"/>
      <c r="E54" s="38"/>
      <c r="F54" s="38">
        <f t="shared" ref="F54" si="4">C54</f>
        <v>3500</v>
      </c>
    </row>
    <row r="55" spans="1:6" s="29" customFormat="1" ht="30" hidden="1" customHeight="1" x14ac:dyDescent="0.25">
      <c r="A55" s="26" t="s">
        <v>410</v>
      </c>
      <c r="B55" s="41" t="s">
        <v>411</v>
      </c>
      <c r="C55" s="38">
        <v>500</v>
      </c>
      <c r="D55" s="38"/>
      <c r="E55" s="38"/>
      <c r="F55" s="38">
        <f>C55</f>
        <v>500</v>
      </c>
    </row>
    <row r="56" spans="1:6" s="29" customFormat="1" ht="15" hidden="1" customHeight="1" x14ac:dyDescent="0.25">
      <c r="A56" s="36" t="s">
        <v>412</v>
      </c>
      <c r="B56" s="25" t="s">
        <v>413</v>
      </c>
      <c r="C56" s="37">
        <f>C57</f>
        <v>133975</v>
      </c>
      <c r="D56" s="38"/>
      <c r="E56" s="38"/>
      <c r="F56" s="37">
        <f>C56</f>
        <v>133975</v>
      </c>
    </row>
    <row r="57" spans="1:6" s="29" customFormat="1" ht="30" hidden="1" customHeight="1" x14ac:dyDescent="0.25">
      <c r="A57" s="26" t="s">
        <v>414</v>
      </c>
      <c r="B57" s="41" t="s">
        <v>415</v>
      </c>
      <c r="C57" s="38">
        <v>133975</v>
      </c>
      <c r="D57" s="38"/>
      <c r="E57" s="38"/>
      <c r="F57" s="38">
        <f>C57</f>
        <v>133975</v>
      </c>
    </row>
    <row r="58" spans="1:6" s="29" customFormat="1" ht="30" hidden="1" customHeight="1" x14ac:dyDescent="0.25">
      <c r="A58" s="36" t="s">
        <v>416</v>
      </c>
      <c r="B58" s="25" t="s">
        <v>417</v>
      </c>
      <c r="C58" s="37">
        <f>C59+C60</f>
        <v>420000</v>
      </c>
      <c r="D58" s="38"/>
      <c r="E58" s="38"/>
      <c r="F58" s="37">
        <f>F59+F60</f>
        <v>420000</v>
      </c>
    </row>
    <row r="59" spans="1:6" s="29" customFormat="1" ht="15" hidden="1" customHeight="1" x14ac:dyDescent="0.25">
      <c r="A59" s="26" t="s">
        <v>418</v>
      </c>
      <c r="B59" s="41" t="s">
        <v>419</v>
      </c>
      <c r="C59" s="38">
        <v>20000</v>
      </c>
      <c r="D59" s="38"/>
      <c r="E59" s="38"/>
      <c r="F59" s="38">
        <f>C59</f>
        <v>20000</v>
      </c>
    </row>
    <row r="60" spans="1:6" s="29" customFormat="1" ht="15" hidden="1" customHeight="1" x14ac:dyDescent="0.25">
      <c r="A60" s="26" t="s">
        <v>420</v>
      </c>
      <c r="B60" s="26" t="s">
        <v>421</v>
      </c>
      <c r="C60" s="38">
        <f>C61</f>
        <v>400000</v>
      </c>
      <c r="D60" s="38"/>
      <c r="E60" s="38"/>
      <c r="F60" s="38">
        <f>C60</f>
        <v>400000</v>
      </c>
    </row>
    <row r="61" spans="1:6" s="29" customFormat="1" ht="15" hidden="1" customHeight="1" x14ac:dyDescent="0.25">
      <c r="A61" s="26" t="s">
        <v>422</v>
      </c>
      <c r="B61" s="26" t="s">
        <v>423</v>
      </c>
      <c r="C61" s="38">
        <v>400000</v>
      </c>
      <c r="D61" s="38"/>
      <c r="E61" s="38"/>
      <c r="F61" s="38">
        <f>C61</f>
        <v>400000</v>
      </c>
    </row>
    <row r="62" spans="1:6" s="29" customFormat="1" ht="47.1" hidden="1" customHeight="1" x14ac:dyDescent="0.25">
      <c r="A62" s="36" t="s">
        <v>424</v>
      </c>
      <c r="B62" s="25" t="s">
        <v>425</v>
      </c>
      <c r="C62" s="37"/>
      <c r="D62" s="37"/>
      <c r="E62" s="37">
        <f>E63+E64</f>
        <v>912778</v>
      </c>
      <c r="F62" s="37">
        <f>E62</f>
        <v>912778</v>
      </c>
    </row>
    <row r="63" spans="1:6" s="29" customFormat="1" ht="47.1" hidden="1" customHeight="1" x14ac:dyDescent="0.25">
      <c r="A63" s="26" t="s">
        <v>427</v>
      </c>
      <c r="B63" s="43" t="s">
        <v>426</v>
      </c>
      <c r="C63" s="38"/>
      <c r="D63" s="38"/>
      <c r="E63" s="38">
        <v>462678</v>
      </c>
      <c r="F63" s="38">
        <f t="shared" ref="F63:F64" si="5">E63</f>
        <v>462678</v>
      </c>
    </row>
    <row r="64" spans="1:6" s="29" customFormat="1" ht="47.1" hidden="1" customHeight="1" x14ac:dyDescent="0.25">
      <c r="A64" s="26" t="s">
        <v>427</v>
      </c>
      <c r="B64" s="43" t="s">
        <v>646</v>
      </c>
      <c r="C64" s="38"/>
      <c r="D64" s="38"/>
      <c r="E64" s="38">
        <v>450100</v>
      </c>
      <c r="F64" s="38">
        <f t="shared" si="5"/>
        <v>450100</v>
      </c>
    </row>
    <row r="65" spans="1:6" s="29" customFormat="1" ht="15" hidden="1" customHeight="1" x14ac:dyDescent="0.25">
      <c r="A65" s="36" t="s">
        <v>428</v>
      </c>
      <c r="B65" s="36" t="s">
        <v>429</v>
      </c>
      <c r="C65" s="37"/>
      <c r="D65" s="37"/>
      <c r="E65" s="37">
        <f>E66+E96+E95</f>
        <v>14303939</v>
      </c>
      <c r="F65" s="37">
        <f>E65</f>
        <v>14303939</v>
      </c>
    </row>
    <row r="66" spans="1:6" s="29" customFormat="1" ht="30" hidden="1" customHeight="1" x14ac:dyDescent="0.25">
      <c r="A66" s="36" t="s">
        <v>430</v>
      </c>
      <c r="B66" s="25" t="s">
        <v>431</v>
      </c>
      <c r="C66" s="37"/>
      <c r="D66" s="37"/>
      <c r="E66" s="37">
        <f>E67+E68+E69+E70+E71+E72+E73+E74+E75+E76+E77+E78+E79+E80+E81+E82+E83+E84+E85+E86+E87+E88+E89+E90+E91+E92+E93+E94</f>
        <v>6853067</v>
      </c>
      <c r="F66" s="37">
        <f>E66</f>
        <v>6853067</v>
      </c>
    </row>
    <row r="67" spans="1:6" s="29" customFormat="1" ht="45" hidden="1" customHeight="1" x14ac:dyDescent="0.25">
      <c r="A67" s="26" t="s">
        <v>432</v>
      </c>
      <c r="B67" s="41" t="s">
        <v>433</v>
      </c>
      <c r="C67" s="38"/>
      <c r="D67" s="38"/>
      <c r="E67" s="38">
        <v>2803536</v>
      </c>
      <c r="F67" s="38">
        <f t="shared" ref="F67:F77" si="6">E67</f>
        <v>2803536</v>
      </c>
    </row>
    <row r="68" spans="1:6" s="29" customFormat="1" ht="60" hidden="1" customHeight="1" x14ac:dyDescent="0.25">
      <c r="A68" s="26" t="s">
        <v>432</v>
      </c>
      <c r="B68" s="41" t="s">
        <v>434</v>
      </c>
      <c r="C68" s="38"/>
      <c r="D68" s="38"/>
      <c r="E68" s="38">
        <v>152480</v>
      </c>
      <c r="F68" s="38">
        <f t="shared" si="6"/>
        <v>152480</v>
      </c>
    </row>
    <row r="69" spans="1:6" s="29" customFormat="1" ht="45" hidden="1" customHeight="1" x14ac:dyDescent="0.25">
      <c r="A69" s="26" t="s">
        <v>432</v>
      </c>
      <c r="B69" s="41" t="s">
        <v>435</v>
      </c>
      <c r="C69" s="38"/>
      <c r="D69" s="38"/>
      <c r="E69" s="38">
        <v>128272</v>
      </c>
      <c r="F69" s="38">
        <f t="shared" si="6"/>
        <v>128272</v>
      </c>
    </row>
    <row r="70" spans="1:6" s="29" customFormat="1" ht="60" hidden="1" customHeight="1" x14ac:dyDescent="0.25">
      <c r="A70" s="26" t="s">
        <v>436</v>
      </c>
      <c r="B70" s="41" t="s">
        <v>647</v>
      </c>
      <c r="C70" s="38"/>
      <c r="D70" s="38"/>
      <c r="E70" s="38">
        <v>380944</v>
      </c>
      <c r="F70" s="38">
        <f t="shared" si="6"/>
        <v>380944</v>
      </c>
    </row>
    <row r="71" spans="1:6" s="29" customFormat="1" ht="30" hidden="1" customHeight="1" x14ac:dyDescent="0.25">
      <c r="A71" s="26" t="s">
        <v>437</v>
      </c>
      <c r="B71" s="41" t="s">
        <v>438</v>
      </c>
      <c r="C71" s="38"/>
      <c r="D71" s="38"/>
      <c r="E71" s="38">
        <v>25441</v>
      </c>
      <c r="F71" s="38">
        <f t="shared" si="6"/>
        <v>25441</v>
      </c>
    </row>
    <row r="72" spans="1:6" s="29" customFormat="1" ht="15" hidden="1" customHeight="1" x14ac:dyDescent="0.25">
      <c r="A72" s="26" t="s">
        <v>439</v>
      </c>
      <c r="B72" s="41" t="s">
        <v>440</v>
      </c>
      <c r="C72" s="38"/>
      <c r="D72" s="38"/>
      <c r="E72" s="38">
        <v>861695</v>
      </c>
      <c r="F72" s="38">
        <f>E72</f>
        <v>861695</v>
      </c>
    </row>
    <row r="73" spans="1:6" s="29" customFormat="1" ht="15" hidden="1" customHeight="1" x14ac:dyDescent="0.25">
      <c r="A73" s="26" t="s">
        <v>441</v>
      </c>
      <c r="B73" s="26" t="s">
        <v>442</v>
      </c>
      <c r="C73" s="38"/>
      <c r="D73" s="38"/>
      <c r="E73" s="38">
        <v>277541</v>
      </c>
      <c r="F73" s="38">
        <f t="shared" si="6"/>
        <v>277541</v>
      </c>
    </row>
    <row r="74" spans="1:6" s="29" customFormat="1" ht="15" hidden="1" customHeight="1" x14ac:dyDescent="0.25">
      <c r="A74" s="26" t="s">
        <v>443</v>
      </c>
      <c r="B74" s="26" t="s">
        <v>444</v>
      </c>
      <c r="C74" s="38"/>
      <c r="D74" s="38"/>
      <c r="E74" s="38">
        <v>434702</v>
      </c>
      <c r="F74" s="38">
        <f t="shared" si="6"/>
        <v>434702</v>
      </c>
    </row>
    <row r="75" spans="1:6" s="29" customFormat="1" ht="30" hidden="1" customHeight="1" x14ac:dyDescent="0.25">
      <c r="A75" s="26" t="s">
        <v>445</v>
      </c>
      <c r="B75" s="41" t="s">
        <v>446</v>
      </c>
      <c r="C75" s="38"/>
      <c r="D75" s="38"/>
      <c r="E75" s="38">
        <v>114793</v>
      </c>
      <c r="F75" s="38">
        <f t="shared" si="6"/>
        <v>114793</v>
      </c>
    </row>
    <row r="76" spans="1:6" s="29" customFormat="1" ht="45" hidden="1" customHeight="1" x14ac:dyDescent="0.25">
      <c r="A76" s="26" t="s">
        <v>447</v>
      </c>
      <c r="B76" s="41" t="s">
        <v>648</v>
      </c>
      <c r="C76" s="38"/>
      <c r="D76" s="38"/>
      <c r="E76" s="38">
        <v>142073</v>
      </c>
      <c r="F76" s="38">
        <f t="shared" si="6"/>
        <v>142073</v>
      </c>
    </row>
    <row r="77" spans="1:6" s="29" customFormat="1" ht="45" hidden="1" customHeight="1" x14ac:dyDescent="0.25">
      <c r="A77" s="26" t="s">
        <v>448</v>
      </c>
      <c r="B77" s="41" t="s">
        <v>449</v>
      </c>
      <c r="C77" s="38"/>
      <c r="D77" s="38"/>
      <c r="E77" s="38">
        <v>23722</v>
      </c>
      <c r="F77" s="38">
        <f t="shared" si="6"/>
        <v>23722</v>
      </c>
    </row>
    <row r="78" spans="1:6" s="29" customFormat="1" ht="30" hidden="1" customHeight="1" x14ac:dyDescent="0.25">
      <c r="A78" s="26" t="s">
        <v>450</v>
      </c>
      <c r="B78" s="41" t="s">
        <v>451</v>
      </c>
      <c r="C78" s="38"/>
      <c r="D78" s="38"/>
      <c r="E78" s="38">
        <v>33980</v>
      </c>
      <c r="F78" s="38">
        <f t="shared" ref="F78:F93" si="7">E78</f>
        <v>33980</v>
      </c>
    </row>
    <row r="79" spans="1:6" s="29" customFormat="1" ht="15" hidden="1" customHeight="1" x14ac:dyDescent="0.25">
      <c r="A79" s="26"/>
      <c r="B79" s="41" t="s">
        <v>452</v>
      </c>
      <c r="C79" s="38"/>
      <c r="D79" s="38"/>
      <c r="E79" s="38">
        <v>11861</v>
      </c>
      <c r="F79" s="38">
        <f t="shared" si="7"/>
        <v>11861</v>
      </c>
    </row>
    <row r="80" spans="1:6" s="29" customFormat="1" ht="30" hidden="1" customHeight="1" x14ac:dyDescent="0.25">
      <c r="A80" s="26" t="s">
        <v>453</v>
      </c>
      <c r="B80" s="41" t="s">
        <v>649</v>
      </c>
      <c r="C80" s="38"/>
      <c r="D80" s="38"/>
      <c r="E80" s="38">
        <v>3690</v>
      </c>
      <c r="F80" s="38">
        <f t="shared" si="7"/>
        <v>3690</v>
      </c>
    </row>
    <row r="81" spans="1:6" s="29" customFormat="1" ht="15" hidden="1" customHeight="1" x14ac:dyDescent="0.25">
      <c r="A81" s="26" t="s">
        <v>454</v>
      </c>
      <c r="B81" s="26" t="s">
        <v>455</v>
      </c>
      <c r="C81" s="38"/>
      <c r="D81" s="38"/>
      <c r="E81" s="38">
        <v>94383</v>
      </c>
      <c r="F81" s="38">
        <f>E81</f>
        <v>94383</v>
      </c>
    </row>
    <row r="82" spans="1:6" s="29" customFormat="1" ht="15" hidden="1" customHeight="1" x14ac:dyDescent="0.25">
      <c r="A82" s="26"/>
      <c r="B82" s="26" t="s">
        <v>180</v>
      </c>
      <c r="C82" s="38"/>
      <c r="D82" s="38"/>
      <c r="E82" s="38">
        <v>34886</v>
      </c>
      <c r="F82" s="38">
        <f t="shared" si="7"/>
        <v>34886</v>
      </c>
    </row>
    <row r="83" spans="1:6" s="29" customFormat="1" ht="30" hidden="1" customHeight="1" x14ac:dyDescent="0.25">
      <c r="A83" s="26" t="s">
        <v>456</v>
      </c>
      <c r="B83" s="41" t="s">
        <v>457</v>
      </c>
      <c r="C83" s="38"/>
      <c r="D83" s="38"/>
      <c r="E83" s="38">
        <v>484637</v>
      </c>
      <c r="F83" s="38">
        <f t="shared" si="7"/>
        <v>484637</v>
      </c>
    </row>
    <row r="84" spans="1:6" s="29" customFormat="1" ht="30" hidden="1" customHeight="1" x14ac:dyDescent="0.25">
      <c r="A84" s="26"/>
      <c r="B84" s="41" t="s">
        <v>243</v>
      </c>
      <c r="C84" s="38"/>
      <c r="D84" s="38"/>
      <c r="E84" s="38">
        <v>111000</v>
      </c>
      <c r="F84" s="38">
        <f t="shared" si="7"/>
        <v>111000</v>
      </c>
    </row>
    <row r="85" spans="1:6" s="29" customFormat="1" ht="15" hidden="1" customHeight="1" x14ac:dyDescent="0.25">
      <c r="A85" s="26"/>
      <c r="B85" s="41" t="s">
        <v>585</v>
      </c>
      <c r="C85" s="38"/>
      <c r="D85" s="38"/>
      <c r="E85" s="38">
        <v>5000</v>
      </c>
      <c r="F85" s="38">
        <f t="shared" si="7"/>
        <v>5000</v>
      </c>
    </row>
    <row r="86" spans="1:6" s="29" customFormat="1" ht="15" hidden="1" customHeight="1" x14ac:dyDescent="0.25">
      <c r="A86" s="26"/>
      <c r="B86" s="41" t="s">
        <v>593</v>
      </c>
      <c r="C86" s="38"/>
      <c r="D86" s="38"/>
      <c r="E86" s="38">
        <v>96548</v>
      </c>
      <c r="F86" s="38">
        <f t="shared" si="7"/>
        <v>96548</v>
      </c>
    </row>
    <row r="87" spans="1:6" s="29" customFormat="1" ht="15" hidden="1" customHeight="1" x14ac:dyDescent="0.25">
      <c r="A87" s="26" t="s">
        <v>458</v>
      </c>
      <c r="B87" s="43" t="s">
        <v>270</v>
      </c>
      <c r="C87" s="38"/>
      <c r="D87" s="38"/>
      <c r="E87" s="38">
        <v>172800</v>
      </c>
      <c r="F87" s="38">
        <f t="shared" si="7"/>
        <v>172800</v>
      </c>
    </row>
    <row r="88" spans="1:6" s="29" customFormat="1" ht="15" hidden="1" customHeight="1" x14ac:dyDescent="0.25">
      <c r="A88" s="26" t="s">
        <v>459</v>
      </c>
      <c r="B88" s="43" t="s">
        <v>581</v>
      </c>
      <c r="C88" s="38"/>
      <c r="D88" s="38"/>
      <c r="E88" s="38">
        <f>23256+7752</f>
        <v>31008</v>
      </c>
      <c r="F88" s="38">
        <f t="shared" si="7"/>
        <v>31008</v>
      </c>
    </row>
    <row r="89" spans="1:6" s="29" customFormat="1" ht="32.1" hidden="1" customHeight="1" x14ac:dyDescent="0.25">
      <c r="A89" s="26" t="s">
        <v>460</v>
      </c>
      <c r="B89" s="43" t="s">
        <v>590</v>
      </c>
      <c r="C89" s="38"/>
      <c r="D89" s="38"/>
      <c r="E89" s="38">
        <v>9781</v>
      </c>
      <c r="F89" s="38">
        <f t="shared" si="7"/>
        <v>9781</v>
      </c>
    </row>
    <row r="90" spans="1:6" s="29" customFormat="1" ht="15" hidden="1" customHeight="1" x14ac:dyDescent="0.25">
      <c r="A90" s="26" t="s">
        <v>460</v>
      </c>
      <c r="B90" s="43" t="s">
        <v>591</v>
      </c>
      <c r="C90" s="38"/>
      <c r="D90" s="38"/>
      <c r="E90" s="38">
        <v>45466</v>
      </c>
      <c r="F90" s="38">
        <f t="shared" si="7"/>
        <v>45466</v>
      </c>
    </row>
    <row r="91" spans="1:6" s="29" customFormat="1" ht="30" hidden="1" customHeight="1" x14ac:dyDescent="0.25">
      <c r="A91" s="26" t="s">
        <v>460</v>
      </c>
      <c r="B91" s="43" t="s">
        <v>586</v>
      </c>
      <c r="C91" s="38"/>
      <c r="D91" s="38"/>
      <c r="E91" s="38">
        <v>42157</v>
      </c>
      <c r="F91" s="38">
        <f t="shared" ref="F91" si="8">E91</f>
        <v>42157</v>
      </c>
    </row>
    <row r="92" spans="1:6" s="29" customFormat="1" ht="30" hidden="1" customHeight="1" x14ac:dyDescent="0.25">
      <c r="A92" s="26" t="s">
        <v>460</v>
      </c>
      <c r="B92" s="43" t="s">
        <v>642</v>
      </c>
      <c r="C92" s="38"/>
      <c r="D92" s="38"/>
      <c r="E92" s="38">
        <v>53978</v>
      </c>
      <c r="F92" s="38">
        <f t="shared" ref="F92" si="9">E92</f>
        <v>53978</v>
      </c>
    </row>
    <row r="93" spans="1:6" s="29" customFormat="1" ht="30" hidden="1" customHeight="1" x14ac:dyDescent="0.25">
      <c r="A93" s="26" t="s">
        <v>463</v>
      </c>
      <c r="B93" s="43" t="s">
        <v>643</v>
      </c>
      <c r="C93" s="38"/>
      <c r="D93" s="38"/>
      <c r="E93" s="38">
        <v>44978</v>
      </c>
      <c r="F93" s="38">
        <f t="shared" si="7"/>
        <v>44978</v>
      </c>
    </row>
    <row r="94" spans="1:6" s="29" customFormat="1" ht="15" hidden="1" customHeight="1" x14ac:dyDescent="0.25">
      <c r="A94" s="26" t="s">
        <v>461</v>
      </c>
      <c r="B94" s="43" t="s">
        <v>462</v>
      </c>
      <c r="C94" s="38"/>
      <c r="D94" s="38"/>
      <c r="E94" s="38">
        <v>231715</v>
      </c>
      <c r="F94" s="38">
        <f>E94</f>
        <v>231715</v>
      </c>
    </row>
    <row r="95" spans="1:6" s="42" customFormat="1" ht="60" hidden="1" customHeight="1" x14ac:dyDescent="0.25">
      <c r="A95" s="36" t="s">
        <v>464</v>
      </c>
      <c r="B95" s="25" t="s">
        <v>465</v>
      </c>
      <c r="C95" s="37"/>
      <c r="D95" s="37"/>
      <c r="E95" s="37">
        <f>627219+2800</f>
        <v>630019</v>
      </c>
      <c r="F95" s="37">
        <f>E95</f>
        <v>630019</v>
      </c>
    </row>
    <row r="96" spans="1:6" s="42" customFormat="1" ht="30" hidden="1" customHeight="1" x14ac:dyDescent="0.25">
      <c r="A96" s="36" t="s">
        <v>466</v>
      </c>
      <c r="B96" s="25" t="s">
        <v>467</v>
      </c>
      <c r="C96" s="37"/>
      <c r="D96" s="37"/>
      <c r="E96" s="37">
        <v>6820853</v>
      </c>
      <c r="F96" s="37">
        <f>E96</f>
        <v>6820853</v>
      </c>
    </row>
    <row r="97" spans="1:6" s="42" customFormat="1" ht="15" hidden="1" customHeight="1" x14ac:dyDescent="0.25">
      <c r="A97" s="36" t="s">
        <v>596</v>
      </c>
      <c r="B97" s="25" t="s">
        <v>595</v>
      </c>
      <c r="C97" s="37"/>
      <c r="D97" s="37">
        <f>D98</f>
        <v>158500</v>
      </c>
      <c r="E97" s="37"/>
      <c r="F97" s="37">
        <f>C97+D97+E97</f>
        <v>158500</v>
      </c>
    </row>
    <row r="98" spans="1:6" s="29" customFormat="1" ht="15" hidden="1" customHeight="1" x14ac:dyDescent="0.25">
      <c r="A98" s="26" t="s">
        <v>597</v>
      </c>
      <c r="B98" s="41" t="s">
        <v>650</v>
      </c>
      <c r="C98" s="38"/>
      <c r="D98" s="38">
        <v>158500</v>
      </c>
      <c r="E98" s="38"/>
      <c r="F98" s="38">
        <f>C98+D98+E98</f>
        <v>158500</v>
      </c>
    </row>
    <row r="99" spans="1:6" s="29" customFormat="1" ht="15" hidden="1" customHeight="1" x14ac:dyDescent="0.25">
      <c r="A99" s="36">
        <v>3</v>
      </c>
      <c r="B99" s="36" t="s">
        <v>468</v>
      </c>
      <c r="C99" s="37"/>
      <c r="D99" s="37">
        <f>D100+D120</f>
        <v>5112920</v>
      </c>
      <c r="E99" s="38"/>
      <c r="F99" s="37">
        <f t="shared" ref="F99:F101" si="10">D99</f>
        <v>5112920</v>
      </c>
    </row>
    <row r="100" spans="1:6" s="29" customFormat="1" ht="30" hidden="1" customHeight="1" x14ac:dyDescent="0.25">
      <c r="A100" s="36" t="s">
        <v>469</v>
      </c>
      <c r="B100" s="25" t="s">
        <v>470</v>
      </c>
      <c r="C100" s="37"/>
      <c r="D100" s="37">
        <f>D101+D102+D103+D108</f>
        <v>4508265</v>
      </c>
      <c r="E100" s="38"/>
      <c r="F100" s="37">
        <f t="shared" si="10"/>
        <v>4508265</v>
      </c>
    </row>
    <row r="101" spans="1:6" s="42" customFormat="1" ht="15" hidden="1" customHeight="1" x14ac:dyDescent="0.25">
      <c r="A101" s="36" t="s">
        <v>471</v>
      </c>
      <c r="B101" s="36" t="s">
        <v>472</v>
      </c>
      <c r="C101" s="37"/>
      <c r="D101" s="37">
        <v>145040</v>
      </c>
      <c r="E101" s="37"/>
      <c r="F101" s="37">
        <f t="shared" si="10"/>
        <v>145040</v>
      </c>
    </row>
    <row r="102" spans="1:6" s="42" customFormat="1" ht="30" hidden="1" customHeight="1" x14ac:dyDescent="0.25">
      <c r="A102" s="36" t="s">
        <v>473</v>
      </c>
      <c r="B102" s="25" t="s">
        <v>474</v>
      </c>
      <c r="C102" s="37"/>
      <c r="D102" s="37">
        <v>1140</v>
      </c>
      <c r="E102" s="37"/>
      <c r="F102" s="37">
        <f t="shared" ref="F102" si="11">D102</f>
        <v>1140</v>
      </c>
    </row>
    <row r="103" spans="1:6" s="42" customFormat="1" ht="15" hidden="1" customHeight="1" x14ac:dyDescent="0.25">
      <c r="A103" s="36" t="s">
        <v>475</v>
      </c>
      <c r="B103" s="36" t="s">
        <v>476</v>
      </c>
      <c r="C103" s="37"/>
      <c r="D103" s="37">
        <f>D104+D105+D106+D107</f>
        <v>577925</v>
      </c>
      <c r="E103" s="37"/>
      <c r="F103" s="37">
        <f t="shared" ref="F103:F104" si="12">D103</f>
        <v>577925</v>
      </c>
    </row>
    <row r="104" spans="1:6" s="29" customFormat="1" ht="15" hidden="1" customHeight="1" x14ac:dyDescent="0.25">
      <c r="A104" s="26" t="s">
        <v>477</v>
      </c>
      <c r="B104" s="41" t="s">
        <v>594</v>
      </c>
      <c r="C104" s="38"/>
      <c r="D104" s="38">
        <v>184956</v>
      </c>
      <c r="E104" s="38"/>
      <c r="F104" s="38">
        <f t="shared" si="12"/>
        <v>184956</v>
      </c>
    </row>
    <row r="105" spans="1:6" s="29" customFormat="1" ht="15" hidden="1" customHeight="1" x14ac:dyDescent="0.25">
      <c r="A105" s="26" t="s">
        <v>478</v>
      </c>
      <c r="B105" s="26" t="s">
        <v>479</v>
      </c>
      <c r="C105" s="38"/>
      <c r="D105" s="38">
        <v>1221</v>
      </c>
      <c r="E105" s="38"/>
      <c r="F105" s="38">
        <f t="shared" ref="F105" si="13">D105</f>
        <v>1221</v>
      </c>
    </row>
    <row r="106" spans="1:6" s="29" customFormat="1" ht="15" hidden="1" customHeight="1" x14ac:dyDescent="0.25">
      <c r="A106" s="26" t="s">
        <v>480</v>
      </c>
      <c r="B106" s="26" t="s">
        <v>481</v>
      </c>
      <c r="C106" s="38"/>
      <c r="D106" s="38">
        <f>325997+1287</f>
        <v>327284</v>
      </c>
      <c r="E106" s="38"/>
      <c r="F106" s="38">
        <f t="shared" ref="F106:F107" si="14">D106</f>
        <v>327284</v>
      </c>
    </row>
    <row r="107" spans="1:6" s="29" customFormat="1" ht="15" hidden="1" customHeight="1" x14ac:dyDescent="0.25">
      <c r="A107" s="26" t="s">
        <v>482</v>
      </c>
      <c r="B107" s="26" t="s">
        <v>483</v>
      </c>
      <c r="C107" s="38"/>
      <c r="D107" s="38">
        <v>64464</v>
      </c>
      <c r="E107" s="38"/>
      <c r="F107" s="38">
        <f t="shared" si="14"/>
        <v>64464</v>
      </c>
    </row>
    <row r="108" spans="1:6" s="29" customFormat="1" ht="30" hidden="1" customHeight="1" x14ac:dyDescent="0.25">
      <c r="A108" s="36" t="s">
        <v>484</v>
      </c>
      <c r="B108" s="25" t="s">
        <v>485</v>
      </c>
      <c r="C108" s="37"/>
      <c r="D108" s="37">
        <f>D109+D110+D111+D112+D115</f>
        <v>3784160</v>
      </c>
      <c r="E108" s="38"/>
      <c r="F108" s="37">
        <f t="shared" ref="F108:F109" si="15">D108</f>
        <v>3784160</v>
      </c>
    </row>
    <row r="109" spans="1:6" s="29" customFormat="1" ht="30" hidden="1" customHeight="1" x14ac:dyDescent="0.25">
      <c r="A109" s="26" t="s">
        <v>486</v>
      </c>
      <c r="B109" s="41" t="s">
        <v>487</v>
      </c>
      <c r="C109" s="38"/>
      <c r="D109" s="38">
        <v>1451705</v>
      </c>
      <c r="E109" s="38"/>
      <c r="F109" s="38">
        <f t="shared" si="15"/>
        <v>1451705</v>
      </c>
    </row>
    <row r="110" spans="1:6" s="29" customFormat="1" ht="30" hidden="1" customHeight="1" x14ac:dyDescent="0.25">
      <c r="A110" s="26" t="s">
        <v>488</v>
      </c>
      <c r="B110" s="41" t="s">
        <v>489</v>
      </c>
      <c r="C110" s="38"/>
      <c r="D110" s="38">
        <v>451</v>
      </c>
      <c r="E110" s="38"/>
      <c r="F110" s="38">
        <f t="shared" ref="F110" si="16">D110</f>
        <v>451</v>
      </c>
    </row>
    <row r="111" spans="1:6" s="29" customFormat="1" ht="15" hidden="1" customHeight="1" x14ac:dyDescent="0.25">
      <c r="A111" s="26" t="s">
        <v>490</v>
      </c>
      <c r="B111" s="26" t="s">
        <v>491</v>
      </c>
      <c r="C111" s="38"/>
      <c r="D111" s="38">
        <v>110992</v>
      </c>
      <c r="E111" s="38"/>
      <c r="F111" s="38">
        <f t="shared" ref="F111" si="17">D111</f>
        <v>110992</v>
      </c>
    </row>
    <row r="112" spans="1:6" s="29" customFormat="1" ht="30" hidden="1" customHeight="1" x14ac:dyDescent="0.25">
      <c r="A112" s="26" t="s">
        <v>492</v>
      </c>
      <c r="B112" s="41" t="s">
        <v>493</v>
      </c>
      <c r="C112" s="38"/>
      <c r="D112" s="38">
        <f>D113+D114</f>
        <v>1909133</v>
      </c>
      <c r="E112" s="38"/>
      <c r="F112" s="38">
        <f>D112</f>
        <v>1909133</v>
      </c>
    </row>
    <row r="113" spans="1:6" s="29" customFormat="1" ht="15" hidden="1" customHeight="1" x14ac:dyDescent="0.25">
      <c r="A113" s="26" t="s">
        <v>494</v>
      </c>
      <c r="B113" s="41" t="s">
        <v>651</v>
      </c>
      <c r="C113" s="38"/>
      <c r="D113" s="38">
        <v>1299146</v>
      </c>
      <c r="E113" s="38"/>
      <c r="F113" s="38">
        <f>D113</f>
        <v>1299146</v>
      </c>
    </row>
    <row r="114" spans="1:6" s="29" customFormat="1" ht="15" hidden="1" customHeight="1" x14ac:dyDescent="0.25">
      <c r="A114" s="26" t="s">
        <v>495</v>
      </c>
      <c r="B114" s="26" t="s">
        <v>496</v>
      </c>
      <c r="C114" s="38"/>
      <c r="D114" s="38">
        <v>609987</v>
      </c>
      <c r="E114" s="38"/>
      <c r="F114" s="38">
        <f t="shared" ref="F114:F115" si="18">D114</f>
        <v>609987</v>
      </c>
    </row>
    <row r="115" spans="1:6" s="29" customFormat="1" ht="15" hidden="1" customHeight="1" x14ac:dyDescent="0.25">
      <c r="A115" s="26" t="s">
        <v>497</v>
      </c>
      <c r="B115" s="41" t="s">
        <v>498</v>
      </c>
      <c r="C115" s="38"/>
      <c r="D115" s="38">
        <f>D116+D117+D118+D119</f>
        <v>311879</v>
      </c>
      <c r="E115" s="38"/>
      <c r="F115" s="38">
        <f t="shared" si="18"/>
        <v>311879</v>
      </c>
    </row>
    <row r="116" spans="1:6" s="29" customFormat="1" ht="15" hidden="1" customHeight="1" x14ac:dyDescent="0.25">
      <c r="A116" s="26" t="s">
        <v>499</v>
      </c>
      <c r="B116" s="41" t="s">
        <v>500</v>
      </c>
      <c r="C116" s="38"/>
      <c r="D116" s="38">
        <v>14255</v>
      </c>
      <c r="E116" s="38"/>
      <c r="F116" s="38">
        <f t="shared" ref="F116" si="19">D116</f>
        <v>14255</v>
      </c>
    </row>
    <row r="117" spans="1:6" s="29" customFormat="1" ht="15" hidden="1" customHeight="1" x14ac:dyDescent="0.25">
      <c r="A117" s="26" t="s">
        <v>501</v>
      </c>
      <c r="B117" s="41" t="s">
        <v>502</v>
      </c>
      <c r="C117" s="38"/>
      <c r="D117" s="38">
        <v>82800</v>
      </c>
      <c r="E117" s="38"/>
      <c r="F117" s="38">
        <f>D117</f>
        <v>82800</v>
      </c>
    </row>
    <row r="118" spans="1:6" s="29" customFormat="1" ht="15" hidden="1" customHeight="1" x14ac:dyDescent="0.25">
      <c r="A118" s="26" t="s">
        <v>503</v>
      </c>
      <c r="B118" s="26" t="s">
        <v>504</v>
      </c>
      <c r="C118" s="38"/>
      <c r="D118" s="38">
        <v>168515</v>
      </c>
      <c r="E118" s="38"/>
      <c r="F118" s="38">
        <f>D118</f>
        <v>168515</v>
      </c>
    </row>
    <row r="119" spans="1:6" s="29" customFormat="1" ht="15" hidden="1" customHeight="1" x14ac:dyDescent="0.25">
      <c r="A119" s="26" t="s">
        <v>505</v>
      </c>
      <c r="B119" s="26" t="s">
        <v>506</v>
      </c>
      <c r="C119" s="38"/>
      <c r="D119" s="38">
        <v>46309</v>
      </c>
      <c r="E119" s="38"/>
      <c r="F119" s="38">
        <f>D119</f>
        <v>46309</v>
      </c>
    </row>
    <row r="120" spans="1:6" s="29" customFormat="1" ht="45" hidden="1" customHeight="1" x14ac:dyDescent="0.25">
      <c r="A120" s="36" t="s">
        <v>507</v>
      </c>
      <c r="B120" s="25" t="s">
        <v>508</v>
      </c>
      <c r="C120" s="37"/>
      <c r="D120" s="37">
        <f>D121+D122</f>
        <v>604655</v>
      </c>
      <c r="E120" s="38"/>
      <c r="F120" s="37">
        <f t="shared" ref="F120:F121" si="20">D120</f>
        <v>604655</v>
      </c>
    </row>
    <row r="121" spans="1:6" s="29" customFormat="1" ht="30" hidden="1" customHeight="1" x14ac:dyDescent="0.25">
      <c r="A121" s="26" t="s">
        <v>509</v>
      </c>
      <c r="B121" s="41" t="s">
        <v>510</v>
      </c>
      <c r="C121" s="38"/>
      <c r="D121" s="38">
        <v>5100</v>
      </c>
      <c r="E121" s="38"/>
      <c r="F121" s="38">
        <f t="shared" si="20"/>
        <v>5100</v>
      </c>
    </row>
    <row r="122" spans="1:6" s="29" customFormat="1" ht="15" hidden="1" customHeight="1" x14ac:dyDescent="0.25">
      <c r="A122" s="26" t="s">
        <v>511</v>
      </c>
      <c r="B122" s="26" t="s">
        <v>512</v>
      </c>
      <c r="C122" s="38"/>
      <c r="D122" s="38">
        <v>599555</v>
      </c>
      <c r="E122" s="38"/>
      <c r="F122" s="38">
        <f>D122</f>
        <v>599555</v>
      </c>
    </row>
    <row r="123" spans="1:6" s="29" customFormat="1" hidden="1" x14ac:dyDescent="0.25"/>
    <row r="124" spans="1:6" s="5" customFormat="1" ht="15.75" hidden="1" x14ac:dyDescent="0.25">
      <c r="B124" s="6" t="s">
        <v>323</v>
      </c>
      <c r="C124" s="6"/>
    </row>
  </sheetData>
  <mergeCells count="5">
    <mergeCell ref="A13:F13"/>
    <mergeCell ref="A15:A16"/>
    <mergeCell ref="B15:B16"/>
    <mergeCell ref="C15:E15"/>
    <mergeCell ref="F15:F16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3"/>
  <sheetViews>
    <sheetView workbookViewId="0">
      <selection activeCell="I1" sqref="I1"/>
    </sheetView>
  </sheetViews>
  <sheetFormatPr defaultRowHeight="15.75" x14ac:dyDescent="0.25"/>
  <cols>
    <col min="1" max="1" width="15.42578125" style="29" customWidth="1"/>
    <col min="2" max="2" width="34.7109375" style="29" customWidth="1"/>
    <col min="3" max="3" width="17.42578125" style="5" customWidth="1"/>
    <col min="4" max="4" width="17.42578125" style="29" customWidth="1"/>
    <col min="5" max="5" width="15.7109375" style="29" customWidth="1"/>
    <col min="6" max="6" width="17.42578125" style="29" customWidth="1"/>
    <col min="7" max="7" width="16.85546875" style="29" customWidth="1"/>
    <col min="8" max="8" width="17.7109375" style="29" customWidth="1"/>
    <col min="9" max="9" width="9.85546875" style="29" bestFit="1" customWidth="1"/>
    <col min="10" max="16384" width="9.140625" style="29"/>
  </cols>
  <sheetData>
    <row r="1" spans="1:12" customFormat="1" x14ac:dyDescent="0.25">
      <c r="C1" s="110"/>
      <c r="F1" s="110"/>
      <c r="H1" s="116" t="s">
        <v>676</v>
      </c>
      <c r="K1" s="110"/>
    </row>
    <row r="2" spans="1:12" customFormat="1" x14ac:dyDescent="0.25">
      <c r="C2" s="111"/>
      <c r="F2" s="111"/>
      <c r="H2" s="111" t="s">
        <v>622</v>
      </c>
      <c r="K2" s="111"/>
    </row>
    <row r="3" spans="1:12" customFormat="1" x14ac:dyDescent="0.25">
      <c r="C3" s="111"/>
      <c r="F3" s="111"/>
      <c r="H3" s="111" t="s">
        <v>671</v>
      </c>
      <c r="K3" s="111"/>
    </row>
    <row r="4" spans="1:12" customFormat="1" x14ac:dyDescent="0.25">
      <c r="C4" s="111"/>
      <c r="F4" s="111"/>
      <c r="H4" s="111" t="s">
        <v>677</v>
      </c>
      <c r="K4" s="111"/>
    </row>
    <row r="5" spans="1:12" customFormat="1" ht="15.75" customHeight="1" x14ac:dyDescent="0.25">
      <c r="C5" s="111"/>
      <c r="F5" s="111"/>
      <c r="G5" s="111"/>
      <c r="H5" s="111" t="s">
        <v>678</v>
      </c>
      <c r="I5" s="111"/>
      <c r="J5" s="111"/>
      <c r="K5" s="111"/>
    </row>
    <row r="6" spans="1:12" customFormat="1" ht="15.75" customHeight="1" x14ac:dyDescent="0.25">
      <c r="G6" s="111"/>
      <c r="I6" s="111"/>
      <c r="J6" s="111"/>
    </row>
    <row r="7" spans="1:12" s="5" customFormat="1" x14ac:dyDescent="0.25">
      <c r="A7" s="6"/>
      <c r="C7" s="7"/>
      <c r="E7" s="6"/>
      <c r="F7" s="7"/>
      <c r="G7" s="6"/>
      <c r="H7" s="117" t="s">
        <v>679</v>
      </c>
      <c r="I7" s="6"/>
    </row>
    <row r="8" spans="1:12" s="5" customFormat="1" x14ac:dyDescent="0.25">
      <c r="A8" s="6"/>
      <c r="C8" s="8"/>
      <c r="E8" s="6"/>
      <c r="F8" s="8"/>
      <c r="G8" s="6"/>
      <c r="H8" s="8" t="s">
        <v>622</v>
      </c>
      <c r="I8" s="6"/>
    </row>
    <row r="9" spans="1:12" s="5" customFormat="1" x14ac:dyDescent="0.25">
      <c r="A9" s="6"/>
      <c r="C9" s="8"/>
      <c r="D9" s="6"/>
      <c r="E9" s="6"/>
      <c r="F9" s="8"/>
      <c r="G9" s="6"/>
      <c r="H9" s="8" t="s">
        <v>673</v>
      </c>
      <c r="I9" s="6"/>
      <c r="J9" s="6"/>
      <c r="K9" s="6"/>
      <c r="L9" s="6"/>
    </row>
    <row r="10" spans="1:12" s="5" customFormat="1" x14ac:dyDescent="0.25">
      <c r="A10" s="6"/>
      <c r="B10" s="8"/>
      <c r="C10" s="8"/>
      <c r="D10" s="6"/>
      <c r="E10" s="6"/>
      <c r="F10" s="8"/>
      <c r="G10" s="6"/>
      <c r="H10" s="8" t="s">
        <v>674</v>
      </c>
      <c r="I10" s="6"/>
    </row>
    <row r="11" spans="1:12" s="5" customFormat="1" x14ac:dyDescent="0.25">
      <c r="A11" s="6"/>
      <c r="B11" s="8"/>
      <c r="C11" s="8"/>
      <c r="D11" s="6"/>
      <c r="E11" s="6"/>
      <c r="F11" s="8"/>
      <c r="G11" s="6"/>
      <c r="H11" s="8"/>
      <c r="I11" s="6"/>
    </row>
    <row r="12" spans="1:12" ht="15" customHeight="1" x14ac:dyDescent="0.25">
      <c r="A12" s="6"/>
      <c r="B12" s="119"/>
      <c r="C12" s="119"/>
      <c r="D12" s="119"/>
      <c r="E12" s="119"/>
      <c r="F12" s="119"/>
      <c r="G12" s="119"/>
      <c r="H12" s="6"/>
    </row>
    <row r="13" spans="1:12" ht="15" customHeight="1" x14ac:dyDescent="0.3">
      <c r="A13" s="6"/>
      <c r="B13" s="120" t="s">
        <v>680</v>
      </c>
      <c r="C13" s="120"/>
      <c r="D13" s="120"/>
      <c r="E13" s="120"/>
      <c r="F13" s="120"/>
      <c r="G13" s="120"/>
      <c r="H13" s="6"/>
    </row>
    <row r="14" spans="1:12" ht="15" customHeight="1" x14ac:dyDescent="0.25">
      <c r="A14" s="6"/>
      <c r="B14" s="4"/>
      <c r="C14" s="4"/>
      <c r="D14" s="53"/>
      <c r="E14" s="53"/>
      <c r="F14" s="53"/>
      <c r="G14" s="53"/>
      <c r="H14" s="54"/>
    </row>
    <row r="15" spans="1:12" ht="15" customHeight="1" x14ac:dyDescent="0.25">
      <c r="A15" s="123" t="s">
        <v>255</v>
      </c>
      <c r="B15" s="123" t="s">
        <v>256</v>
      </c>
      <c r="C15" s="2"/>
      <c r="D15" s="124" t="s">
        <v>257</v>
      </c>
      <c r="E15" s="124"/>
      <c r="F15" s="124"/>
      <c r="G15" s="124"/>
      <c r="H15" s="122" t="s">
        <v>258</v>
      </c>
    </row>
    <row r="16" spans="1:12" ht="45" customHeight="1" x14ac:dyDescent="0.25">
      <c r="A16" s="123"/>
      <c r="B16" s="123"/>
      <c r="C16" s="3" t="s">
        <v>584</v>
      </c>
      <c r="D16" s="3" t="s">
        <v>259</v>
      </c>
      <c r="E16" s="3" t="s">
        <v>260</v>
      </c>
      <c r="F16" s="3" t="s">
        <v>261</v>
      </c>
      <c r="G16" s="3" t="s">
        <v>262</v>
      </c>
      <c r="H16" s="122"/>
    </row>
    <row r="17" spans="1:9" ht="15" customHeight="1" x14ac:dyDescent="0.25">
      <c r="A17" s="2"/>
      <c r="B17" s="2"/>
      <c r="C17" s="55">
        <f t="shared" ref="C17:H17" si="0">C18+C50+C54+C113+C181+C196+C247+C319+C92</f>
        <v>1068637</v>
      </c>
      <c r="D17" s="55">
        <f t="shared" si="0"/>
        <v>19555546.434782609</v>
      </c>
      <c r="E17" s="55">
        <f t="shared" si="0"/>
        <v>4195457</v>
      </c>
      <c r="F17" s="55">
        <f t="shared" si="0"/>
        <v>8462135</v>
      </c>
      <c r="G17" s="55">
        <f t="shared" si="0"/>
        <v>3381003.5652173916</v>
      </c>
      <c r="H17" s="23">
        <f t="shared" si="0"/>
        <v>36662779</v>
      </c>
      <c r="I17" s="60"/>
    </row>
    <row r="18" spans="1:9" ht="15" customHeight="1" x14ac:dyDescent="0.25">
      <c r="A18" s="1" t="s">
        <v>263</v>
      </c>
      <c r="B18" s="36" t="s">
        <v>264</v>
      </c>
      <c r="C18" s="37">
        <f t="shared" ref="C18:H18" si="1">SUM(C19:C49)</f>
        <v>0</v>
      </c>
      <c r="D18" s="37">
        <f t="shared" si="1"/>
        <v>3733183.8260869565</v>
      </c>
      <c r="E18" s="37">
        <f t="shared" si="1"/>
        <v>19819</v>
      </c>
      <c r="F18" s="37">
        <f>SUM(F19:F49)</f>
        <v>41187</v>
      </c>
      <c r="G18" s="37">
        <f t="shared" si="1"/>
        <v>667591.17391304346</v>
      </c>
      <c r="H18" s="23">
        <f t="shared" si="1"/>
        <v>4461781</v>
      </c>
    </row>
    <row r="19" spans="1:9" ht="15" customHeight="1" x14ac:dyDescent="0.25">
      <c r="A19" s="47"/>
      <c r="B19" s="26" t="s">
        <v>1</v>
      </c>
      <c r="C19" s="56"/>
      <c r="D19" s="38">
        <f>H19-E19-G19-F19-C19</f>
        <v>1584888</v>
      </c>
      <c r="E19" s="38"/>
      <c r="F19" s="38"/>
      <c r="G19" s="38"/>
      <c r="H19" s="23">
        <f>'3.pielikums'!B18</f>
        <v>1584888</v>
      </c>
    </row>
    <row r="20" spans="1:9" ht="15" customHeight="1" x14ac:dyDescent="0.25">
      <c r="A20" s="47"/>
      <c r="B20" s="26" t="s">
        <v>2</v>
      </c>
      <c r="C20" s="56"/>
      <c r="D20" s="38">
        <f t="shared" ref="D20:D83" si="2">H20-E20-G20-F20-C20</f>
        <v>155358</v>
      </c>
      <c r="E20" s="38"/>
      <c r="F20" s="38"/>
      <c r="G20" s="38"/>
      <c r="H20" s="23">
        <f>'3.pielikums'!B19</f>
        <v>155358</v>
      </c>
    </row>
    <row r="21" spans="1:9" ht="30" customHeight="1" x14ac:dyDescent="0.25">
      <c r="A21" s="47"/>
      <c r="B21" s="41" t="s">
        <v>170</v>
      </c>
      <c r="C21" s="46"/>
      <c r="D21" s="38">
        <f t="shared" si="2"/>
        <v>250642</v>
      </c>
      <c r="E21" s="38"/>
      <c r="F21" s="38"/>
      <c r="G21" s="38"/>
      <c r="H21" s="23">
        <f>'3.pielikums'!B20</f>
        <v>250642</v>
      </c>
    </row>
    <row r="22" spans="1:9" ht="15" customHeight="1" x14ac:dyDescent="0.25">
      <c r="A22" s="47"/>
      <c r="B22" s="41" t="s">
        <v>203</v>
      </c>
      <c r="C22" s="46"/>
      <c r="D22" s="38">
        <f t="shared" si="2"/>
        <v>34578</v>
      </c>
      <c r="E22" s="38"/>
      <c r="F22" s="38"/>
      <c r="G22" s="38"/>
      <c r="H22" s="23">
        <f>'3.pielikums'!B21</f>
        <v>34578</v>
      </c>
    </row>
    <row r="23" spans="1:9" ht="15" customHeight="1" x14ac:dyDescent="0.25">
      <c r="A23" s="47"/>
      <c r="B23" s="41" t="s">
        <v>196</v>
      </c>
      <c r="C23" s="46"/>
      <c r="D23" s="38">
        <f>H23-E23-G23-F23-C23</f>
        <v>298102.82608695648</v>
      </c>
      <c r="E23" s="38"/>
      <c r="F23" s="38"/>
      <c r="G23" s="38">
        <f>370452/1.15</f>
        <v>322132.17391304352</v>
      </c>
      <c r="H23" s="23">
        <f>'3.pielikums'!B22</f>
        <v>620235</v>
      </c>
    </row>
    <row r="24" spans="1:9" ht="15" customHeight="1" x14ac:dyDescent="0.25">
      <c r="A24" s="47"/>
      <c r="B24" s="26" t="s">
        <v>3</v>
      </c>
      <c r="C24" s="56"/>
      <c r="D24" s="38">
        <f t="shared" si="2"/>
        <v>34564</v>
      </c>
      <c r="E24" s="38"/>
      <c r="F24" s="38"/>
      <c r="G24" s="38"/>
      <c r="H24" s="23">
        <f>'3.pielikums'!B24</f>
        <v>34564</v>
      </c>
    </row>
    <row r="25" spans="1:9" ht="15" customHeight="1" x14ac:dyDescent="0.25">
      <c r="A25" s="47"/>
      <c r="B25" s="26" t="s">
        <v>91</v>
      </c>
      <c r="C25" s="56"/>
      <c r="D25" s="38">
        <f t="shared" si="2"/>
        <v>73892</v>
      </c>
      <c r="E25" s="38">
        <f>674+239</f>
        <v>913</v>
      </c>
      <c r="F25" s="38"/>
      <c r="G25" s="38"/>
      <c r="H25" s="23">
        <f>'3.pielikums'!B25</f>
        <v>74805</v>
      </c>
    </row>
    <row r="26" spans="1:9" ht="15" customHeight="1" x14ac:dyDescent="0.25">
      <c r="A26" s="47"/>
      <c r="B26" s="26" t="s">
        <v>4</v>
      </c>
      <c r="C26" s="56"/>
      <c r="D26" s="38">
        <f t="shared" si="2"/>
        <v>34798</v>
      </c>
      <c r="E26" s="38"/>
      <c r="F26" s="38"/>
      <c r="G26" s="38"/>
      <c r="H26" s="23">
        <f>'3.pielikums'!B26</f>
        <v>34798</v>
      </c>
    </row>
    <row r="27" spans="1:9" ht="15" customHeight="1" x14ac:dyDescent="0.25">
      <c r="A27" s="47"/>
      <c r="B27" s="26" t="s">
        <v>5</v>
      </c>
      <c r="C27" s="56"/>
      <c r="D27" s="38">
        <f t="shared" si="2"/>
        <v>47875</v>
      </c>
      <c r="E27" s="38">
        <f>340+1380</f>
        <v>1720</v>
      </c>
      <c r="F27" s="38"/>
      <c r="G27" s="38"/>
      <c r="H27" s="23">
        <f>'3.pielikums'!B27</f>
        <v>49595</v>
      </c>
    </row>
    <row r="28" spans="1:9" ht="15" customHeight="1" x14ac:dyDescent="0.25">
      <c r="A28" s="47"/>
      <c r="B28" s="26" t="s">
        <v>6</v>
      </c>
      <c r="C28" s="56"/>
      <c r="D28" s="38">
        <f t="shared" si="2"/>
        <v>40318</v>
      </c>
      <c r="E28" s="38"/>
      <c r="F28" s="38"/>
      <c r="G28" s="38"/>
      <c r="H28" s="23">
        <f>'3.pielikums'!B28</f>
        <v>40318</v>
      </c>
    </row>
    <row r="29" spans="1:9" ht="15" customHeight="1" x14ac:dyDescent="0.25">
      <c r="A29" s="47"/>
      <c r="B29" s="26" t="s">
        <v>7</v>
      </c>
      <c r="C29" s="56"/>
      <c r="D29" s="38">
        <f t="shared" si="2"/>
        <v>39911</v>
      </c>
      <c r="E29" s="38">
        <f>85</f>
        <v>85</v>
      </c>
      <c r="F29" s="38"/>
      <c r="G29" s="38"/>
      <c r="H29" s="23">
        <f>'3.pielikums'!B29</f>
        <v>39996</v>
      </c>
    </row>
    <row r="30" spans="1:9" ht="15" customHeight="1" x14ac:dyDescent="0.25">
      <c r="A30" s="47"/>
      <c r="B30" s="26" t="s">
        <v>8</v>
      </c>
      <c r="C30" s="56"/>
      <c r="D30" s="38">
        <f t="shared" si="2"/>
        <v>43428</v>
      </c>
      <c r="E30" s="38">
        <f>12</f>
        <v>12</v>
      </c>
      <c r="F30" s="38"/>
      <c r="G30" s="38"/>
      <c r="H30" s="23">
        <f>'3.pielikums'!B30</f>
        <v>43440</v>
      </c>
    </row>
    <row r="31" spans="1:9" ht="15" customHeight="1" x14ac:dyDescent="0.25">
      <c r="A31" s="47"/>
      <c r="B31" s="26" t="s">
        <v>92</v>
      </c>
      <c r="C31" s="56"/>
      <c r="D31" s="38">
        <f t="shared" si="2"/>
        <v>35296</v>
      </c>
      <c r="E31" s="38">
        <f>150</f>
        <v>150</v>
      </c>
      <c r="F31" s="38"/>
      <c r="G31" s="38"/>
      <c r="H31" s="23">
        <f>'3.pielikums'!B31</f>
        <v>35446</v>
      </c>
    </row>
    <row r="32" spans="1:9" ht="15" customHeight="1" x14ac:dyDescent="0.25">
      <c r="A32" s="47"/>
      <c r="B32" s="26" t="s">
        <v>127</v>
      </c>
      <c r="C32" s="56"/>
      <c r="D32" s="38">
        <f t="shared" si="2"/>
        <v>36877</v>
      </c>
      <c r="E32" s="38"/>
      <c r="F32" s="38"/>
      <c r="G32" s="38"/>
      <c r="H32" s="23">
        <f>'3.pielikums'!B32</f>
        <v>36877</v>
      </c>
    </row>
    <row r="33" spans="1:8" ht="15" customHeight="1" x14ac:dyDescent="0.25">
      <c r="A33" s="47"/>
      <c r="B33" s="26" t="s">
        <v>9</v>
      </c>
      <c r="C33" s="56"/>
      <c r="D33" s="38">
        <f t="shared" si="2"/>
        <v>23494</v>
      </c>
      <c r="E33" s="38"/>
      <c r="F33" s="38"/>
      <c r="G33" s="38"/>
      <c r="H33" s="23">
        <f>'3.pielikums'!B33</f>
        <v>23494</v>
      </c>
    </row>
    <row r="34" spans="1:8" ht="15" customHeight="1" x14ac:dyDescent="0.25">
      <c r="A34" s="47"/>
      <c r="B34" s="41" t="s">
        <v>93</v>
      </c>
      <c r="C34" s="46"/>
      <c r="D34" s="38">
        <f t="shared" si="2"/>
        <v>42551</v>
      </c>
      <c r="E34" s="38"/>
      <c r="F34" s="38"/>
      <c r="G34" s="38"/>
      <c r="H34" s="23">
        <f>'3.pielikums'!B34</f>
        <v>42551</v>
      </c>
    </row>
    <row r="35" spans="1:8" ht="15" customHeight="1" x14ac:dyDescent="0.25">
      <c r="A35" s="47"/>
      <c r="B35" s="41" t="s">
        <v>265</v>
      </c>
      <c r="C35" s="46"/>
      <c r="D35" s="38">
        <f t="shared" si="2"/>
        <v>48643</v>
      </c>
      <c r="E35" s="38">
        <f>1400</f>
        <v>1400</v>
      </c>
      <c r="F35" s="38"/>
      <c r="G35" s="38"/>
      <c r="H35" s="23">
        <f>'3.pielikums'!B35</f>
        <v>50043</v>
      </c>
    </row>
    <row r="36" spans="1:8" ht="15" customHeight="1" x14ac:dyDescent="0.25">
      <c r="A36" s="47"/>
      <c r="B36" s="41" t="s">
        <v>94</v>
      </c>
      <c r="C36" s="46"/>
      <c r="D36" s="38">
        <f t="shared" si="2"/>
        <v>20658</v>
      </c>
      <c r="E36" s="38"/>
      <c r="F36" s="38"/>
      <c r="G36" s="38"/>
      <c r="H36" s="23">
        <f>'3.pielikums'!B36</f>
        <v>20658</v>
      </c>
    </row>
    <row r="37" spans="1:8" ht="15" customHeight="1" x14ac:dyDescent="0.25">
      <c r="A37" s="47"/>
      <c r="B37" s="41" t="s">
        <v>95</v>
      </c>
      <c r="C37" s="46"/>
      <c r="D37" s="38">
        <f t="shared" si="2"/>
        <v>48906</v>
      </c>
      <c r="E37" s="38"/>
      <c r="F37" s="38"/>
      <c r="G37" s="38"/>
      <c r="H37" s="23">
        <f>'3.pielikums'!B37</f>
        <v>48906</v>
      </c>
    </row>
    <row r="38" spans="1:8" ht="15" customHeight="1" x14ac:dyDescent="0.25">
      <c r="A38" s="47"/>
      <c r="B38" s="26" t="s">
        <v>10</v>
      </c>
      <c r="C38" s="56"/>
      <c r="D38" s="38">
        <f t="shared" si="2"/>
        <v>43553</v>
      </c>
      <c r="E38" s="38">
        <f>500</f>
        <v>500</v>
      </c>
      <c r="F38" s="38"/>
      <c r="G38" s="38"/>
      <c r="H38" s="23">
        <f>'3.pielikums'!B38</f>
        <v>44053</v>
      </c>
    </row>
    <row r="39" spans="1:8" ht="15" customHeight="1" x14ac:dyDescent="0.25">
      <c r="A39" s="47"/>
      <c r="B39" s="26" t="s">
        <v>11</v>
      </c>
      <c r="C39" s="56"/>
      <c r="D39" s="38">
        <f t="shared" si="2"/>
        <v>34012</v>
      </c>
      <c r="E39" s="38"/>
      <c r="F39" s="38"/>
      <c r="G39" s="38"/>
      <c r="H39" s="23">
        <f>'3.pielikums'!B39</f>
        <v>34012</v>
      </c>
    </row>
    <row r="40" spans="1:8" ht="15" customHeight="1" x14ac:dyDescent="0.25">
      <c r="A40" s="47"/>
      <c r="B40" s="26" t="s">
        <v>96</v>
      </c>
      <c r="C40" s="56"/>
      <c r="D40" s="38">
        <f t="shared" si="2"/>
        <v>34090</v>
      </c>
      <c r="E40" s="38"/>
      <c r="F40" s="38"/>
      <c r="G40" s="38"/>
      <c r="H40" s="23">
        <f>'3.pielikums'!B40</f>
        <v>34090</v>
      </c>
    </row>
    <row r="41" spans="1:8" ht="15" customHeight="1" x14ac:dyDescent="0.25">
      <c r="A41" s="47"/>
      <c r="B41" s="26" t="s">
        <v>12</v>
      </c>
      <c r="C41" s="56"/>
      <c r="D41" s="38">
        <f t="shared" si="2"/>
        <v>39126</v>
      </c>
      <c r="E41" s="38">
        <f>67</f>
        <v>67</v>
      </c>
      <c r="F41" s="38"/>
      <c r="G41" s="38"/>
      <c r="H41" s="23">
        <f>'3.pielikums'!B41</f>
        <v>39193</v>
      </c>
    </row>
    <row r="42" spans="1:8" ht="15" customHeight="1" x14ac:dyDescent="0.25">
      <c r="A42" s="47"/>
      <c r="B42" s="41" t="s">
        <v>89</v>
      </c>
      <c r="C42" s="46"/>
      <c r="D42" s="38">
        <f t="shared" si="2"/>
        <v>71616</v>
      </c>
      <c r="E42" s="38">
        <f>3693+2629</f>
        <v>6322</v>
      </c>
      <c r="F42" s="38"/>
      <c r="G42" s="38"/>
      <c r="H42" s="23">
        <f>'3.pielikums'!B42</f>
        <v>77938</v>
      </c>
    </row>
    <row r="43" spans="1:8" ht="15" customHeight="1" x14ac:dyDescent="0.25">
      <c r="A43" s="47"/>
      <c r="B43" s="41" t="s">
        <v>97</v>
      </c>
      <c r="C43" s="46"/>
      <c r="D43" s="38">
        <f t="shared" si="2"/>
        <v>37510</v>
      </c>
      <c r="E43" s="38"/>
      <c r="F43" s="38"/>
      <c r="G43" s="38"/>
      <c r="H43" s="23">
        <f>'3.pielikums'!B43</f>
        <v>37510</v>
      </c>
    </row>
    <row r="44" spans="1:8" ht="30" customHeight="1" x14ac:dyDescent="0.25">
      <c r="A44" s="47"/>
      <c r="B44" s="19" t="s">
        <v>229</v>
      </c>
      <c r="C44" s="46"/>
      <c r="D44" s="38">
        <f>H44-E44-G44-F44-C44</f>
        <v>491</v>
      </c>
      <c r="E44" s="38"/>
      <c r="F44" s="38">
        <v>7207</v>
      </c>
      <c r="G44" s="38">
        <v>345459</v>
      </c>
      <c r="H44" s="23">
        <f>'3.pielikums'!B320</f>
        <v>353157</v>
      </c>
    </row>
    <row r="45" spans="1:8" ht="30" customHeight="1" x14ac:dyDescent="0.25">
      <c r="A45" s="47"/>
      <c r="B45" s="41" t="s">
        <v>90</v>
      </c>
      <c r="C45" s="46"/>
      <c r="D45" s="38">
        <f t="shared" si="2"/>
        <v>59658</v>
      </c>
      <c r="E45" s="38">
        <f>4350+4300</f>
        <v>8650</v>
      </c>
      <c r="F45" s="38">
        <v>33980</v>
      </c>
      <c r="G45" s="38"/>
      <c r="H45" s="23">
        <f>'3.pielikums'!B44</f>
        <v>102288</v>
      </c>
    </row>
    <row r="46" spans="1:8" ht="30" customHeight="1" x14ac:dyDescent="0.25">
      <c r="A46" s="47"/>
      <c r="B46" s="41" t="s">
        <v>173</v>
      </c>
      <c r="C46" s="46"/>
      <c r="D46" s="38">
        <f t="shared" si="2"/>
        <v>441606</v>
      </c>
      <c r="E46" s="38"/>
      <c r="F46" s="38"/>
      <c r="G46" s="38"/>
      <c r="H46" s="23">
        <f>'3.pielikums'!B47</f>
        <v>441606</v>
      </c>
    </row>
    <row r="47" spans="1:8" ht="15" customHeight="1" x14ac:dyDescent="0.25">
      <c r="A47" s="47"/>
      <c r="B47" s="41" t="s">
        <v>13</v>
      </c>
      <c r="C47" s="46"/>
      <c r="D47" s="38">
        <f t="shared" si="2"/>
        <v>6000</v>
      </c>
      <c r="E47" s="38"/>
      <c r="F47" s="38"/>
      <c r="G47" s="38"/>
      <c r="H47" s="23">
        <f>'3.pielikums'!B45</f>
        <v>6000</v>
      </c>
    </row>
    <row r="48" spans="1:8" ht="15" customHeight="1" x14ac:dyDescent="0.25">
      <c r="A48" s="47"/>
      <c r="B48" s="26" t="s">
        <v>14</v>
      </c>
      <c r="C48" s="56"/>
      <c r="D48" s="38">
        <f t="shared" si="2"/>
        <v>45250</v>
      </c>
      <c r="E48" s="38"/>
      <c r="F48" s="38"/>
      <c r="G48" s="38"/>
      <c r="H48" s="23">
        <f>'3.pielikums'!B46</f>
        <v>45250</v>
      </c>
    </row>
    <row r="49" spans="1:10" ht="15" customHeight="1" x14ac:dyDescent="0.25">
      <c r="A49" s="47"/>
      <c r="B49" s="26" t="s">
        <v>251</v>
      </c>
      <c r="C49" s="56"/>
      <c r="D49" s="38">
        <f t="shared" si="2"/>
        <v>25492</v>
      </c>
      <c r="E49" s="38"/>
      <c r="F49" s="38"/>
      <c r="G49" s="38"/>
      <c r="H49" s="23">
        <f>'3.pielikums'!B48</f>
        <v>25492</v>
      </c>
    </row>
    <row r="50" spans="1:10" ht="15" customHeight="1" x14ac:dyDescent="0.25">
      <c r="A50" s="1" t="s">
        <v>266</v>
      </c>
      <c r="B50" s="25" t="s">
        <v>267</v>
      </c>
      <c r="C50" s="37">
        <f t="shared" ref="C50:H50" si="3">SUM(C51:C53)</f>
        <v>0</v>
      </c>
      <c r="D50" s="37">
        <f t="shared" si="3"/>
        <v>287638</v>
      </c>
      <c r="E50" s="37">
        <f t="shared" si="3"/>
        <v>24340</v>
      </c>
      <c r="F50" s="37">
        <f t="shared" si="3"/>
        <v>3690</v>
      </c>
      <c r="G50" s="37">
        <f t="shared" si="3"/>
        <v>0</v>
      </c>
      <c r="H50" s="23">
        <f t="shared" si="3"/>
        <v>315668</v>
      </c>
    </row>
    <row r="51" spans="1:10" ht="15" customHeight="1" x14ac:dyDescent="0.25">
      <c r="A51" s="57"/>
      <c r="B51" s="26" t="s">
        <v>15</v>
      </c>
      <c r="C51" s="56"/>
      <c r="D51" s="38">
        <f t="shared" si="2"/>
        <v>81365</v>
      </c>
      <c r="E51" s="38">
        <f>1400+1140+1200</f>
        <v>3740</v>
      </c>
      <c r="F51" s="38"/>
      <c r="G51" s="38"/>
      <c r="H51" s="23">
        <f>'3.pielikums'!B49</f>
        <v>85105</v>
      </c>
    </row>
    <row r="52" spans="1:10" ht="15" customHeight="1" x14ac:dyDescent="0.25">
      <c r="A52" s="47"/>
      <c r="B52" s="26" t="s">
        <v>16</v>
      </c>
      <c r="C52" s="56"/>
      <c r="D52" s="38">
        <f t="shared" si="2"/>
        <v>171542</v>
      </c>
      <c r="E52" s="38">
        <f>2000+100</f>
        <v>2100</v>
      </c>
      <c r="F52" s="38"/>
      <c r="G52" s="38"/>
      <c r="H52" s="23">
        <f>'3.pielikums'!B50</f>
        <v>173642</v>
      </c>
    </row>
    <row r="53" spans="1:10" ht="15" customHeight="1" x14ac:dyDescent="0.25">
      <c r="A53" s="47"/>
      <c r="B53" s="26" t="s">
        <v>54</v>
      </c>
      <c r="C53" s="56"/>
      <c r="D53" s="38">
        <f t="shared" si="2"/>
        <v>34731</v>
      </c>
      <c r="E53" s="38">
        <f>18500</f>
        <v>18500</v>
      </c>
      <c r="F53" s="38">
        <v>3690</v>
      </c>
      <c r="G53" s="38"/>
      <c r="H53" s="23">
        <f>'3.pielikums'!B51</f>
        <v>56921</v>
      </c>
    </row>
    <row r="54" spans="1:10" ht="15" customHeight="1" x14ac:dyDescent="0.25">
      <c r="A54" s="1" t="s">
        <v>268</v>
      </c>
      <c r="B54" s="36" t="s">
        <v>269</v>
      </c>
      <c r="C54" s="58">
        <f t="shared" ref="C54:H54" si="4">SUM(C55:C91)</f>
        <v>323002</v>
      </c>
      <c r="D54" s="58">
        <f t="shared" si="4"/>
        <v>630125.6086956521</v>
      </c>
      <c r="E54" s="58">
        <f t="shared" si="4"/>
        <v>25750</v>
      </c>
      <c r="F54" s="58">
        <f t="shared" si="4"/>
        <v>1218990</v>
      </c>
      <c r="G54" s="58">
        <f t="shared" si="4"/>
        <v>765020.3913043479</v>
      </c>
      <c r="H54" s="23">
        <f t="shared" si="4"/>
        <v>2962888</v>
      </c>
    </row>
    <row r="55" spans="1:10" ht="15" customHeight="1" x14ac:dyDescent="0.25">
      <c r="A55" s="47"/>
      <c r="B55" s="41" t="s">
        <v>270</v>
      </c>
      <c r="C55" s="46">
        <v>3381</v>
      </c>
      <c r="D55" s="38">
        <f t="shared" si="2"/>
        <v>425</v>
      </c>
      <c r="E55" s="37"/>
      <c r="F55" s="38">
        <v>172800</v>
      </c>
      <c r="G55" s="37"/>
      <c r="H55" s="23">
        <f>'3.pielikums'!B79</f>
        <v>176606</v>
      </c>
    </row>
    <row r="56" spans="1:10" ht="15" customHeight="1" x14ac:dyDescent="0.25">
      <c r="A56" s="57"/>
      <c r="B56" s="26" t="s">
        <v>271</v>
      </c>
      <c r="C56" s="56"/>
      <c r="D56" s="38">
        <f t="shared" si="2"/>
        <v>65147</v>
      </c>
      <c r="E56" s="38">
        <f>10000</f>
        <v>10000</v>
      </c>
      <c r="F56" s="38"/>
      <c r="G56" s="38"/>
      <c r="H56" s="23">
        <f>'3.pielikums'!B52</f>
        <v>75147</v>
      </c>
    </row>
    <row r="57" spans="1:10" ht="30" customHeight="1" x14ac:dyDescent="0.25">
      <c r="A57" s="47"/>
      <c r="B57" s="41" t="s">
        <v>272</v>
      </c>
      <c r="C57" s="46"/>
      <c r="D57" s="38">
        <f t="shared" si="2"/>
        <v>106988</v>
      </c>
      <c r="E57" s="38">
        <f>4000+3500+1000</f>
        <v>8500</v>
      </c>
      <c r="F57" s="38">
        <f>68495</f>
        <v>68495</v>
      </c>
      <c r="G57" s="38"/>
      <c r="H57" s="23">
        <f>'3.pielikums'!B55</f>
        <v>183983</v>
      </c>
    </row>
    <row r="58" spans="1:10" ht="15" customHeight="1" x14ac:dyDescent="0.25">
      <c r="A58" s="59"/>
      <c r="B58" s="43" t="s">
        <v>63</v>
      </c>
      <c r="C58" s="46"/>
      <c r="D58" s="38">
        <f>H58-E58-G58-F58-C58</f>
        <v>0</v>
      </c>
      <c r="E58" s="38"/>
      <c r="F58" s="38">
        <v>117893</v>
      </c>
      <c r="G58" s="38"/>
      <c r="H58" s="23">
        <f>'3.pielikums'!B57</f>
        <v>117893</v>
      </c>
      <c r="J58" s="60"/>
    </row>
    <row r="59" spans="1:10" ht="30" customHeight="1" x14ac:dyDescent="0.25">
      <c r="A59" s="59"/>
      <c r="B59" s="43" t="s">
        <v>212</v>
      </c>
      <c r="C59" s="46"/>
      <c r="D59" s="38">
        <f t="shared" si="2"/>
        <v>0</v>
      </c>
      <c r="E59" s="38"/>
      <c r="F59" s="38">
        <v>46305</v>
      </c>
      <c r="G59" s="38"/>
      <c r="H59" s="23">
        <f>'3.pielikums'!B58</f>
        <v>46305</v>
      </c>
      <c r="J59" s="60"/>
    </row>
    <row r="60" spans="1:10" ht="30" customHeight="1" x14ac:dyDescent="0.25">
      <c r="A60" s="59"/>
      <c r="B60" s="43" t="s">
        <v>64</v>
      </c>
      <c r="C60" s="46">
        <v>10778</v>
      </c>
      <c r="D60" s="38">
        <f t="shared" si="2"/>
        <v>0</v>
      </c>
      <c r="E60" s="38"/>
      <c r="F60" s="38">
        <v>23910</v>
      </c>
      <c r="G60" s="38"/>
      <c r="H60" s="23">
        <f>'3.pielikums'!B59</f>
        <v>34688</v>
      </c>
      <c r="J60" s="60"/>
    </row>
    <row r="61" spans="1:10" ht="30" customHeight="1" x14ac:dyDescent="0.25">
      <c r="A61" s="59"/>
      <c r="B61" s="43" t="s">
        <v>65</v>
      </c>
      <c r="C61" s="46"/>
      <c r="D61" s="38">
        <f t="shared" si="2"/>
        <v>0</v>
      </c>
      <c r="E61" s="38"/>
      <c r="F61" s="38">
        <v>19249</v>
      </c>
      <c r="G61" s="38"/>
      <c r="H61" s="23">
        <f>'3.pielikums'!B60</f>
        <v>19249</v>
      </c>
    </row>
    <row r="62" spans="1:10" ht="30" customHeight="1" x14ac:dyDescent="0.25">
      <c r="A62" s="59"/>
      <c r="B62" s="43" t="s">
        <v>66</v>
      </c>
      <c r="C62" s="46">
        <v>14413</v>
      </c>
      <c r="D62" s="38">
        <f t="shared" si="2"/>
        <v>0</v>
      </c>
      <c r="E62" s="38"/>
      <c r="F62" s="38">
        <v>39620</v>
      </c>
      <c r="G62" s="38"/>
      <c r="H62" s="23">
        <f>'3.pielikums'!B61</f>
        <v>54033</v>
      </c>
    </row>
    <row r="63" spans="1:10" ht="30" customHeight="1" x14ac:dyDescent="0.25">
      <c r="A63" s="59"/>
      <c r="B63" s="43" t="s">
        <v>67</v>
      </c>
      <c r="C63" s="46">
        <v>10723</v>
      </c>
      <c r="D63" s="38">
        <f t="shared" si="2"/>
        <v>0</v>
      </c>
      <c r="E63" s="38"/>
      <c r="F63" s="38">
        <v>21659</v>
      </c>
      <c r="G63" s="38"/>
      <c r="H63" s="23">
        <f>'3.pielikums'!B62</f>
        <v>32382</v>
      </c>
    </row>
    <row r="64" spans="1:10" ht="30" customHeight="1" x14ac:dyDescent="0.25">
      <c r="A64" s="59"/>
      <c r="B64" s="43" t="s">
        <v>68</v>
      </c>
      <c r="C64" s="46">
        <v>14062</v>
      </c>
      <c r="D64" s="38">
        <f t="shared" si="2"/>
        <v>0</v>
      </c>
      <c r="E64" s="38"/>
      <c r="F64" s="38">
        <v>17112</v>
      </c>
      <c r="G64" s="38"/>
      <c r="H64" s="23">
        <f>'3.pielikums'!B63</f>
        <v>31174</v>
      </c>
    </row>
    <row r="65" spans="1:8" ht="30" customHeight="1" x14ac:dyDescent="0.25">
      <c r="A65" s="59"/>
      <c r="B65" s="43" t="s">
        <v>69</v>
      </c>
      <c r="C65" s="46"/>
      <c r="D65" s="38">
        <f t="shared" si="2"/>
        <v>0</v>
      </c>
      <c r="E65" s="38"/>
      <c r="F65" s="38">
        <v>42118</v>
      </c>
      <c r="G65" s="38"/>
      <c r="H65" s="23">
        <f>'3.pielikums'!B64</f>
        <v>42118</v>
      </c>
    </row>
    <row r="66" spans="1:8" ht="30" customHeight="1" x14ac:dyDescent="0.25">
      <c r="A66" s="59"/>
      <c r="B66" s="43" t="s">
        <v>210</v>
      </c>
      <c r="C66" s="46">
        <v>3363</v>
      </c>
      <c r="D66" s="38">
        <f t="shared" si="2"/>
        <v>0</v>
      </c>
      <c r="E66" s="38"/>
      <c r="F66" s="38">
        <v>9815</v>
      </c>
      <c r="G66" s="38"/>
      <c r="H66" s="23">
        <f>'3.pielikums'!B65</f>
        <v>13178</v>
      </c>
    </row>
    <row r="67" spans="1:8" ht="30" customHeight="1" x14ac:dyDescent="0.25">
      <c r="A67" s="59"/>
      <c r="B67" s="43" t="s">
        <v>70</v>
      </c>
      <c r="C67" s="46"/>
      <c r="D67" s="38">
        <f t="shared" si="2"/>
        <v>0</v>
      </c>
      <c r="E67" s="38"/>
      <c r="F67" s="38">
        <v>14853</v>
      </c>
      <c r="G67" s="38"/>
      <c r="H67" s="23">
        <f>'3.pielikums'!B66</f>
        <v>14853</v>
      </c>
    </row>
    <row r="68" spans="1:8" ht="30" customHeight="1" x14ac:dyDescent="0.25">
      <c r="A68" s="59"/>
      <c r="B68" s="43" t="s">
        <v>208</v>
      </c>
      <c r="C68" s="46">
        <v>21458</v>
      </c>
      <c r="D68" s="38">
        <f t="shared" si="2"/>
        <v>0</v>
      </c>
      <c r="E68" s="38"/>
      <c r="F68" s="38">
        <v>43712</v>
      </c>
      <c r="G68" s="38"/>
      <c r="H68" s="23">
        <f>'3.pielikums'!B67</f>
        <v>65170</v>
      </c>
    </row>
    <row r="69" spans="1:8" ht="30" customHeight="1" x14ac:dyDescent="0.25">
      <c r="A69" s="59"/>
      <c r="B69" s="43" t="s">
        <v>209</v>
      </c>
      <c r="C69" s="46"/>
      <c r="D69" s="38">
        <f t="shared" si="2"/>
        <v>0</v>
      </c>
      <c r="E69" s="38"/>
      <c r="F69" s="38">
        <v>31380</v>
      </c>
      <c r="G69" s="38"/>
      <c r="H69" s="23">
        <f>'3.pielikums'!B68</f>
        <v>31380</v>
      </c>
    </row>
    <row r="70" spans="1:8" ht="30" customHeight="1" x14ac:dyDescent="0.25">
      <c r="A70" s="59"/>
      <c r="B70" s="43" t="s">
        <v>211</v>
      </c>
      <c r="C70" s="46">
        <v>160973</v>
      </c>
      <c r="D70" s="38">
        <f t="shared" si="2"/>
        <v>0</v>
      </c>
      <c r="E70" s="38"/>
      <c r="F70" s="38">
        <v>63137</v>
      </c>
      <c r="G70" s="38"/>
      <c r="H70" s="23">
        <f>'3.pielikums'!B69</f>
        <v>224110</v>
      </c>
    </row>
    <row r="71" spans="1:8" ht="30" customHeight="1" x14ac:dyDescent="0.25">
      <c r="A71" s="59"/>
      <c r="B71" s="43" t="s">
        <v>213</v>
      </c>
      <c r="C71" s="46">
        <v>13693</v>
      </c>
      <c r="D71" s="38">
        <f t="shared" si="2"/>
        <v>0</v>
      </c>
      <c r="E71" s="38"/>
      <c r="F71" s="38">
        <v>27134</v>
      </c>
      <c r="G71" s="38"/>
      <c r="H71" s="23">
        <f>'3.pielikums'!B70</f>
        <v>40827</v>
      </c>
    </row>
    <row r="72" spans="1:8" ht="30" customHeight="1" x14ac:dyDescent="0.25">
      <c r="A72" s="59"/>
      <c r="B72" s="43" t="s">
        <v>214</v>
      </c>
      <c r="C72" s="46">
        <v>22705</v>
      </c>
      <c r="D72" s="38">
        <f t="shared" si="2"/>
        <v>0</v>
      </c>
      <c r="E72" s="38"/>
      <c r="F72" s="38">
        <v>46312</v>
      </c>
      <c r="G72" s="38"/>
      <c r="H72" s="23">
        <f>'3.pielikums'!B71</f>
        <v>69017</v>
      </c>
    </row>
    <row r="73" spans="1:8" ht="30" customHeight="1" x14ac:dyDescent="0.25">
      <c r="A73" s="59"/>
      <c r="B73" s="43" t="s">
        <v>71</v>
      </c>
      <c r="C73" s="46">
        <v>2834</v>
      </c>
      <c r="D73" s="38">
        <f t="shared" si="2"/>
        <v>0</v>
      </c>
      <c r="E73" s="38"/>
      <c r="F73" s="38">
        <v>35901</v>
      </c>
      <c r="G73" s="38"/>
      <c r="H73" s="23">
        <f>'3.pielikums'!B72</f>
        <v>38735</v>
      </c>
    </row>
    <row r="74" spans="1:8" ht="30" customHeight="1" x14ac:dyDescent="0.25">
      <c r="A74" s="59"/>
      <c r="B74" s="43" t="s">
        <v>72</v>
      </c>
      <c r="C74" s="46">
        <v>8787</v>
      </c>
      <c r="D74" s="38">
        <f t="shared" si="2"/>
        <v>0</v>
      </c>
      <c r="E74" s="38"/>
      <c r="F74" s="38">
        <v>11894</v>
      </c>
      <c r="G74" s="38"/>
      <c r="H74" s="23">
        <f>'3.pielikums'!B73</f>
        <v>20681</v>
      </c>
    </row>
    <row r="75" spans="1:8" ht="30" customHeight="1" x14ac:dyDescent="0.25">
      <c r="A75" s="59"/>
      <c r="B75" s="43" t="s">
        <v>217</v>
      </c>
      <c r="C75" s="46">
        <v>7130</v>
      </c>
      <c r="D75" s="38">
        <f t="shared" si="2"/>
        <v>0</v>
      </c>
      <c r="E75" s="38"/>
      <c r="F75" s="38">
        <v>21413</v>
      </c>
      <c r="G75" s="38"/>
      <c r="H75" s="23">
        <f>'3.pielikums'!B74</f>
        <v>28543</v>
      </c>
    </row>
    <row r="76" spans="1:8" ht="30" customHeight="1" x14ac:dyDescent="0.25">
      <c r="A76" s="59"/>
      <c r="B76" s="43" t="s">
        <v>73</v>
      </c>
      <c r="C76" s="46">
        <v>4412</v>
      </c>
      <c r="D76" s="38">
        <f t="shared" si="2"/>
        <v>0</v>
      </c>
      <c r="E76" s="38"/>
      <c r="F76" s="38">
        <v>21303</v>
      </c>
      <c r="G76" s="38"/>
      <c r="H76" s="23">
        <f>'3.pielikums'!B75</f>
        <v>25715</v>
      </c>
    </row>
    <row r="77" spans="1:8" ht="30" customHeight="1" x14ac:dyDescent="0.25">
      <c r="A77" s="59"/>
      <c r="B77" s="43" t="s">
        <v>215</v>
      </c>
      <c r="C77" s="46">
        <v>484</v>
      </c>
      <c r="D77" s="38">
        <f t="shared" si="2"/>
        <v>0</v>
      </c>
      <c r="E77" s="38"/>
      <c r="F77" s="38">
        <v>8414</v>
      </c>
      <c r="G77" s="38"/>
      <c r="H77" s="23">
        <f>'3.pielikums'!B76</f>
        <v>8898</v>
      </c>
    </row>
    <row r="78" spans="1:8" ht="30" customHeight="1" x14ac:dyDescent="0.25">
      <c r="A78" s="59"/>
      <c r="B78" s="43" t="s">
        <v>216</v>
      </c>
      <c r="C78" s="46">
        <v>12249</v>
      </c>
      <c r="D78" s="38">
        <f t="shared" si="2"/>
        <v>0</v>
      </c>
      <c r="E78" s="38"/>
      <c r="F78" s="38">
        <v>26222</v>
      </c>
      <c r="G78" s="38"/>
      <c r="H78" s="23">
        <f>'3.pielikums'!B77</f>
        <v>38471</v>
      </c>
    </row>
    <row r="79" spans="1:8" ht="30" customHeight="1" x14ac:dyDescent="0.25">
      <c r="A79" s="59"/>
      <c r="B79" s="44" t="s">
        <v>617</v>
      </c>
      <c r="C79" s="46"/>
      <c r="D79" s="38">
        <f>H79-E79-G79-F79-C79</f>
        <v>0</v>
      </c>
      <c r="E79" s="38"/>
      <c r="F79" s="38">
        <v>172339</v>
      </c>
      <c r="G79" s="38"/>
      <c r="H79" s="23">
        <f>'3.pielikums'!B78</f>
        <v>172339</v>
      </c>
    </row>
    <row r="80" spans="1:8" ht="15" customHeight="1" x14ac:dyDescent="0.25">
      <c r="A80" s="59"/>
      <c r="B80" s="44" t="s">
        <v>639</v>
      </c>
      <c r="C80" s="46"/>
      <c r="D80" s="38">
        <f>H80-E80-G80-F80-C80</f>
        <v>33566.608695652161</v>
      </c>
      <c r="E80" s="38"/>
      <c r="F80" s="38"/>
      <c r="G80" s="38">
        <f>257344/1.15</f>
        <v>223777.39130434784</v>
      </c>
      <c r="H80" s="23">
        <f>'3.pielikums'!B308</f>
        <v>257344</v>
      </c>
    </row>
    <row r="81" spans="1:8" ht="15" customHeight="1" x14ac:dyDescent="0.25">
      <c r="A81" s="47"/>
      <c r="B81" s="50" t="s">
        <v>615</v>
      </c>
      <c r="C81" s="46"/>
      <c r="D81" s="38">
        <f>H81-E81-G81-F81-C81</f>
        <v>138837</v>
      </c>
      <c r="E81" s="38"/>
      <c r="F81" s="38"/>
      <c r="G81" s="38"/>
      <c r="H81" s="23">
        <f>'3.pielikums'!B307</f>
        <v>138837</v>
      </c>
    </row>
    <row r="82" spans="1:8" ht="15" customHeight="1" x14ac:dyDescent="0.25">
      <c r="A82" s="59"/>
      <c r="B82" s="19" t="s">
        <v>130</v>
      </c>
      <c r="C82" s="46"/>
      <c r="D82" s="38">
        <f t="shared" si="2"/>
        <v>16110</v>
      </c>
      <c r="E82" s="38">
        <f>250+5500</f>
        <v>5750</v>
      </c>
      <c r="F82" s="38"/>
      <c r="G82" s="38"/>
      <c r="H82" s="23">
        <f>'3.pielikums'!B80</f>
        <v>21860</v>
      </c>
    </row>
    <row r="83" spans="1:8" ht="30" customHeight="1" x14ac:dyDescent="0.25">
      <c r="A83" s="47"/>
      <c r="B83" s="41" t="s">
        <v>58</v>
      </c>
      <c r="C83" s="46"/>
      <c r="D83" s="38">
        <f t="shared" si="2"/>
        <v>3244</v>
      </c>
      <c r="E83" s="38"/>
      <c r="F83" s="38"/>
      <c r="G83" s="38"/>
      <c r="H83" s="23">
        <f>'3.pielikums'!B54</f>
        <v>3244</v>
      </c>
    </row>
    <row r="84" spans="1:8" ht="15" customHeight="1" x14ac:dyDescent="0.25">
      <c r="A84" s="47"/>
      <c r="B84" s="41" t="s">
        <v>18</v>
      </c>
      <c r="C84" s="46"/>
      <c r="D84" s="38">
        <f t="shared" ref="D84:D112" si="5">H84-E84-G84-F84-C84</f>
        <v>96522</v>
      </c>
      <c r="E84" s="38"/>
      <c r="F84" s="38"/>
      <c r="G84" s="38"/>
      <c r="H84" s="23">
        <f>'3.pielikums'!B53</f>
        <v>96522</v>
      </c>
    </row>
    <row r="85" spans="1:8" ht="15" customHeight="1" x14ac:dyDescent="0.25">
      <c r="A85" s="47"/>
      <c r="B85" s="41" t="s">
        <v>273</v>
      </c>
      <c r="C85" s="46"/>
      <c r="D85" s="38">
        <f t="shared" si="5"/>
        <v>50000</v>
      </c>
      <c r="E85" s="38"/>
      <c r="F85" s="38"/>
      <c r="G85" s="38"/>
      <c r="H85" s="23">
        <f>'3.pielikums'!B56</f>
        <v>50000</v>
      </c>
    </row>
    <row r="86" spans="1:8" ht="30" customHeight="1" x14ac:dyDescent="0.25">
      <c r="A86" s="47"/>
      <c r="B86" s="19" t="s">
        <v>582</v>
      </c>
      <c r="C86" s="46"/>
      <c r="D86" s="38">
        <f t="shared" si="5"/>
        <v>20812</v>
      </c>
      <c r="E86" s="38"/>
      <c r="F86" s="38"/>
      <c r="G86" s="38"/>
      <c r="H86" s="23">
        <f>'3.pielikums'!B305</f>
        <v>20812</v>
      </c>
    </row>
    <row r="87" spans="1:8" ht="30" customHeight="1" x14ac:dyDescent="0.25">
      <c r="A87" s="47"/>
      <c r="B87" s="41" t="s">
        <v>165</v>
      </c>
      <c r="C87" s="46"/>
      <c r="D87" s="38">
        <f t="shared" si="5"/>
        <v>63254</v>
      </c>
      <c r="E87" s="38"/>
      <c r="F87" s="38"/>
      <c r="G87" s="38">
        <v>541243</v>
      </c>
      <c r="H87" s="23">
        <f>'3.pielikums'!B310</f>
        <v>604497</v>
      </c>
    </row>
    <row r="88" spans="1:8" ht="30" customHeight="1" x14ac:dyDescent="0.25">
      <c r="A88" s="47"/>
      <c r="B88" s="41" t="s">
        <v>80</v>
      </c>
      <c r="C88" s="46">
        <v>3057</v>
      </c>
      <c r="D88" s="38">
        <f t="shared" si="5"/>
        <v>0</v>
      </c>
      <c r="E88" s="38"/>
      <c r="F88" s="38"/>
      <c r="G88" s="38"/>
      <c r="H88" s="23">
        <f>'3.pielikums'!B81</f>
        <v>3057</v>
      </c>
    </row>
    <row r="89" spans="1:8" ht="30" customHeight="1" x14ac:dyDescent="0.25">
      <c r="A89" s="47"/>
      <c r="B89" s="41" t="s">
        <v>619</v>
      </c>
      <c r="C89" s="46">
        <v>8500</v>
      </c>
      <c r="D89" s="38">
        <f t="shared" si="5"/>
        <v>11910</v>
      </c>
      <c r="E89" s="38">
        <f>1500</f>
        <v>1500</v>
      </c>
      <c r="F89" s="38"/>
      <c r="G89" s="38"/>
      <c r="H89" s="23">
        <f>'3.pielikums'!B82</f>
        <v>21910</v>
      </c>
    </row>
    <row r="90" spans="1:8" ht="32.1" customHeight="1" x14ac:dyDescent="0.25">
      <c r="A90" s="61"/>
      <c r="B90" s="45" t="s">
        <v>243</v>
      </c>
      <c r="C90" s="46"/>
      <c r="D90" s="38">
        <f t="shared" si="5"/>
        <v>23310</v>
      </c>
      <c r="E90" s="38"/>
      <c r="F90" s="38">
        <v>111000</v>
      </c>
      <c r="G90" s="38"/>
      <c r="H90" s="23">
        <f>'3.pielikums'!B83</f>
        <v>134310</v>
      </c>
    </row>
    <row r="91" spans="1:8" ht="15" customHeight="1" x14ac:dyDescent="0.25">
      <c r="A91" s="61"/>
      <c r="B91" s="41" t="s">
        <v>585</v>
      </c>
      <c r="C91" s="46"/>
      <c r="D91" s="38">
        <f>H91-E91-G91-F91-C91</f>
        <v>0</v>
      </c>
      <c r="E91" s="38"/>
      <c r="F91" s="38">
        <v>5000</v>
      </c>
      <c r="G91" s="38"/>
      <c r="H91" s="23">
        <f>'3.pielikums'!B317</f>
        <v>5000</v>
      </c>
    </row>
    <row r="92" spans="1:8" ht="15" customHeight="1" x14ac:dyDescent="0.25">
      <c r="A92" s="1" t="s">
        <v>274</v>
      </c>
      <c r="B92" s="25" t="s">
        <v>275</v>
      </c>
      <c r="C92" s="37">
        <f t="shared" ref="C92:H92" si="6">SUM(C93:C112)</f>
        <v>0</v>
      </c>
      <c r="D92" s="37">
        <f t="shared" si="6"/>
        <v>83005</v>
      </c>
      <c r="E92" s="37">
        <f t="shared" si="6"/>
        <v>128303</v>
      </c>
      <c r="F92" s="37">
        <f t="shared" si="6"/>
        <v>0</v>
      </c>
      <c r="G92" s="37">
        <f t="shared" si="6"/>
        <v>0</v>
      </c>
      <c r="H92" s="23">
        <f t="shared" si="6"/>
        <v>211308</v>
      </c>
    </row>
    <row r="93" spans="1:8" ht="30" customHeight="1" x14ac:dyDescent="0.25">
      <c r="A93" s="47"/>
      <c r="B93" s="41" t="s">
        <v>74</v>
      </c>
      <c r="C93" s="46"/>
      <c r="D93" s="38">
        <f t="shared" si="5"/>
        <v>48012</v>
      </c>
      <c r="E93" s="38">
        <v>37000</v>
      </c>
      <c r="F93" s="38"/>
      <c r="G93" s="38"/>
      <c r="H93" s="23">
        <f>'3.pielikums'!B84</f>
        <v>85012</v>
      </c>
    </row>
    <row r="94" spans="1:8" ht="30" customHeight="1" x14ac:dyDescent="0.25">
      <c r="A94" s="47"/>
      <c r="B94" s="48" t="s">
        <v>325</v>
      </c>
      <c r="C94" s="46"/>
      <c r="D94" s="38">
        <f t="shared" si="5"/>
        <v>7740</v>
      </c>
      <c r="E94" s="38">
        <v>2860</v>
      </c>
      <c r="F94" s="38"/>
      <c r="G94" s="38"/>
      <c r="H94" s="23">
        <f>'3.pielikums'!B85</f>
        <v>10600</v>
      </c>
    </row>
    <row r="95" spans="1:8" ht="30" customHeight="1" x14ac:dyDescent="0.25">
      <c r="A95" s="47"/>
      <c r="B95" s="48" t="s">
        <v>609</v>
      </c>
      <c r="C95" s="46"/>
      <c r="D95" s="38">
        <f t="shared" si="5"/>
        <v>625</v>
      </c>
      <c r="E95" s="38">
        <v>6000</v>
      </c>
      <c r="F95" s="38"/>
      <c r="G95" s="38"/>
      <c r="H95" s="23">
        <f>'3.pielikums'!B86</f>
        <v>6625</v>
      </c>
    </row>
    <row r="96" spans="1:8" ht="30" customHeight="1" x14ac:dyDescent="0.25">
      <c r="A96" s="47"/>
      <c r="B96" s="19" t="s">
        <v>246</v>
      </c>
      <c r="C96" s="46"/>
      <c r="D96" s="38">
        <f t="shared" si="5"/>
        <v>159</v>
      </c>
      <c r="E96" s="38">
        <f>5200</f>
        <v>5200</v>
      </c>
      <c r="F96" s="38"/>
      <c r="G96" s="38"/>
      <c r="H96" s="23">
        <f>'3.pielikums'!B87</f>
        <v>5359</v>
      </c>
    </row>
    <row r="97" spans="1:8" ht="30" customHeight="1" x14ac:dyDescent="0.25">
      <c r="A97" s="47"/>
      <c r="B97" s="48" t="s">
        <v>610</v>
      </c>
      <c r="C97" s="46"/>
      <c r="D97" s="38">
        <f t="shared" si="5"/>
        <v>3239</v>
      </c>
      <c r="E97" s="38">
        <v>2300</v>
      </c>
      <c r="F97" s="38"/>
      <c r="G97" s="38"/>
      <c r="H97" s="23">
        <f>'3.pielikums'!B88</f>
        <v>5539</v>
      </c>
    </row>
    <row r="98" spans="1:8" ht="30" customHeight="1" x14ac:dyDescent="0.25">
      <c r="A98" s="47"/>
      <c r="B98" s="19" t="s">
        <v>232</v>
      </c>
      <c r="C98" s="46"/>
      <c r="D98" s="38">
        <f t="shared" si="5"/>
        <v>1997</v>
      </c>
      <c r="E98" s="38">
        <f>2045</f>
        <v>2045</v>
      </c>
      <c r="F98" s="38"/>
      <c r="G98" s="38"/>
      <c r="H98" s="23">
        <f>'3.pielikums'!B89</f>
        <v>4042</v>
      </c>
    </row>
    <row r="99" spans="1:8" ht="30" customHeight="1" x14ac:dyDescent="0.25">
      <c r="A99" s="47"/>
      <c r="B99" s="19" t="s">
        <v>235</v>
      </c>
      <c r="C99" s="46"/>
      <c r="D99" s="38">
        <f t="shared" si="5"/>
        <v>0</v>
      </c>
      <c r="E99" s="38">
        <v>6752</v>
      </c>
      <c r="F99" s="38"/>
      <c r="G99" s="38"/>
      <c r="H99" s="23">
        <f>'3.pielikums'!B90</f>
        <v>6752</v>
      </c>
    </row>
    <row r="100" spans="1:8" ht="30" customHeight="1" x14ac:dyDescent="0.25">
      <c r="A100" s="47"/>
      <c r="B100" s="19" t="s">
        <v>135</v>
      </c>
      <c r="C100" s="46"/>
      <c r="D100" s="38">
        <f t="shared" si="5"/>
        <v>0</v>
      </c>
      <c r="E100" s="38">
        <v>4700</v>
      </c>
      <c r="F100" s="38"/>
      <c r="G100" s="38"/>
      <c r="H100" s="23">
        <f>'3.pielikums'!B91</f>
        <v>4700</v>
      </c>
    </row>
    <row r="101" spans="1:8" ht="30" customHeight="1" x14ac:dyDescent="0.25">
      <c r="A101" s="47"/>
      <c r="B101" s="43" t="s">
        <v>326</v>
      </c>
      <c r="C101" s="46"/>
      <c r="D101" s="38">
        <f t="shared" si="5"/>
        <v>3179</v>
      </c>
      <c r="E101" s="38">
        <f>6765</f>
        <v>6765</v>
      </c>
      <c r="F101" s="38"/>
      <c r="G101" s="38"/>
      <c r="H101" s="23">
        <f>'3.pielikums'!B92</f>
        <v>9944</v>
      </c>
    </row>
    <row r="102" spans="1:8" ht="30" customHeight="1" x14ac:dyDescent="0.25">
      <c r="A102" s="47"/>
      <c r="B102" s="43" t="s">
        <v>611</v>
      </c>
      <c r="C102" s="46"/>
      <c r="D102" s="38">
        <f t="shared" si="5"/>
        <v>50</v>
      </c>
      <c r="E102" s="38">
        <v>500</v>
      </c>
      <c r="F102" s="38"/>
      <c r="G102" s="38"/>
      <c r="H102" s="23">
        <f>'3.pielikums'!B93</f>
        <v>550</v>
      </c>
    </row>
    <row r="103" spans="1:8" ht="30" customHeight="1" x14ac:dyDescent="0.25">
      <c r="A103" s="47"/>
      <c r="B103" s="19" t="s">
        <v>132</v>
      </c>
      <c r="C103" s="46"/>
      <c r="D103" s="38">
        <f t="shared" si="5"/>
        <v>5113</v>
      </c>
      <c r="E103" s="38">
        <f>4993</f>
        <v>4993</v>
      </c>
      <c r="F103" s="38"/>
      <c r="G103" s="38"/>
      <c r="H103" s="23">
        <f>'3.pielikums'!B94</f>
        <v>10106</v>
      </c>
    </row>
    <row r="104" spans="1:8" ht="30" customHeight="1" x14ac:dyDescent="0.25">
      <c r="A104" s="47"/>
      <c r="B104" s="19" t="s">
        <v>134</v>
      </c>
      <c r="C104" s="46"/>
      <c r="D104" s="38">
        <f t="shared" si="5"/>
        <v>763</v>
      </c>
      <c r="E104" s="38">
        <f>350+400</f>
        <v>750</v>
      </c>
      <c r="F104" s="38"/>
      <c r="G104" s="38"/>
      <c r="H104" s="23">
        <f>'3.pielikums'!B95</f>
        <v>1513</v>
      </c>
    </row>
    <row r="105" spans="1:8" ht="30" customHeight="1" x14ac:dyDescent="0.25">
      <c r="A105" s="47"/>
      <c r="B105" s="43" t="s">
        <v>324</v>
      </c>
      <c r="C105" s="46"/>
      <c r="D105" s="38">
        <f t="shared" si="5"/>
        <v>1580</v>
      </c>
      <c r="E105" s="38">
        <f>7884</f>
        <v>7884</v>
      </c>
      <c r="F105" s="38"/>
      <c r="G105" s="38"/>
      <c r="H105" s="23">
        <f>'3.pielikums'!B96</f>
        <v>9464</v>
      </c>
    </row>
    <row r="106" spans="1:8" ht="30" customHeight="1" x14ac:dyDescent="0.25">
      <c r="A106" s="47"/>
      <c r="B106" s="19" t="s">
        <v>248</v>
      </c>
      <c r="C106" s="46"/>
      <c r="D106" s="38">
        <f t="shared" si="5"/>
        <v>7230</v>
      </c>
      <c r="E106" s="38">
        <f>3000</f>
        <v>3000</v>
      </c>
      <c r="F106" s="38"/>
      <c r="G106" s="38"/>
      <c r="H106" s="23">
        <f>'3.pielikums'!B97</f>
        <v>10230</v>
      </c>
    </row>
    <row r="107" spans="1:8" ht="30" customHeight="1" x14ac:dyDescent="0.25">
      <c r="A107" s="47"/>
      <c r="B107" s="19" t="s">
        <v>133</v>
      </c>
      <c r="C107" s="46"/>
      <c r="D107" s="38">
        <f t="shared" si="5"/>
        <v>421</v>
      </c>
      <c r="E107" s="38">
        <f>309</f>
        <v>309</v>
      </c>
      <c r="F107" s="38"/>
      <c r="G107" s="38"/>
      <c r="H107" s="23">
        <f>'3.pielikums'!B98</f>
        <v>730</v>
      </c>
    </row>
    <row r="108" spans="1:8" ht="30" customHeight="1" x14ac:dyDescent="0.25">
      <c r="A108" s="47"/>
      <c r="B108" s="19" t="s">
        <v>136</v>
      </c>
      <c r="C108" s="46"/>
      <c r="D108" s="38">
        <f t="shared" si="5"/>
        <v>1708</v>
      </c>
      <c r="E108" s="38">
        <f>1800</f>
        <v>1800</v>
      </c>
      <c r="F108" s="38"/>
      <c r="G108" s="38"/>
      <c r="H108" s="23">
        <f>'3.pielikums'!B99</f>
        <v>3508</v>
      </c>
    </row>
    <row r="109" spans="1:8" ht="30" customHeight="1" x14ac:dyDescent="0.25">
      <c r="A109" s="47"/>
      <c r="B109" s="19" t="s">
        <v>652</v>
      </c>
      <c r="C109" s="46"/>
      <c r="D109" s="38">
        <f t="shared" si="5"/>
        <v>719</v>
      </c>
      <c r="E109" s="38">
        <f>17550</f>
        <v>17550</v>
      </c>
      <c r="F109" s="38"/>
      <c r="G109" s="38"/>
      <c r="H109" s="23">
        <f>'3.pielikums'!B100</f>
        <v>18269</v>
      </c>
    </row>
    <row r="110" spans="1:8" ht="30" customHeight="1" x14ac:dyDescent="0.25">
      <c r="A110" s="47"/>
      <c r="B110" s="19" t="s">
        <v>653</v>
      </c>
      <c r="C110" s="46"/>
      <c r="D110" s="38">
        <f t="shared" si="5"/>
        <v>470</v>
      </c>
      <c r="E110" s="38">
        <v>6400</v>
      </c>
      <c r="F110" s="38"/>
      <c r="G110" s="38"/>
      <c r="H110" s="23">
        <f>'3.pielikums'!B101</f>
        <v>6870</v>
      </c>
    </row>
    <row r="111" spans="1:8" ht="30" customHeight="1" x14ac:dyDescent="0.25">
      <c r="A111" s="47"/>
      <c r="B111" s="19" t="s">
        <v>137</v>
      </c>
      <c r="C111" s="46"/>
      <c r="D111" s="38">
        <f t="shared" si="5"/>
        <v>0</v>
      </c>
      <c r="E111" s="38">
        <v>7985</v>
      </c>
      <c r="F111" s="38"/>
      <c r="G111" s="38"/>
      <c r="H111" s="23">
        <f>'3.pielikums'!B102</f>
        <v>7985</v>
      </c>
    </row>
    <row r="112" spans="1:8" ht="30" customHeight="1" x14ac:dyDescent="0.25">
      <c r="A112" s="47"/>
      <c r="B112" s="19" t="s">
        <v>131</v>
      </c>
      <c r="C112" s="46"/>
      <c r="D112" s="38">
        <f t="shared" si="5"/>
        <v>0</v>
      </c>
      <c r="E112" s="38">
        <f>3510</f>
        <v>3510</v>
      </c>
      <c r="F112" s="38"/>
      <c r="G112" s="38"/>
      <c r="H112" s="23">
        <f>'3.pielikums'!B103</f>
        <v>3510</v>
      </c>
    </row>
    <row r="113" spans="1:8" ht="30" customHeight="1" x14ac:dyDescent="0.25">
      <c r="A113" s="49" t="s">
        <v>276</v>
      </c>
      <c r="B113" s="25" t="s">
        <v>277</v>
      </c>
      <c r="C113" s="37">
        <f t="shared" ref="C113:H113" si="7">C114+C118</f>
        <v>0</v>
      </c>
      <c r="D113" s="37">
        <f t="shared" si="7"/>
        <v>2190516</v>
      </c>
      <c r="E113" s="37">
        <f t="shared" si="7"/>
        <v>1934332</v>
      </c>
      <c r="F113" s="37">
        <f t="shared" si="7"/>
        <v>87623</v>
      </c>
      <c r="G113" s="37">
        <f t="shared" si="7"/>
        <v>0</v>
      </c>
      <c r="H113" s="23">
        <f t="shared" si="7"/>
        <v>4212471</v>
      </c>
    </row>
    <row r="114" spans="1:8" ht="15" customHeight="1" x14ac:dyDescent="0.25">
      <c r="A114" s="57"/>
      <c r="B114" s="36" t="s">
        <v>278</v>
      </c>
      <c r="C114" s="37">
        <f>SUM(C115:C117)</f>
        <v>0</v>
      </c>
      <c r="D114" s="37">
        <f>SUM(D115:D117)</f>
        <v>146731</v>
      </c>
      <c r="E114" s="37">
        <f t="shared" ref="E114:G114" si="8">SUM(E115:E117)</f>
        <v>0</v>
      </c>
      <c r="F114" s="37">
        <f t="shared" si="8"/>
        <v>0</v>
      </c>
      <c r="G114" s="37">
        <f t="shared" si="8"/>
        <v>0</v>
      </c>
      <c r="H114" s="23">
        <f>SUM(H115:H117)</f>
        <v>146731</v>
      </c>
    </row>
    <row r="115" spans="1:8" ht="15" customHeight="1" x14ac:dyDescent="0.25">
      <c r="A115" s="1"/>
      <c r="B115" s="26" t="s">
        <v>19</v>
      </c>
      <c r="C115" s="56"/>
      <c r="D115" s="38">
        <f t="shared" ref="D115:D183" si="9">H115-E115-G115-F115-C115</f>
        <v>138101</v>
      </c>
      <c r="E115" s="38"/>
      <c r="F115" s="38"/>
      <c r="G115" s="38"/>
      <c r="H115" s="23">
        <f>'3.pielikums'!B104</f>
        <v>138101</v>
      </c>
    </row>
    <row r="116" spans="1:8" ht="30" customHeight="1" x14ac:dyDescent="0.25">
      <c r="A116" s="47"/>
      <c r="B116" s="50" t="s">
        <v>175</v>
      </c>
      <c r="C116" s="46"/>
      <c r="D116" s="38">
        <f t="shared" si="9"/>
        <v>5541</v>
      </c>
      <c r="E116" s="38"/>
      <c r="F116" s="38"/>
      <c r="G116" s="38"/>
      <c r="H116" s="23">
        <f>'3.pielikums'!B105</f>
        <v>5541</v>
      </c>
    </row>
    <row r="117" spans="1:8" ht="30" customHeight="1" x14ac:dyDescent="0.25">
      <c r="A117" s="47"/>
      <c r="B117" s="50" t="s">
        <v>174</v>
      </c>
      <c r="C117" s="46"/>
      <c r="D117" s="38">
        <f t="shared" si="9"/>
        <v>3089</v>
      </c>
      <c r="E117" s="38"/>
      <c r="F117" s="38"/>
      <c r="G117" s="38"/>
      <c r="H117" s="23">
        <f>'3.pielikums'!B106</f>
        <v>3089</v>
      </c>
    </row>
    <row r="118" spans="1:8" ht="47.25" x14ac:dyDescent="0.25">
      <c r="A118" s="47"/>
      <c r="B118" s="25" t="s">
        <v>279</v>
      </c>
      <c r="C118" s="37">
        <f t="shared" ref="C118:H118" si="10">SUM(C119:C180)</f>
        <v>0</v>
      </c>
      <c r="D118" s="37">
        <f t="shared" si="10"/>
        <v>2043785</v>
      </c>
      <c r="E118" s="37">
        <f t="shared" si="10"/>
        <v>1934332</v>
      </c>
      <c r="F118" s="37">
        <f t="shared" si="10"/>
        <v>87623</v>
      </c>
      <c r="G118" s="37">
        <f t="shared" si="10"/>
        <v>0</v>
      </c>
      <c r="H118" s="23">
        <f t="shared" si="10"/>
        <v>4065740</v>
      </c>
    </row>
    <row r="119" spans="1:8" ht="15" customHeight="1" x14ac:dyDescent="0.25">
      <c r="A119" s="49"/>
      <c r="B119" s="41" t="s">
        <v>181</v>
      </c>
      <c r="C119" s="46"/>
      <c r="D119" s="38">
        <f t="shared" si="9"/>
        <v>87126</v>
      </c>
      <c r="E119" s="38">
        <v>8300</v>
      </c>
      <c r="F119" s="38"/>
      <c r="G119" s="38"/>
      <c r="H119" s="23">
        <f>'3.pielikums'!B107</f>
        <v>95426</v>
      </c>
    </row>
    <row r="120" spans="1:8" ht="15" customHeight="1" x14ac:dyDescent="0.25">
      <c r="A120" s="49"/>
      <c r="B120" s="41" t="s">
        <v>184</v>
      </c>
      <c r="C120" s="46"/>
      <c r="D120" s="38">
        <f t="shared" si="9"/>
        <v>146887</v>
      </c>
      <c r="E120" s="38">
        <v>2000</v>
      </c>
      <c r="F120" s="38"/>
      <c r="G120" s="38"/>
      <c r="H120" s="23">
        <f>'3.pielikums'!B108</f>
        <v>148887</v>
      </c>
    </row>
    <row r="121" spans="1:8" ht="15" customHeight="1" x14ac:dyDescent="0.25">
      <c r="A121" s="47"/>
      <c r="B121" s="26" t="s">
        <v>281</v>
      </c>
      <c r="C121" s="56"/>
      <c r="D121" s="38">
        <f t="shared" si="9"/>
        <v>132493</v>
      </c>
      <c r="E121" s="38">
        <f>20000+712078+604281+118585</f>
        <v>1454944</v>
      </c>
      <c r="F121" s="38"/>
      <c r="G121" s="38"/>
      <c r="H121" s="23">
        <f>'3.pielikums'!B125</f>
        <v>1587437</v>
      </c>
    </row>
    <row r="122" spans="1:8" ht="15" customHeight="1" x14ac:dyDescent="0.25">
      <c r="A122" s="61"/>
      <c r="B122" s="41" t="s">
        <v>20</v>
      </c>
      <c r="C122" s="46"/>
      <c r="D122" s="38">
        <f t="shared" si="9"/>
        <v>30049</v>
      </c>
      <c r="E122" s="38"/>
      <c r="F122" s="38"/>
      <c r="G122" s="38"/>
      <c r="H122" s="23">
        <f>'3.pielikums'!B109</f>
        <v>30049</v>
      </c>
    </row>
    <row r="123" spans="1:8" ht="30" customHeight="1" x14ac:dyDescent="0.25">
      <c r="A123" s="47"/>
      <c r="B123" s="41" t="s">
        <v>280</v>
      </c>
      <c r="C123" s="46"/>
      <c r="D123" s="38">
        <f t="shared" si="9"/>
        <v>62144</v>
      </c>
      <c r="E123" s="38">
        <f>2280</f>
        <v>2280</v>
      </c>
      <c r="F123" s="38"/>
      <c r="G123" s="38"/>
      <c r="H123" s="23">
        <f>'3.pielikums'!B110</f>
        <v>64424</v>
      </c>
    </row>
    <row r="124" spans="1:8" ht="15" customHeight="1" x14ac:dyDescent="0.25">
      <c r="A124" s="47"/>
      <c r="B124" s="41" t="s">
        <v>21</v>
      </c>
      <c r="C124" s="46"/>
      <c r="D124" s="38">
        <f t="shared" si="9"/>
        <v>34035</v>
      </c>
      <c r="E124" s="38">
        <f>170</f>
        <v>170</v>
      </c>
      <c r="F124" s="38"/>
      <c r="G124" s="38"/>
      <c r="H124" s="23">
        <f>'3.pielikums'!B111</f>
        <v>34205</v>
      </c>
    </row>
    <row r="125" spans="1:8" ht="30" customHeight="1" x14ac:dyDescent="0.25">
      <c r="A125" s="47"/>
      <c r="B125" s="41" t="s">
        <v>22</v>
      </c>
      <c r="C125" s="46"/>
      <c r="D125" s="38">
        <f t="shared" si="9"/>
        <v>39664</v>
      </c>
      <c r="E125" s="38">
        <f>2100</f>
        <v>2100</v>
      </c>
      <c r="F125" s="38"/>
      <c r="G125" s="38"/>
      <c r="H125" s="23">
        <f>'3.pielikums'!B112</f>
        <v>41764</v>
      </c>
    </row>
    <row r="126" spans="1:8" ht="15" customHeight="1" x14ac:dyDescent="0.25">
      <c r="A126" s="47"/>
      <c r="B126" s="41" t="s">
        <v>23</v>
      </c>
      <c r="C126" s="46"/>
      <c r="D126" s="38">
        <f t="shared" si="9"/>
        <v>17520</v>
      </c>
      <c r="E126" s="38">
        <f>300+1200+2100</f>
        <v>3600</v>
      </c>
      <c r="F126" s="38"/>
      <c r="G126" s="38"/>
      <c r="H126" s="23">
        <f>'3.pielikums'!B113</f>
        <v>21120</v>
      </c>
    </row>
    <row r="127" spans="1:8" ht="15" customHeight="1" x14ac:dyDescent="0.25">
      <c r="A127" s="47"/>
      <c r="B127" s="41" t="s">
        <v>24</v>
      </c>
      <c r="C127" s="46"/>
      <c r="D127" s="38">
        <f t="shared" si="9"/>
        <v>65163</v>
      </c>
      <c r="E127" s="38">
        <f>400</f>
        <v>400</v>
      </c>
      <c r="F127" s="38"/>
      <c r="G127" s="38"/>
      <c r="H127" s="23">
        <f>'3.pielikums'!B114</f>
        <v>65563</v>
      </c>
    </row>
    <row r="128" spans="1:8" ht="30" customHeight="1" x14ac:dyDescent="0.25">
      <c r="A128" s="47"/>
      <c r="B128" s="19" t="s">
        <v>327</v>
      </c>
      <c r="C128" s="46"/>
      <c r="D128" s="38">
        <f t="shared" si="9"/>
        <v>18629</v>
      </c>
      <c r="E128" s="38">
        <f>2000+850+56675</f>
        <v>59525</v>
      </c>
      <c r="F128" s="38"/>
      <c r="G128" s="38"/>
      <c r="H128" s="23">
        <f>'3.pielikums'!B115</f>
        <v>78154</v>
      </c>
    </row>
    <row r="129" spans="1:8" ht="30" customHeight="1" x14ac:dyDescent="0.25">
      <c r="A129" s="47"/>
      <c r="B129" s="50" t="s">
        <v>139</v>
      </c>
      <c r="C129" s="46"/>
      <c r="D129" s="38">
        <f t="shared" si="9"/>
        <v>88380</v>
      </c>
      <c r="E129" s="38"/>
      <c r="F129" s="38"/>
      <c r="G129" s="38"/>
      <c r="H129" s="23">
        <f>'3.pielikums'!B116</f>
        <v>88380</v>
      </c>
    </row>
    <row r="130" spans="1:8" ht="30" customHeight="1" x14ac:dyDescent="0.25">
      <c r="A130" s="47"/>
      <c r="B130" s="41" t="s">
        <v>25</v>
      </c>
      <c r="C130" s="46"/>
      <c r="D130" s="38">
        <f t="shared" si="9"/>
        <v>51924</v>
      </c>
      <c r="E130" s="38">
        <f>220</f>
        <v>220</v>
      </c>
      <c r="F130" s="38"/>
      <c r="G130" s="38"/>
      <c r="H130" s="23">
        <f>'3.pielikums'!B117</f>
        <v>52144</v>
      </c>
    </row>
    <row r="131" spans="1:8" ht="30" customHeight="1" x14ac:dyDescent="0.25">
      <c r="A131" s="47"/>
      <c r="B131" s="19" t="s">
        <v>328</v>
      </c>
      <c r="C131" s="46"/>
      <c r="D131" s="38">
        <f t="shared" si="9"/>
        <v>8857</v>
      </c>
      <c r="E131" s="38"/>
      <c r="F131" s="38"/>
      <c r="G131" s="38"/>
      <c r="H131" s="23">
        <f>'3.pielikums'!B118</f>
        <v>8857</v>
      </c>
    </row>
    <row r="132" spans="1:8" ht="15" customHeight="1" x14ac:dyDescent="0.25">
      <c r="A132" s="47"/>
      <c r="B132" s="50" t="s">
        <v>140</v>
      </c>
      <c r="C132" s="46"/>
      <c r="D132" s="38">
        <f t="shared" si="9"/>
        <v>199351</v>
      </c>
      <c r="E132" s="38">
        <f>200+1000</f>
        <v>1200</v>
      </c>
      <c r="F132" s="38"/>
      <c r="G132" s="38"/>
      <c r="H132" s="23">
        <f>'3.pielikums'!B119</f>
        <v>200551</v>
      </c>
    </row>
    <row r="133" spans="1:8" ht="15" customHeight="1" x14ac:dyDescent="0.25">
      <c r="A133" s="47"/>
      <c r="B133" s="19" t="s">
        <v>329</v>
      </c>
      <c r="C133" s="46"/>
      <c r="D133" s="38">
        <f t="shared" si="9"/>
        <v>3807</v>
      </c>
      <c r="E133" s="38">
        <f>350+270+2590</f>
        <v>3210</v>
      </c>
      <c r="F133" s="38"/>
      <c r="G133" s="38"/>
      <c r="H133" s="23">
        <f>'3.pielikums'!B120</f>
        <v>7017</v>
      </c>
    </row>
    <row r="134" spans="1:8" ht="15" customHeight="1" x14ac:dyDescent="0.25">
      <c r="A134" s="47"/>
      <c r="B134" s="41" t="s">
        <v>26</v>
      </c>
      <c r="C134" s="46"/>
      <c r="D134" s="38">
        <f t="shared" si="9"/>
        <v>76830</v>
      </c>
      <c r="E134" s="38">
        <f>2986+10347+650</f>
        <v>13983</v>
      </c>
      <c r="F134" s="38"/>
      <c r="G134" s="38"/>
      <c r="H134" s="23">
        <f>'3.pielikums'!B121</f>
        <v>90813</v>
      </c>
    </row>
    <row r="135" spans="1:8" ht="30" customHeight="1" x14ac:dyDescent="0.25">
      <c r="A135" s="47"/>
      <c r="B135" s="41" t="s">
        <v>27</v>
      </c>
      <c r="C135" s="46"/>
      <c r="D135" s="38">
        <f t="shared" si="9"/>
        <v>45796</v>
      </c>
      <c r="E135" s="38"/>
      <c r="F135" s="38"/>
      <c r="G135" s="38"/>
      <c r="H135" s="23">
        <f>'3.pielikums'!B122</f>
        <v>45796</v>
      </c>
    </row>
    <row r="136" spans="1:8" ht="15" customHeight="1" x14ac:dyDescent="0.25">
      <c r="A136" s="47"/>
      <c r="B136" s="19" t="s">
        <v>189</v>
      </c>
      <c r="C136" s="46"/>
      <c r="D136" s="38">
        <f t="shared" si="9"/>
        <v>698</v>
      </c>
      <c r="E136" s="38">
        <f>280+3500</f>
        <v>3780</v>
      </c>
      <c r="F136" s="38"/>
      <c r="G136" s="38"/>
      <c r="H136" s="23">
        <f>'3.pielikums'!B123</f>
        <v>4478</v>
      </c>
    </row>
    <row r="137" spans="1:8" ht="15" customHeight="1" x14ac:dyDescent="0.25">
      <c r="A137" s="47"/>
      <c r="B137" s="41" t="s">
        <v>28</v>
      </c>
      <c r="C137" s="46"/>
      <c r="D137" s="38">
        <f t="shared" si="9"/>
        <v>90752</v>
      </c>
      <c r="E137" s="38">
        <f>120+66+550</f>
        <v>736</v>
      </c>
      <c r="F137" s="38"/>
      <c r="G137" s="38"/>
      <c r="H137" s="23">
        <f>'3.pielikums'!B124</f>
        <v>91488</v>
      </c>
    </row>
    <row r="138" spans="1:8" ht="30" customHeight="1" x14ac:dyDescent="0.25">
      <c r="A138" s="47"/>
      <c r="B138" s="19" t="s">
        <v>172</v>
      </c>
      <c r="C138" s="46"/>
      <c r="D138" s="38">
        <f t="shared" si="9"/>
        <v>16391</v>
      </c>
      <c r="E138" s="38">
        <v>17000</v>
      </c>
      <c r="F138" s="38"/>
      <c r="G138" s="38"/>
      <c r="H138" s="23">
        <f>'3.pielikums'!B128</f>
        <v>33391</v>
      </c>
    </row>
    <row r="139" spans="1:8" ht="30" customHeight="1" x14ac:dyDescent="0.25">
      <c r="A139" s="47"/>
      <c r="B139" s="19" t="s">
        <v>116</v>
      </c>
      <c r="C139" s="46"/>
      <c r="D139" s="38">
        <f t="shared" si="9"/>
        <v>0</v>
      </c>
      <c r="E139" s="38">
        <v>7500</v>
      </c>
      <c r="F139" s="38"/>
      <c r="G139" s="38"/>
      <c r="H139" s="23">
        <f>'3.pielikums'!B129</f>
        <v>7500</v>
      </c>
    </row>
    <row r="140" spans="1:8" ht="30" customHeight="1" x14ac:dyDescent="0.25">
      <c r="A140" s="47"/>
      <c r="B140" s="19" t="s">
        <v>120</v>
      </c>
      <c r="C140" s="46"/>
      <c r="D140" s="38">
        <f t="shared" si="9"/>
        <v>0</v>
      </c>
      <c r="E140" s="38">
        <f>1000</f>
        <v>1000</v>
      </c>
      <c r="F140" s="38"/>
      <c r="G140" s="38"/>
      <c r="H140" s="23">
        <f>'3.pielikums'!B130</f>
        <v>1000</v>
      </c>
    </row>
    <row r="141" spans="1:8" ht="30" customHeight="1" x14ac:dyDescent="0.25">
      <c r="A141" s="47"/>
      <c r="B141" s="19" t="s">
        <v>117</v>
      </c>
      <c r="C141" s="46"/>
      <c r="D141" s="38">
        <f t="shared" si="9"/>
        <v>0</v>
      </c>
      <c r="E141" s="38">
        <f>2100+7727</f>
        <v>9827</v>
      </c>
      <c r="F141" s="38"/>
      <c r="G141" s="38"/>
      <c r="H141" s="23">
        <f>'3.pielikums'!B131</f>
        <v>9827</v>
      </c>
    </row>
    <row r="142" spans="1:8" ht="30" customHeight="1" x14ac:dyDescent="0.25">
      <c r="A142" s="47"/>
      <c r="B142" s="19" t="s">
        <v>118</v>
      </c>
      <c r="C142" s="46"/>
      <c r="D142" s="38">
        <f t="shared" si="9"/>
        <v>0</v>
      </c>
      <c r="E142" s="38">
        <v>3200</v>
      </c>
      <c r="F142" s="38"/>
      <c r="G142" s="38"/>
      <c r="H142" s="23">
        <f>'3.pielikums'!B132</f>
        <v>3200</v>
      </c>
    </row>
    <row r="143" spans="1:8" ht="30" customHeight="1" x14ac:dyDescent="0.25">
      <c r="A143" s="47"/>
      <c r="B143" s="41" t="s">
        <v>620</v>
      </c>
      <c r="C143" s="46"/>
      <c r="D143" s="38">
        <f t="shared" si="9"/>
        <v>129108</v>
      </c>
      <c r="E143" s="38"/>
      <c r="F143" s="38"/>
      <c r="G143" s="38"/>
      <c r="H143" s="23">
        <f>'3.pielikums'!B133</f>
        <v>129108</v>
      </c>
    </row>
    <row r="144" spans="1:8" ht="30" customHeight="1" x14ac:dyDescent="0.25">
      <c r="A144" s="47"/>
      <c r="B144" s="19" t="s">
        <v>102</v>
      </c>
      <c r="C144" s="46"/>
      <c r="D144" s="38">
        <f t="shared" si="9"/>
        <v>17596</v>
      </c>
      <c r="E144" s="38"/>
      <c r="F144" s="38"/>
      <c r="G144" s="38"/>
      <c r="H144" s="23">
        <f>'3.pielikums'!B134</f>
        <v>17596</v>
      </c>
    </row>
    <row r="145" spans="1:8" ht="30" customHeight="1" x14ac:dyDescent="0.25">
      <c r="A145" s="47"/>
      <c r="B145" s="19" t="s">
        <v>98</v>
      </c>
      <c r="C145" s="46"/>
      <c r="D145" s="38">
        <f t="shared" si="9"/>
        <v>16233</v>
      </c>
      <c r="E145" s="38"/>
      <c r="F145" s="38"/>
      <c r="G145" s="38"/>
      <c r="H145" s="23">
        <f>'3.pielikums'!B135</f>
        <v>16233</v>
      </c>
    </row>
    <row r="146" spans="1:8" ht="30" customHeight="1" x14ac:dyDescent="0.25">
      <c r="A146" s="47"/>
      <c r="B146" s="19" t="s">
        <v>104</v>
      </c>
      <c r="C146" s="46"/>
      <c r="D146" s="38">
        <f t="shared" si="9"/>
        <v>25217</v>
      </c>
      <c r="E146" s="38">
        <f>400</f>
        <v>400</v>
      </c>
      <c r="F146" s="38"/>
      <c r="G146" s="38"/>
      <c r="H146" s="23">
        <f>'3.pielikums'!B136</f>
        <v>25617</v>
      </c>
    </row>
    <row r="147" spans="1:8" ht="30" customHeight="1" x14ac:dyDescent="0.25">
      <c r="A147" s="47"/>
      <c r="B147" s="19" t="s">
        <v>330</v>
      </c>
      <c r="C147" s="46"/>
      <c r="D147" s="38">
        <f t="shared" si="9"/>
        <v>19871</v>
      </c>
      <c r="E147" s="38"/>
      <c r="F147" s="38"/>
      <c r="G147" s="38"/>
      <c r="H147" s="23">
        <f>'3.pielikums'!B137</f>
        <v>19871</v>
      </c>
    </row>
    <row r="148" spans="1:8" ht="30" customHeight="1" x14ac:dyDescent="0.25">
      <c r="A148" s="47"/>
      <c r="B148" s="19" t="s">
        <v>114</v>
      </c>
      <c r="C148" s="46"/>
      <c r="D148" s="38">
        <f t="shared" ref="D148" si="11">H148-E148-G148-F148-C148</f>
        <v>24403</v>
      </c>
      <c r="E148" s="38"/>
      <c r="F148" s="38"/>
      <c r="G148" s="38"/>
      <c r="H148" s="23">
        <f>'3.pielikums'!B138</f>
        <v>24403</v>
      </c>
    </row>
    <row r="149" spans="1:8" ht="15" customHeight="1" x14ac:dyDescent="0.25">
      <c r="A149" s="47"/>
      <c r="B149" s="19" t="s">
        <v>119</v>
      </c>
      <c r="C149" s="46"/>
      <c r="D149" s="38">
        <f t="shared" si="9"/>
        <v>205684</v>
      </c>
      <c r="E149" s="38">
        <f>900+1400</f>
        <v>2300</v>
      </c>
      <c r="F149" s="38"/>
      <c r="G149" s="38"/>
      <c r="H149" s="23">
        <f>'3.pielikums'!B139</f>
        <v>207984</v>
      </c>
    </row>
    <row r="150" spans="1:8" ht="30" customHeight="1" x14ac:dyDescent="0.25">
      <c r="A150" s="47"/>
      <c r="B150" s="19" t="s">
        <v>234</v>
      </c>
      <c r="C150" s="46"/>
      <c r="D150" s="38">
        <f t="shared" si="9"/>
        <v>32483</v>
      </c>
      <c r="E150" s="38">
        <f>17608</f>
        <v>17608</v>
      </c>
      <c r="F150" s="38"/>
      <c r="G150" s="38"/>
      <c r="H150" s="23">
        <f>'3.pielikums'!B140</f>
        <v>50091</v>
      </c>
    </row>
    <row r="151" spans="1:8" ht="30" customHeight="1" x14ac:dyDescent="0.25">
      <c r="A151" s="47"/>
      <c r="B151" s="19" t="s">
        <v>109</v>
      </c>
      <c r="C151" s="46"/>
      <c r="D151" s="38">
        <f t="shared" si="9"/>
        <v>64282</v>
      </c>
      <c r="E151" s="38">
        <f>35161</f>
        <v>35161</v>
      </c>
      <c r="F151" s="38"/>
      <c r="G151" s="38"/>
      <c r="H151" s="23">
        <f>'3.pielikums'!B141</f>
        <v>99443</v>
      </c>
    </row>
    <row r="152" spans="1:8" ht="30" customHeight="1" x14ac:dyDescent="0.25">
      <c r="A152" s="47"/>
      <c r="B152" s="19" t="s">
        <v>331</v>
      </c>
      <c r="C152" s="46"/>
      <c r="D152" s="38">
        <f t="shared" si="9"/>
        <v>24514</v>
      </c>
      <c r="E152" s="38">
        <v>15050</v>
      </c>
      <c r="F152" s="38"/>
      <c r="G152" s="38"/>
      <c r="H152" s="23">
        <f>'3.pielikums'!B142</f>
        <v>39564</v>
      </c>
    </row>
    <row r="153" spans="1:8" ht="15" customHeight="1" x14ac:dyDescent="0.25">
      <c r="A153" s="47"/>
      <c r="B153" s="19" t="s">
        <v>249</v>
      </c>
      <c r="C153" s="46"/>
      <c r="D153" s="38">
        <f t="shared" si="9"/>
        <v>30292</v>
      </c>
      <c r="E153" s="38">
        <v>25940</v>
      </c>
      <c r="F153" s="38"/>
      <c r="G153" s="38"/>
      <c r="H153" s="23">
        <f>'3.pielikums'!B143</f>
        <v>56232</v>
      </c>
    </row>
    <row r="154" spans="1:8" ht="30" customHeight="1" x14ac:dyDescent="0.25">
      <c r="A154" s="47"/>
      <c r="B154" s="19" t="s">
        <v>111</v>
      </c>
      <c r="C154" s="46"/>
      <c r="D154" s="38">
        <f t="shared" si="9"/>
        <v>17275</v>
      </c>
      <c r="E154" s="38">
        <v>9000</v>
      </c>
      <c r="F154" s="38"/>
      <c r="G154" s="38"/>
      <c r="H154" s="23">
        <f>'3.pielikums'!B144</f>
        <v>26275</v>
      </c>
    </row>
    <row r="155" spans="1:8" ht="30" customHeight="1" x14ac:dyDescent="0.25">
      <c r="A155" s="47"/>
      <c r="B155" s="19" t="s">
        <v>99</v>
      </c>
      <c r="C155" s="46"/>
      <c r="D155" s="38">
        <f t="shared" si="9"/>
        <v>9995</v>
      </c>
      <c r="E155" s="38">
        <v>69000</v>
      </c>
      <c r="F155" s="38"/>
      <c r="G155" s="38"/>
      <c r="H155" s="23">
        <f>'3.pielikums'!B145</f>
        <v>78995</v>
      </c>
    </row>
    <row r="156" spans="1:8" ht="15" customHeight="1" x14ac:dyDescent="0.25">
      <c r="A156" s="47"/>
      <c r="B156" s="19" t="s">
        <v>101</v>
      </c>
      <c r="C156" s="46"/>
      <c r="D156" s="38">
        <f t="shared" si="9"/>
        <v>38125</v>
      </c>
      <c r="E156" s="38">
        <f>59000</f>
        <v>59000</v>
      </c>
      <c r="F156" s="38"/>
      <c r="G156" s="38"/>
      <c r="H156" s="23">
        <f>'3.pielikums'!B146</f>
        <v>97125</v>
      </c>
    </row>
    <row r="157" spans="1:8" ht="15" customHeight="1" x14ac:dyDescent="0.25">
      <c r="A157" s="47"/>
      <c r="B157" s="48" t="s">
        <v>195</v>
      </c>
      <c r="C157" s="46"/>
      <c r="D157" s="38">
        <f t="shared" si="9"/>
        <v>343</v>
      </c>
      <c r="E157" s="38">
        <f>2500</f>
        <v>2500</v>
      </c>
      <c r="F157" s="38"/>
      <c r="G157" s="38"/>
      <c r="H157" s="23">
        <f>'3.pielikums'!B147</f>
        <v>2843</v>
      </c>
    </row>
    <row r="158" spans="1:8" ht="15" customHeight="1" x14ac:dyDescent="0.25">
      <c r="A158" s="47"/>
      <c r="B158" s="48" t="s">
        <v>194</v>
      </c>
      <c r="C158" s="46"/>
      <c r="D158" s="38">
        <f t="shared" si="9"/>
        <v>3781</v>
      </c>
      <c r="E158" s="38">
        <f>8803</f>
        <v>8803</v>
      </c>
      <c r="F158" s="38"/>
      <c r="G158" s="38"/>
      <c r="H158" s="23">
        <f>'3.pielikums'!B148</f>
        <v>12584</v>
      </c>
    </row>
    <row r="159" spans="1:8" ht="30" customHeight="1" x14ac:dyDescent="0.25">
      <c r="A159" s="47"/>
      <c r="B159" s="19" t="s">
        <v>606</v>
      </c>
      <c r="C159" s="46"/>
      <c r="D159" s="38">
        <f t="shared" si="9"/>
        <v>122</v>
      </c>
      <c r="E159" s="38">
        <v>2500</v>
      </c>
      <c r="F159" s="38"/>
      <c r="G159" s="38"/>
      <c r="H159" s="23">
        <f>'3.pielikums'!B149</f>
        <v>2622</v>
      </c>
    </row>
    <row r="160" spans="1:8" ht="15" customHeight="1" x14ac:dyDescent="0.25">
      <c r="A160" s="47"/>
      <c r="B160" s="19" t="s">
        <v>247</v>
      </c>
      <c r="C160" s="46"/>
      <c r="D160" s="38">
        <f>H160-E160-G160-F160-C160</f>
        <v>1969</v>
      </c>
      <c r="E160" s="38">
        <f>2800</f>
        <v>2800</v>
      </c>
      <c r="F160" s="38"/>
      <c r="G160" s="38"/>
      <c r="H160" s="23">
        <f>'3.pielikums'!B150</f>
        <v>4769</v>
      </c>
    </row>
    <row r="161" spans="1:8" ht="30" customHeight="1" x14ac:dyDescent="0.25">
      <c r="A161" s="47"/>
      <c r="B161" s="19" t="s">
        <v>607</v>
      </c>
      <c r="C161" s="46"/>
      <c r="D161" s="38">
        <f>H161-E161-G161-F161-C161</f>
        <v>3768</v>
      </c>
      <c r="E161" s="38">
        <v>3000</v>
      </c>
      <c r="F161" s="38"/>
      <c r="G161" s="38"/>
      <c r="H161" s="23">
        <f>'3.pielikums'!B151</f>
        <v>6768</v>
      </c>
    </row>
    <row r="162" spans="1:8" ht="15" customHeight="1" x14ac:dyDescent="0.25">
      <c r="A162" s="47"/>
      <c r="B162" s="19" t="s">
        <v>233</v>
      </c>
      <c r="C162" s="46"/>
      <c r="D162" s="38">
        <f t="shared" si="9"/>
        <v>346</v>
      </c>
      <c r="E162" s="38">
        <f>3445</f>
        <v>3445</v>
      </c>
      <c r="F162" s="38"/>
      <c r="G162" s="38"/>
      <c r="H162" s="23">
        <f>'3.pielikums'!B152</f>
        <v>3791</v>
      </c>
    </row>
    <row r="163" spans="1:8" ht="15" customHeight="1" x14ac:dyDescent="0.25">
      <c r="A163" s="47"/>
      <c r="B163" s="19" t="s">
        <v>236</v>
      </c>
      <c r="C163" s="46"/>
      <c r="D163" s="38">
        <f t="shared" si="9"/>
        <v>516</v>
      </c>
      <c r="E163" s="38">
        <f>4832</f>
        <v>4832</v>
      </c>
      <c r="F163" s="38"/>
      <c r="G163" s="38"/>
      <c r="H163" s="23">
        <f>'3.pielikums'!B153</f>
        <v>5348</v>
      </c>
    </row>
    <row r="164" spans="1:8" ht="30" customHeight="1" x14ac:dyDescent="0.25">
      <c r="A164" s="47"/>
      <c r="B164" s="19" t="s">
        <v>110</v>
      </c>
      <c r="C164" s="46"/>
      <c r="D164" s="38">
        <f t="shared" si="9"/>
        <v>7546</v>
      </c>
      <c r="E164" s="38">
        <f>6200</f>
        <v>6200</v>
      </c>
      <c r="F164" s="38"/>
      <c r="G164" s="38"/>
      <c r="H164" s="23">
        <f>'3.pielikums'!B154</f>
        <v>13746</v>
      </c>
    </row>
    <row r="165" spans="1:8" ht="15" customHeight="1" x14ac:dyDescent="0.25">
      <c r="A165" s="47"/>
      <c r="B165" s="45" t="s">
        <v>141</v>
      </c>
      <c r="C165" s="46"/>
      <c r="D165" s="38">
        <f t="shared" si="9"/>
        <v>860</v>
      </c>
      <c r="E165" s="38">
        <f>2900+5337</f>
        <v>8237</v>
      </c>
      <c r="F165" s="38"/>
      <c r="G165" s="38"/>
      <c r="H165" s="23">
        <f>'3.pielikums'!B155</f>
        <v>9097</v>
      </c>
    </row>
    <row r="166" spans="1:8" ht="30" customHeight="1" x14ac:dyDescent="0.25">
      <c r="A166" s="47"/>
      <c r="B166" s="19" t="s">
        <v>608</v>
      </c>
      <c r="C166" s="46"/>
      <c r="D166" s="38">
        <f t="shared" si="9"/>
        <v>83</v>
      </c>
      <c r="E166" s="38">
        <v>2700</v>
      </c>
      <c r="F166" s="38"/>
      <c r="G166" s="38"/>
      <c r="H166" s="23">
        <f>'3.pielikums'!B156</f>
        <v>2783</v>
      </c>
    </row>
    <row r="167" spans="1:8" ht="30" customHeight="1" x14ac:dyDescent="0.25">
      <c r="A167" s="47"/>
      <c r="B167" s="19" t="s">
        <v>103</v>
      </c>
      <c r="C167" s="46"/>
      <c r="D167" s="38">
        <f t="shared" si="9"/>
        <v>724</v>
      </c>
      <c r="E167" s="38">
        <f>4589</f>
        <v>4589</v>
      </c>
      <c r="F167" s="38"/>
      <c r="G167" s="38"/>
      <c r="H167" s="23">
        <f>'3.pielikums'!B157</f>
        <v>5313</v>
      </c>
    </row>
    <row r="168" spans="1:8" ht="15" customHeight="1" x14ac:dyDescent="0.25">
      <c r="A168" s="47"/>
      <c r="B168" s="19" t="s">
        <v>107</v>
      </c>
      <c r="C168" s="46"/>
      <c r="D168" s="38">
        <f t="shared" si="9"/>
        <v>309</v>
      </c>
      <c r="E168" s="38">
        <f>2668</f>
        <v>2668</v>
      </c>
      <c r="F168" s="38"/>
      <c r="G168" s="38"/>
      <c r="H168" s="23">
        <f>'3.pielikums'!B158</f>
        <v>2977</v>
      </c>
    </row>
    <row r="169" spans="1:8" ht="15" customHeight="1" x14ac:dyDescent="0.25">
      <c r="A169" s="47"/>
      <c r="B169" s="45" t="s">
        <v>142</v>
      </c>
      <c r="C169" s="46"/>
      <c r="D169" s="38">
        <f t="shared" si="9"/>
        <v>716</v>
      </c>
      <c r="E169" s="38">
        <f>8530</f>
        <v>8530</v>
      </c>
      <c r="F169" s="38"/>
      <c r="G169" s="38"/>
      <c r="H169" s="23">
        <f>'3.pielikums'!B159</f>
        <v>9246</v>
      </c>
    </row>
    <row r="170" spans="1:8" ht="15" customHeight="1" x14ac:dyDescent="0.25">
      <c r="A170" s="47"/>
      <c r="B170" s="19" t="s">
        <v>108</v>
      </c>
      <c r="C170" s="46"/>
      <c r="D170" s="38">
        <f t="shared" si="9"/>
        <v>0</v>
      </c>
      <c r="E170" s="38">
        <v>2490</v>
      </c>
      <c r="F170" s="38"/>
      <c r="G170" s="38"/>
      <c r="H170" s="23">
        <f>'3.pielikums'!B160</f>
        <v>2490</v>
      </c>
    </row>
    <row r="171" spans="1:8" ht="15" customHeight="1" x14ac:dyDescent="0.25">
      <c r="A171" s="47"/>
      <c r="B171" s="19" t="s">
        <v>250</v>
      </c>
      <c r="C171" s="46"/>
      <c r="D171" s="38">
        <f t="shared" si="9"/>
        <v>0</v>
      </c>
      <c r="E171" s="38">
        <v>8746</v>
      </c>
      <c r="F171" s="38"/>
      <c r="G171" s="38"/>
      <c r="H171" s="23">
        <f>'3.pielikums'!B161</f>
        <v>8746</v>
      </c>
    </row>
    <row r="172" spans="1:8" ht="15" customHeight="1" x14ac:dyDescent="0.25">
      <c r="A172" s="47"/>
      <c r="B172" s="19" t="s">
        <v>604</v>
      </c>
      <c r="C172" s="46"/>
      <c r="D172" s="38">
        <f t="shared" si="9"/>
        <v>0</v>
      </c>
      <c r="E172" s="38">
        <v>2300</v>
      </c>
      <c r="F172" s="38"/>
      <c r="G172" s="38"/>
      <c r="H172" s="23">
        <f>'3.pielikums'!B163</f>
        <v>2300</v>
      </c>
    </row>
    <row r="173" spans="1:8" ht="15" customHeight="1" x14ac:dyDescent="0.25">
      <c r="A173" s="47"/>
      <c r="B173" s="19" t="s">
        <v>105</v>
      </c>
      <c r="C173" s="46"/>
      <c r="D173" s="38">
        <f t="shared" si="9"/>
        <v>0</v>
      </c>
      <c r="E173" s="38">
        <f>2315</f>
        <v>2315</v>
      </c>
      <c r="F173" s="38"/>
      <c r="G173" s="38"/>
      <c r="H173" s="23">
        <f>'3.pielikums'!B162</f>
        <v>2315</v>
      </c>
    </row>
    <row r="174" spans="1:8" ht="15" customHeight="1" x14ac:dyDescent="0.25">
      <c r="A174" s="47"/>
      <c r="B174" s="19" t="s">
        <v>113</v>
      </c>
      <c r="C174" s="46"/>
      <c r="D174" s="38">
        <f t="shared" si="9"/>
        <v>1774</v>
      </c>
      <c r="E174" s="38">
        <f>2200</f>
        <v>2200</v>
      </c>
      <c r="F174" s="38"/>
      <c r="G174" s="38"/>
      <c r="H174" s="23">
        <f>'3.pielikums'!B164</f>
        <v>3974</v>
      </c>
    </row>
    <row r="175" spans="1:8" ht="30" customHeight="1" x14ac:dyDescent="0.25">
      <c r="A175" s="47"/>
      <c r="B175" s="19" t="s">
        <v>100</v>
      </c>
      <c r="C175" s="46"/>
      <c r="D175" s="38">
        <f t="shared" si="9"/>
        <v>18580</v>
      </c>
      <c r="E175" s="38">
        <f>15900</f>
        <v>15900</v>
      </c>
      <c r="F175" s="38"/>
      <c r="G175" s="38"/>
      <c r="H175" s="23">
        <f>'3.pielikums'!B165</f>
        <v>34480</v>
      </c>
    </row>
    <row r="176" spans="1:8" ht="30" customHeight="1" x14ac:dyDescent="0.25">
      <c r="A176" s="47"/>
      <c r="B176" s="19" t="s">
        <v>605</v>
      </c>
      <c r="C176" s="46"/>
      <c r="D176" s="38">
        <f t="shared" si="9"/>
        <v>5</v>
      </c>
      <c r="E176" s="38">
        <v>2835</v>
      </c>
      <c r="F176" s="38"/>
      <c r="G176" s="38"/>
      <c r="H176" s="23">
        <f>'3.pielikums'!B166</f>
        <v>2840</v>
      </c>
    </row>
    <row r="177" spans="1:8" ht="15" customHeight="1" x14ac:dyDescent="0.25">
      <c r="A177" s="47"/>
      <c r="B177" s="19" t="s">
        <v>332</v>
      </c>
      <c r="C177" s="46"/>
      <c r="D177" s="38">
        <f t="shared" si="9"/>
        <v>4656</v>
      </c>
      <c r="E177" s="38">
        <f>8308</f>
        <v>8308</v>
      </c>
      <c r="F177" s="38"/>
      <c r="G177" s="38"/>
      <c r="H177" s="23">
        <f>'3.pielikums'!B167</f>
        <v>12964</v>
      </c>
    </row>
    <row r="178" spans="1:8" ht="30" customHeight="1" x14ac:dyDescent="0.25">
      <c r="A178" s="47"/>
      <c r="B178" s="50" t="s">
        <v>138</v>
      </c>
      <c r="C178" s="46"/>
      <c r="D178" s="38">
        <f t="shared" si="9"/>
        <v>26000</v>
      </c>
      <c r="E178" s="38"/>
      <c r="F178" s="38"/>
      <c r="G178" s="38"/>
      <c r="H178" s="23">
        <f>'3.pielikums'!B168</f>
        <v>26000</v>
      </c>
    </row>
    <row r="179" spans="1:8" ht="30" customHeight="1" x14ac:dyDescent="0.25">
      <c r="A179" s="47"/>
      <c r="B179" s="50" t="s">
        <v>587</v>
      </c>
      <c r="C179" s="46"/>
      <c r="D179" s="38">
        <f t="shared" si="9"/>
        <v>113</v>
      </c>
      <c r="E179" s="38"/>
      <c r="F179" s="38">
        <f>45466+42157</f>
        <v>87623</v>
      </c>
      <c r="G179" s="38"/>
      <c r="H179" s="23">
        <f>'3.pielikums'!B315</f>
        <v>87736</v>
      </c>
    </row>
    <row r="180" spans="1:8" ht="15" customHeight="1" x14ac:dyDescent="0.25">
      <c r="A180" s="47"/>
      <c r="B180" s="50" t="s">
        <v>176</v>
      </c>
      <c r="C180" s="46"/>
      <c r="D180" s="38">
        <f t="shared" si="9"/>
        <v>100000</v>
      </c>
      <c r="E180" s="38"/>
      <c r="F180" s="38"/>
      <c r="G180" s="38"/>
      <c r="H180" s="23">
        <f>'3.pielikums'!B316</f>
        <v>100000</v>
      </c>
    </row>
    <row r="181" spans="1:8" ht="15" customHeight="1" x14ac:dyDescent="0.25">
      <c r="A181" s="1" t="s">
        <v>282</v>
      </c>
      <c r="B181" s="36" t="s">
        <v>283</v>
      </c>
      <c r="C181" s="37">
        <f>SUM(C182:C195)</f>
        <v>37734</v>
      </c>
      <c r="D181" s="37">
        <f>SUM(D182:D195)</f>
        <v>26918</v>
      </c>
      <c r="E181" s="37">
        <f>SUM(E182:E195)</f>
        <v>451</v>
      </c>
      <c r="F181" s="37">
        <f>SUM(F182:F195)</f>
        <v>159109</v>
      </c>
      <c r="G181" s="37">
        <f t="shared" ref="G181" si="12">SUM(G182:G195)</f>
        <v>0</v>
      </c>
      <c r="H181" s="23">
        <f>SUM(H182:H195)</f>
        <v>224212</v>
      </c>
    </row>
    <row r="182" spans="1:8" ht="15" customHeight="1" x14ac:dyDescent="0.25">
      <c r="A182" s="47"/>
      <c r="B182" s="41" t="s">
        <v>284</v>
      </c>
      <c r="C182" s="46"/>
      <c r="D182" s="38">
        <f t="shared" si="9"/>
        <v>4427</v>
      </c>
      <c r="E182" s="38">
        <f>200</f>
        <v>200</v>
      </c>
      <c r="F182" s="38">
        <v>10487</v>
      </c>
      <c r="G182" s="38"/>
      <c r="H182" s="23">
        <f>'3.pielikums'!B169</f>
        <v>15114</v>
      </c>
    </row>
    <row r="183" spans="1:8" ht="15" customHeight="1" x14ac:dyDescent="0.25">
      <c r="A183" s="47"/>
      <c r="B183" s="41" t="s">
        <v>285</v>
      </c>
      <c r="C183" s="46"/>
      <c r="D183" s="38">
        <f t="shared" si="9"/>
        <v>3010</v>
      </c>
      <c r="E183" s="38">
        <f>60</f>
        <v>60</v>
      </c>
      <c r="F183" s="38">
        <v>10487</v>
      </c>
      <c r="G183" s="38"/>
      <c r="H183" s="23">
        <f>'3.pielikums'!B170</f>
        <v>13557</v>
      </c>
    </row>
    <row r="184" spans="1:8" ht="15" customHeight="1" x14ac:dyDescent="0.25">
      <c r="A184" s="47"/>
      <c r="B184" s="41" t="s">
        <v>286</v>
      </c>
      <c r="C184" s="46"/>
      <c r="D184" s="38">
        <f t="shared" ref="D184:D195" si="13">H184-E184-G184-F184-C184</f>
        <v>1463</v>
      </c>
      <c r="E184" s="38">
        <f>70</f>
        <v>70</v>
      </c>
      <c r="F184" s="38">
        <v>10487</v>
      </c>
      <c r="G184" s="38"/>
      <c r="H184" s="23">
        <f>'3.pielikums'!B171</f>
        <v>12020</v>
      </c>
    </row>
    <row r="185" spans="1:8" ht="15" customHeight="1" x14ac:dyDescent="0.25">
      <c r="A185" s="47"/>
      <c r="B185" s="41" t="s">
        <v>144</v>
      </c>
      <c r="C185" s="46"/>
      <c r="D185" s="38">
        <f t="shared" si="13"/>
        <v>774</v>
      </c>
      <c r="E185" s="38"/>
      <c r="F185" s="38">
        <v>10487</v>
      </c>
      <c r="G185" s="38"/>
      <c r="H185" s="23">
        <f>'3.pielikums'!B172</f>
        <v>11261</v>
      </c>
    </row>
    <row r="186" spans="1:8" ht="15" customHeight="1" x14ac:dyDescent="0.25">
      <c r="A186" s="47"/>
      <c r="B186" s="41" t="s">
        <v>287</v>
      </c>
      <c r="C186" s="46"/>
      <c r="D186" s="38">
        <f t="shared" si="13"/>
        <v>641</v>
      </c>
      <c r="E186" s="38">
        <f>25</f>
        <v>25</v>
      </c>
      <c r="F186" s="38">
        <v>10487</v>
      </c>
      <c r="G186" s="38"/>
      <c r="H186" s="23">
        <f>'3.pielikums'!B173</f>
        <v>11153</v>
      </c>
    </row>
    <row r="187" spans="1:8" ht="15" customHeight="1" x14ac:dyDescent="0.25">
      <c r="A187" s="47"/>
      <c r="B187" s="41" t="s">
        <v>288</v>
      </c>
      <c r="C187" s="46"/>
      <c r="D187" s="38">
        <f t="shared" si="13"/>
        <v>3170</v>
      </c>
      <c r="E187" s="38"/>
      <c r="F187" s="38">
        <v>10487</v>
      </c>
      <c r="G187" s="38"/>
      <c r="H187" s="23">
        <f>'3.pielikums'!B174</f>
        <v>13657</v>
      </c>
    </row>
    <row r="188" spans="1:8" ht="15" customHeight="1" x14ac:dyDescent="0.25">
      <c r="A188" s="47"/>
      <c r="B188" s="19" t="s">
        <v>289</v>
      </c>
      <c r="C188" s="46"/>
      <c r="D188" s="38">
        <f t="shared" si="13"/>
        <v>4065</v>
      </c>
      <c r="E188" s="38">
        <v>51</v>
      </c>
      <c r="F188" s="38">
        <v>10487</v>
      </c>
      <c r="G188" s="38"/>
      <c r="H188" s="23">
        <f>'3.pielikums'!B175</f>
        <v>14603</v>
      </c>
    </row>
    <row r="189" spans="1:8" ht="15" customHeight="1" x14ac:dyDescent="0.25">
      <c r="A189" s="47"/>
      <c r="B189" s="41" t="s">
        <v>290</v>
      </c>
      <c r="C189" s="46"/>
      <c r="D189" s="38">
        <f t="shared" si="13"/>
        <v>6080</v>
      </c>
      <c r="E189" s="38">
        <f>25</f>
        <v>25</v>
      </c>
      <c r="F189" s="38">
        <v>10487</v>
      </c>
      <c r="G189" s="38"/>
      <c r="H189" s="23">
        <f>'3.pielikums'!B176</f>
        <v>16592</v>
      </c>
    </row>
    <row r="190" spans="1:8" ht="15" customHeight="1" x14ac:dyDescent="0.25">
      <c r="A190" s="47"/>
      <c r="B190" s="41" t="s">
        <v>291</v>
      </c>
      <c r="C190" s="46"/>
      <c r="D190" s="38">
        <f t="shared" si="13"/>
        <v>554</v>
      </c>
      <c r="E190" s="38">
        <f>20</f>
        <v>20</v>
      </c>
      <c r="F190" s="38">
        <v>10487</v>
      </c>
      <c r="G190" s="38"/>
      <c r="H190" s="23">
        <f>'3.pielikums'!B177</f>
        <v>11061</v>
      </c>
    </row>
    <row r="191" spans="1:8" ht="15" customHeight="1" x14ac:dyDescent="0.25">
      <c r="A191" s="47"/>
      <c r="B191" s="43" t="s">
        <v>292</v>
      </c>
      <c r="C191" s="46"/>
      <c r="D191" s="38">
        <f t="shared" si="13"/>
        <v>0</v>
      </c>
      <c r="E191" s="38"/>
      <c r="F191" s="38">
        <v>34886</v>
      </c>
      <c r="G191" s="38"/>
      <c r="H191" s="23">
        <f>'3.pielikums'!B178</f>
        <v>34886</v>
      </c>
    </row>
    <row r="192" spans="1:8" ht="47.1" customHeight="1" x14ac:dyDescent="0.25">
      <c r="A192" s="47"/>
      <c r="B192" s="43" t="s">
        <v>57</v>
      </c>
      <c r="C192" s="46">
        <v>23905</v>
      </c>
      <c r="D192" s="38">
        <f t="shared" si="13"/>
        <v>0</v>
      </c>
      <c r="E192" s="38"/>
      <c r="F192" s="38">
        <v>21620</v>
      </c>
      <c r="G192" s="38"/>
      <c r="H192" s="23">
        <f>'3.pielikums'!B179</f>
        <v>45525</v>
      </c>
    </row>
    <row r="193" spans="1:8" ht="62.1" customHeight="1" x14ac:dyDescent="0.25">
      <c r="A193" s="47"/>
      <c r="B193" s="50" t="s">
        <v>242</v>
      </c>
      <c r="C193" s="46">
        <v>9627</v>
      </c>
      <c r="D193" s="38">
        <f t="shared" si="13"/>
        <v>2085</v>
      </c>
      <c r="E193" s="38"/>
      <c r="F193" s="38">
        <f>4093</f>
        <v>4093</v>
      </c>
      <c r="G193" s="38"/>
      <c r="H193" s="23">
        <f>'3.pielikums'!B180</f>
        <v>15805</v>
      </c>
    </row>
    <row r="194" spans="1:8" ht="15" customHeight="1" x14ac:dyDescent="0.25">
      <c r="A194" s="47"/>
      <c r="B194" s="50" t="s">
        <v>143</v>
      </c>
      <c r="C194" s="46">
        <v>58</v>
      </c>
      <c r="D194" s="38">
        <f t="shared" si="13"/>
        <v>649</v>
      </c>
      <c r="E194" s="38"/>
      <c r="F194" s="38">
        <v>2538</v>
      </c>
      <c r="G194" s="38"/>
      <c r="H194" s="23">
        <f>'3.pielikums'!B181</f>
        <v>3245</v>
      </c>
    </row>
    <row r="195" spans="1:8" ht="45" customHeight="1" x14ac:dyDescent="0.25">
      <c r="A195" s="47"/>
      <c r="B195" s="19" t="s">
        <v>205</v>
      </c>
      <c r="C195" s="46">
        <v>4144</v>
      </c>
      <c r="D195" s="38">
        <f t="shared" si="13"/>
        <v>0</v>
      </c>
      <c r="E195" s="38"/>
      <c r="F195" s="38">
        <v>1589</v>
      </c>
      <c r="G195" s="38"/>
      <c r="H195" s="23">
        <f>'3.pielikums'!B182</f>
        <v>5733</v>
      </c>
    </row>
    <row r="196" spans="1:8" ht="15" customHeight="1" x14ac:dyDescent="0.25">
      <c r="A196" s="1" t="s">
        <v>293</v>
      </c>
      <c r="B196" s="36" t="s">
        <v>553</v>
      </c>
      <c r="C196" s="37">
        <f t="shared" ref="C196:H196" si="14">C197+C203+C205+C211+C233</f>
        <v>516382</v>
      </c>
      <c r="D196" s="37">
        <f t="shared" si="14"/>
        <v>2379716</v>
      </c>
      <c r="E196" s="37">
        <f t="shared" si="14"/>
        <v>155334</v>
      </c>
      <c r="F196" s="37">
        <f t="shared" si="14"/>
        <v>249147</v>
      </c>
      <c r="G196" s="37">
        <f t="shared" si="14"/>
        <v>1024458</v>
      </c>
      <c r="H196" s="23">
        <f t="shared" si="14"/>
        <v>4325037</v>
      </c>
    </row>
    <row r="197" spans="1:8" ht="15" customHeight="1" x14ac:dyDescent="0.25">
      <c r="A197" s="1"/>
      <c r="B197" s="36" t="s">
        <v>294</v>
      </c>
      <c r="C197" s="37">
        <f t="shared" ref="C197:G197" si="15">SUM(C198:C200)</f>
        <v>0</v>
      </c>
      <c r="D197" s="37">
        <f>SUM(D198:D201)</f>
        <v>159137</v>
      </c>
      <c r="E197" s="37">
        <f>SUM(E198:E201)</f>
        <v>2985</v>
      </c>
      <c r="F197" s="37">
        <f t="shared" si="15"/>
        <v>0</v>
      </c>
      <c r="G197" s="37">
        <f t="shared" si="15"/>
        <v>0</v>
      </c>
      <c r="H197" s="23">
        <f>SUM(H198:H201)</f>
        <v>162122</v>
      </c>
    </row>
    <row r="198" spans="1:8" ht="15" customHeight="1" x14ac:dyDescent="0.25">
      <c r="A198" s="47"/>
      <c r="B198" s="26" t="s">
        <v>166</v>
      </c>
      <c r="C198" s="56"/>
      <c r="D198" s="38">
        <f t="shared" ref="D198:D246" si="16">H198-E198-G198-F198-C198</f>
        <v>83744</v>
      </c>
      <c r="E198" s="38"/>
      <c r="F198" s="38"/>
      <c r="G198" s="38"/>
      <c r="H198" s="23">
        <f>'3.pielikums'!B183</f>
        <v>83744</v>
      </c>
    </row>
    <row r="199" spans="1:8" ht="15" customHeight="1" x14ac:dyDescent="0.25">
      <c r="A199" s="47"/>
      <c r="B199" s="41" t="s">
        <v>198</v>
      </c>
      <c r="C199" s="46"/>
      <c r="D199" s="38">
        <f t="shared" si="16"/>
        <v>42155</v>
      </c>
      <c r="E199" s="38">
        <v>1985</v>
      </c>
      <c r="F199" s="38"/>
      <c r="G199" s="38"/>
      <c r="H199" s="23">
        <f>'3.pielikums'!B184</f>
        <v>44140</v>
      </c>
    </row>
    <row r="200" spans="1:8" ht="15" customHeight="1" x14ac:dyDescent="0.25">
      <c r="A200" s="47"/>
      <c r="B200" s="41" t="s">
        <v>219</v>
      </c>
      <c r="C200" s="46"/>
      <c r="D200" s="38">
        <f t="shared" si="16"/>
        <v>22496</v>
      </c>
      <c r="E200" s="38">
        <f>1000</f>
        <v>1000</v>
      </c>
      <c r="F200" s="38"/>
      <c r="G200" s="38"/>
      <c r="H200" s="23">
        <f>'3.pielikums'!B186</f>
        <v>23496</v>
      </c>
    </row>
    <row r="201" spans="1:8" ht="15" customHeight="1" x14ac:dyDescent="0.25">
      <c r="A201" s="47"/>
      <c r="B201" s="50" t="s">
        <v>618</v>
      </c>
      <c r="C201" s="46"/>
      <c r="D201" s="38">
        <f>H201-E201-G201-F201-C201</f>
        <v>10742</v>
      </c>
      <c r="E201" s="38"/>
      <c r="F201" s="38"/>
      <c r="G201" s="38"/>
      <c r="H201" s="23">
        <f>'3.pielikums'!B306</f>
        <v>10742</v>
      </c>
    </row>
    <row r="202" spans="1:8" ht="15" customHeight="1" x14ac:dyDescent="0.25">
      <c r="A202" s="1"/>
      <c r="B202" s="36" t="s">
        <v>296</v>
      </c>
      <c r="C202" s="58"/>
      <c r="D202" s="38"/>
      <c r="E202" s="37"/>
      <c r="F202" s="37"/>
      <c r="G202" s="37"/>
      <c r="H202" s="23"/>
    </row>
    <row r="203" spans="1:8" ht="15" customHeight="1" x14ac:dyDescent="0.25">
      <c r="A203" s="1"/>
      <c r="B203" s="36" t="s">
        <v>297</v>
      </c>
      <c r="C203" s="37">
        <f t="shared" ref="C203:H203" si="17">SUM(C204:C204)</f>
        <v>0</v>
      </c>
      <c r="D203" s="37">
        <f t="shared" si="17"/>
        <v>518126</v>
      </c>
      <c r="E203" s="37">
        <f t="shared" si="17"/>
        <v>3614</v>
      </c>
      <c r="F203" s="37">
        <f t="shared" si="17"/>
        <v>0</v>
      </c>
      <c r="G203" s="37">
        <f t="shared" si="17"/>
        <v>0</v>
      </c>
      <c r="H203" s="23">
        <f t="shared" si="17"/>
        <v>521740</v>
      </c>
    </row>
    <row r="204" spans="1:8" ht="15" customHeight="1" x14ac:dyDescent="0.25">
      <c r="A204" s="47"/>
      <c r="B204" s="26" t="s">
        <v>31</v>
      </c>
      <c r="C204" s="56"/>
      <c r="D204" s="38">
        <f t="shared" si="16"/>
        <v>518126</v>
      </c>
      <c r="E204" s="38">
        <f>2114+1500</f>
        <v>3614</v>
      </c>
      <c r="F204" s="38"/>
      <c r="G204" s="38"/>
      <c r="H204" s="23">
        <f>'3.pielikums'!B187</f>
        <v>521740</v>
      </c>
    </row>
    <row r="205" spans="1:8" ht="15" customHeight="1" x14ac:dyDescent="0.25">
      <c r="A205" s="1"/>
      <c r="B205" s="36" t="s">
        <v>298</v>
      </c>
      <c r="C205" s="37">
        <f t="shared" ref="C205:H205" si="18">SUM(C206:C210)</f>
        <v>0</v>
      </c>
      <c r="D205" s="37">
        <f t="shared" si="18"/>
        <v>249594</v>
      </c>
      <c r="E205" s="37">
        <f t="shared" si="18"/>
        <v>12750</v>
      </c>
      <c r="F205" s="37">
        <f t="shared" si="18"/>
        <v>0</v>
      </c>
      <c r="G205" s="37">
        <f t="shared" si="18"/>
        <v>0</v>
      </c>
      <c r="H205" s="23">
        <f t="shared" si="18"/>
        <v>262344</v>
      </c>
    </row>
    <row r="206" spans="1:8" ht="15" customHeight="1" x14ac:dyDescent="0.25">
      <c r="A206" s="47"/>
      <c r="B206" s="26" t="s">
        <v>299</v>
      </c>
      <c r="C206" s="56"/>
      <c r="D206" s="38">
        <f t="shared" si="16"/>
        <v>124574</v>
      </c>
      <c r="E206" s="38">
        <f>2800+1000+6500+100</f>
        <v>10400</v>
      </c>
      <c r="F206" s="38"/>
      <c r="G206" s="38"/>
      <c r="H206" s="23">
        <f>'3.pielikums'!B188</f>
        <v>134974</v>
      </c>
    </row>
    <row r="207" spans="1:8" ht="15" customHeight="1" x14ac:dyDescent="0.25">
      <c r="A207" s="47"/>
      <c r="B207" s="26" t="s">
        <v>145</v>
      </c>
      <c r="C207" s="56"/>
      <c r="D207" s="38">
        <f t="shared" si="16"/>
        <v>53820</v>
      </c>
      <c r="E207" s="38">
        <f>100+100</f>
        <v>200</v>
      </c>
      <c r="F207" s="38"/>
      <c r="G207" s="38"/>
      <c r="H207" s="23">
        <f>'3.pielikums'!B189</f>
        <v>54020</v>
      </c>
    </row>
    <row r="208" spans="1:8" ht="15" customHeight="1" x14ac:dyDescent="0.25">
      <c r="A208" s="47"/>
      <c r="B208" s="50" t="s">
        <v>126</v>
      </c>
      <c r="C208" s="46"/>
      <c r="D208" s="38">
        <f t="shared" si="16"/>
        <v>13729</v>
      </c>
      <c r="E208" s="38"/>
      <c r="F208" s="38"/>
      <c r="G208" s="38"/>
      <c r="H208" s="23">
        <f>'3.pielikums'!B190</f>
        <v>13729</v>
      </c>
    </row>
    <row r="209" spans="1:8" ht="15" customHeight="1" x14ac:dyDescent="0.25">
      <c r="A209" s="47"/>
      <c r="B209" s="19" t="s">
        <v>125</v>
      </c>
      <c r="C209" s="46"/>
      <c r="D209" s="38">
        <f t="shared" si="16"/>
        <v>43490</v>
      </c>
      <c r="E209" s="38">
        <f>350+600</f>
        <v>950</v>
      </c>
      <c r="F209" s="38"/>
      <c r="G209" s="38"/>
      <c r="H209" s="23">
        <f>'3.pielikums'!B191</f>
        <v>44440</v>
      </c>
    </row>
    <row r="210" spans="1:8" ht="30" customHeight="1" x14ac:dyDescent="0.25">
      <c r="A210" s="47"/>
      <c r="B210" s="19" t="s">
        <v>124</v>
      </c>
      <c r="C210" s="46"/>
      <c r="D210" s="38">
        <f t="shared" si="16"/>
        <v>13981</v>
      </c>
      <c r="E210" s="38">
        <f>900+300</f>
        <v>1200</v>
      </c>
      <c r="F210" s="38"/>
      <c r="G210" s="38"/>
      <c r="H210" s="23">
        <f>'3.pielikums'!B192</f>
        <v>15181</v>
      </c>
    </row>
    <row r="211" spans="1:8" ht="15" customHeight="1" x14ac:dyDescent="0.25">
      <c r="A211" s="1"/>
      <c r="B211" s="36" t="s">
        <v>300</v>
      </c>
      <c r="C211" s="37">
        <f>SUM(C212:C232)</f>
        <v>0</v>
      </c>
      <c r="D211" s="37">
        <f>SUM(D212:D232)</f>
        <v>1044748</v>
      </c>
      <c r="E211" s="37">
        <f>SUM(E212:E232)</f>
        <v>126985</v>
      </c>
      <c r="F211" s="37">
        <f t="shared" ref="F211:G211" si="19">SUM(F212:F232)</f>
        <v>23722</v>
      </c>
      <c r="G211" s="37">
        <f t="shared" si="19"/>
        <v>0</v>
      </c>
      <c r="H211" s="23">
        <f>SUM(H212:H232)</f>
        <v>1195455</v>
      </c>
    </row>
    <row r="212" spans="1:8" ht="15" customHeight="1" x14ac:dyDescent="0.25">
      <c r="A212" s="47"/>
      <c r="B212" s="26" t="s">
        <v>75</v>
      </c>
      <c r="C212" s="56"/>
      <c r="D212" s="38">
        <f t="shared" si="16"/>
        <v>247185</v>
      </c>
      <c r="E212" s="38">
        <f>8193+5000</f>
        <v>13193</v>
      </c>
      <c r="F212" s="38">
        <f>6953</f>
        <v>6953</v>
      </c>
      <c r="G212" s="38"/>
      <c r="H212" s="23">
        <f>'3.pielikums'!B193</f>
        <v>267331</v>
      </c>
    </row>
    <row r="213" spans="1:8" ht="30" customHeight="1" x14ac:dyDescent="0.25">
      <c r="A213" s="47"/>
      <c r="B213" s="41" t="s">
        <v>302</v>
      </c>
      <c r="C213" s="46"/>
      <c r="D213" s="38">
        <f t="shared" si="16"/>
        <v>44956</v>
      </c>
      <c r="E213" s="38">
        <f>66750+200</f>
        <v>66950</v>
      </c>
      <c r="F213" s="38"/>
      <c r="G213" s="38"/>
      <c r="H213" s="23">
        <f>'3.pielikums'!B194</f>
        <v>111906</v>
      </c>
    </row>
    <row r="214" spans="1:8" ht="15" customHeight="1" x14ac:dyDescent="0.25">
      <c r="A214" s="47"/>
      <c r="B214" s="41" t="s">
        <v>637</v>
      </c>
      <c r="C214" s="46"/>
      <c r="D214" s="38">
        <f t="shared" si="16"/>
        <v>45138</v>
      </c>
      <c r="E214" s="38">
        <v>150</v>
      </c>
      <c r="F214" s="38">
        <v>1636</v>
      </c>
      <c r="G214" s="38"/>
      <c r="H214" s="23">
        <f>'3.pielikums'!B195</f>
        <v>46924</v>
      </c>
    </row>
    <row r="215" spans="1:8" ht="15" customHeight="1" x14ac:dyDescent="0.25">
      <c r="A215" s="47"/>
      <c r="B215" s="41" t="s">
        <v>162</v>
      </c>
      <c r="C215" s="46"/>
      <c r="D215" s="38">
        <f t="shared" si="16"/>
        <v>7131</v>
      </c>
      <c r="E215" s="38">
        <v>3400</v>
      </c>
      <c r="F215" s="38"/>
      <c r="G215" s="38"/>
      <c r="H215" s="23">
        <f>'3.pielikums'!B196</f>
        <v>10531</v>
      </c>
    </row>
    <row r="216" spans="1:8" ht="15" customHeight="1" x14ac:dyDescent="0.25">
      <c r="A216" s="47"/>
      <c r="B216" s="26" t="s">
        <v>191</v>
      </c>
      <c r="C216" s="56"/>
      <c r="D216" s="38">
        <f t="shared" si="16"/>
        <v>44098</v>
      </c>
      <c r="E216" s="38">
        <f>50+900</f>
        <v>950</v>
      </c>
      <c r="F216" s="38">
        <f>409</f>
        <v>409</v>
      </c>
      <c r="G216" s="38"/>
      <c r="H216" s="23">
        <f>'3.pielikums'!B197</f>
        <v>45457</v>
      </c>
    </row>
    <row r="217" spans="1:8" ht="15" customHeight="1" x14ac:dyDescent="0.25">
      <c r="A217" s="47"/>
      <c r="B217" s="41" t="s">
        <v>33</v>
      </c>
      <c r="C217" s="46"/>
      <c r="D217" s="38">
        <f t="shared" si="16"/>
        <v>43673</v>
      </c>
      <c r="E217" s="38">
        <f>400</f>
        <v>400</v>
      </c>
      <c r="F217" s="38">
        <f>1227</f>
        <v>1227</v>
      </c>
      <c r="G217" s="38"/>
      <c r="H217" s="23">
        <f>'3.pielikums'!B198</f>
        <v>45300</v>
      </c>
    </row>
    <row r="218" spans="1:8" ht="15" customHeight="1" x14ac:dyDescent="0.25">
      <c r="A218" s="47"/>
      <c r="B218" s="26" t="s">
        <v>34</v>
      </c>
      <c r="C218" s="56"/>
      <c r="D218" s="38">
        <f t="shared" si="16"/>
        <v>29792</v>
      </c>
      <c r="E218" s="38">
        <f>100+100</f>
        <v>200</v>
      </c>
      <c r="F218" s="38"/>
      <c r="G218" s="38"/>
      <c r="H218" s="23">
        <f>'3.pielikums'!B199</f>
        <v>29992</v>
      </c>
    </row>
    <row r="219" spans="1:8" ht="15" customHeight="1" x14ac:dyDescent="0.25">
      <c r="A219" s="47"/>
      <c r="B219" s="26" t="s">
        <v>636</v>
      </c>
      <c r="C219" s="56"/>
      <c r="D219" s="38">
        <f t="shared" si="16"/>
        <v>56917</v>
      </c>
      <c r="E219" s="38">
        <f>350+2467</f>
        <v>2817</v>
      </c>
      <c r="F219" s="38"/>
      <c r="G219" s="38"/>
      <c r="H219" s="23">
        <f>'3.pielikums'!B200</f>
        <v>59734</v>
      </c>
    </row>
    <row r="220" spans="1:8" ht="15" customHeight="1" x14ac:dyDescent="0.25">
      <c r="A220" s="47"/>
      <c r="B220" s="41" t="s">
        <v>625</v>
      </c>
      <c r="C220" s="46"/>
      <c r="D220" s="38">
        <f t="shared" si="16"/>
        <v>44004</v>
      </c>
      <c r="E220" s="38">
        <f>100+4350</f>
        <v>4450</v>
      </c>
      <c r="F220" s="38">
        <v>409</v>
      </c>
      <c r="G220" s="38"/>
      <c r="H220" s="23">
        <f>'3.pielikums'!B201</f>
        <v>48863</v>
      </c>
    </row>
    <row r="221" spans="1:8" ht="15" customHeight="1" x14ac:dyDescent="0.25">
      <c r="A221" s="47"/>
      <c r="B221" s="26" t="s">
        <v>190</v>
      </c>
      <c r="C221" s="56"/>
      <c r="D221" s="38">
        <f t="shared" si="16"/>
        <v>13032</v>
      </c>
      <c r="E221" s="38">
        <f>50+150</f>
        <v>200</v>
      </c>
      <c r="F221" s="38"/>
      <c r="G221" s="38"/>
      <c r="H221" s="23">
        <f>'3.pielikums'!B202</f>
        <v>13232</v>
      </c>
    </row>
    <row r="222" spans="1:8" ht="15" customHeight="1" x14ac:dyDescent="0.25">
      <c r="A222" s="47"/>
      <c r="B222" s="19" t="s">
        <v>147</v>
      </c>
      <c r="C222" s="46"/>
      <c r="D222" s="38">
        <f t="shared" si="16"/>
        <v>35879</v>
      </c>
      <c r="E222" s="38">
        <f>100+6200</f>
        <v>6300</v>
      </c>
      <c r="F222" s="38">
        <f>818</f>
        <v>818</v>
      </c>
      <c r="G222" s="38"/>
      <c r="H222" s="23">
        <f>'3.pielikums'!B203</f>
        <v>42997</v>
      </c>
    </row>
    <row r="223" spans="1:8" ht="15" customHeight="1" x14ac:dyDescent="0.25">
      <c r="A223" s="47"/>
      <c r="B223" s="26" t="s">
        <v>197</v>
      </c>
      <c r="C223" s="56"/>
      <c r="D223" s="38">
        <f t="shared" si="16"/>
        <v>25006</v>
      </c>
      <c r="E223" s="38">
        <f>140+250</f>
        <v>390</v>
      </c>
      <c r="F223" s="38"/>
      <c r="G223" s="38"/>
      <c r="H223" s="23">
        <f>'3.pielikums'!B204</f>
        <v>25396</v>
      </c>
    </row>
    <row r="224" spans="1:8" ht="15" customHeight="1" x14ac:dyDescent="0.25">
      <c r="A224" s="47"/>
      <c r="B224" s="26" t="s">
        <v>188</v>
      </c>
      <c r="C224" s="56"/>
      <c r="D224" s="38">
        <f t="shared" si="16"/>
        <v>18945</v>
      </c>
      <c r="E224" s="38">
        <f>30</f>
        <v>30</v>
      </c>
      <c r="F224" s="38"/>
      <c r="G224" s="38"/>
      <c r="H224" s="23">
        <f>'3.pielikums'!B205</f>
        <v>18975</v>
      </c>
    </row>
    <row r="225" spans="1:8" ht="15" customHeight="1" x14ac:dyDescent="0.25">
      <c r="A225" s="47"/>
      <c r="B225" s="41" t="s">
        <v>624</v>
      </c>
      <c r="C225" s="46"/>
      <c r="D225" s="38">
        <f t="shared" si="16"/>
        <v>56175</v>
      </c>
      <c r="E225" s="38">
        <f>5500</f>
        <v>5500</v>
      </c>
      <c r="F225" s="38">
        <f>3272</f>
        <v>3272</v>
      </c>
      <c r="G225" s="38"/>
      <c r="H225" s="23">
        <f>'3.pielikums'!B206</f>
        <v>64947</v>
      </c>
    </row>
    <row r="226" spans="1:8" ht="15" customHeight="1" x14ac:dyDescent="0.25">
      <c r="A226" s="47"/>
      <c r="B226" s="26" t="s">
        <v>635</v>
      </c>
      <c r="C226" s="56"/>
      <c r="D226" s="38">
        <f t="shared" si="16"/>
        <v>47116</v>
      </c>
      <c r="E226" s="38">
        <f>150+2260</f>
        <v>2410</v>
      </c>
      <c r="F226" s="38">
        <f>1227</f>
        <v>1227</v>
      </c>
      <c r="G226" s="38"/>
      <c r="H226" s="23">
        <f>'3.pielikums'!B207</f>
        <v>50753</v>
      </c>
    </row>
    <row r="227" spans="1:8" ht="15" customHeight="1" x14ac:dyDescent="0.25">
      <c r="A227" s="47"/>
      <c r="B227" s="43" t="s">
        <v>199</v>
      </c>
      <c r="C227" s="46"/>
      <c r="D227" s="38">
        <f t="shared" si="16"/>
        <v>34175</v>
      </c>
      <c r="E227" s="38">
        <f>160+765</f>
        <v>925</v>
      </c>
      <c r="F227" s="38">
        <f>409</f>
        <v>409</v>
      </c>
      <c r="G227" s="38"/>
      <c r="H227" s="23">
        <f>'3.pielikums'!B208</f>
        <v>35509</v>
      </c>
    </row>
    <row r="228" spans="1:8" ht="15" customHeight="1" x14ac:dyDescent="0.25">
      <c r="A228" s="47"/>
      <c r="B228" s="26" t="s">
        <v>35</v>
      </c>
      <c r="C228" s="56"/>
      <c r="D228" s="38">
        <f t="shared" si="16"/>
        <v>27927</v>
      </c>
      <c r="E228" s="38">
        <f>100+800</f>
        <v>900</v>
      </c>
      <c r="F228" s="38">
        <f>1227</f>
        <v>1227</v>
      </c>
      <c r="G228" s="38"/>
      <c r="H228" s="23">
        <f>'3.pielikums'!B209</f>
        <v>30054</v>
      </c>
    </row>
    <row r="229" spans="1:8" ht="15" customHeight="1" x14ac:dyDescent="0.25">
      <c r="A229" s="47"/>
      <c r="B229" s="19" t="s">
        <v>634</v>
      </c>
      <c r="C229" s="46"/>
      <c r="D229" s="38">
        <f t="shared" si="16"/>
        <v>97552</v>
      </c>
      <c r="E229" s="38">
        <f>400+11950</f>
        <v>12350</v>
      </c>
      <c r="F229" s="38">
        <f>2863</f>
        <v>2863</v>
      </c>
      <c r="G229" s="38"/>
      <c r="H229" s="23">
        <f>'3.pielikums'!B210</f>
        <v>112765</v>
      </c>
    </row>
    <row r="230" spans="1:8" ht="15" customHeight="1" x14ac:dyDescent="0.25">
      <c r="A230" s="47"/>
      <c r="B230" s="19" t="s">
        <v>633</v>
      </c>
      <c r="C230" s="46"/>
      <c r="D230" s="38">
        <f t="shared" si="16"/>
        <v>40004</v>
      </c>
      <c r="E230" s="38">
        <f>70+1100</f>
        <v>1170</v>
      </c>
      <c r="F230" s="38">
        <f>818</f>
        <v>818</v>
      </c>
      <c r="G230" s="38"/>
      <c r="H230" s="23">
        <f>'3.pielikums'!B211</f>
        <v>41992</v>
      </c>
    </row>
    <row r="231" spans="1:8" ht="30" customHeight="1" x14ac:dyDescent="0.25">
      <c r="A231" s="47"/>
      <c r="B231" s="19" t="s">
        <v>148</v>
      </c>
      <c r="C231" s="46"/>
      <c r="D231" s="38">
        <f t="shared" si="16"/>
        <v>21914</v>
      </c>
      <c r="E231" s="38">
        <f>200+500</f>
        <v>700</v>
      </c>
      <c r="F231" s="38">
        <f>1227</f>
        <v>1227</v>
      </c>
      <c r="G231" s="38"/>
      <c r="H231" s="23">
        <f>'3.pielikums'!B212</f>
        <v>23841</v>
      </c>
    </row>
    <row r="232" spans="1:8" ht="30" customHeight="1" x14ac:dyDescent="0.25">
      <c r="A232" s="47"/>
      <c r="B232" s="19" t="s">
        <v>301</v>
      </c>
      <c r="C232" s="46"/>
      <c r="D232" s="38">
        <f>H232-E232-G232-F232-C232</f>
        <v>64129</v>
      </c>
      <c r="E232" s="38">
        <f>1700+1900</f>
        <v>3600</v>
      </c>
      <c r="F232" s="38">
        <f>1227</f>
        <v>1227</v>
      </c>
      <c r="G232" s="38"/>
      <c r="H232" s="23">
        <f>'3.pielikums'!B213</f>
        <v>68956</v>
      </c>
    </row>
    <row r="233" spans="1:8" ht="15" customHeight="1" x14ac:dyDescent="0.25">
      <c r="A233" s="1" t="s">
        <v>303</v>
      </c>
      <c r="B233" s="25" t="s">
        <v>304</v>
      </c>
      <c r="C233" s="58">
        <f t="shared" ref="C233:H233" si="20">SUM(C234:C246)</f>
        <v>516382</v>
      </c>
      <c r="D233" s="58">
        <f>SUM(D234:D246)</f>
        <v>408111</v>
      </c>
      <c r="E233" s="58">
        <f t="shared" si="20"/>
        <v>9000</v>
      </c>
      <c r="F233" s="58">
        <f t="shared" si="20"/>
        <v>225425</v>
      </c>
      <c r="G233" s="58">
        <f t="shared" si="20"/>
        <v>1024458</v>
      </c>
      <c r="H233" s="23">
        <f t="shared" si="20"/>
        <v>2183376</v>
      </c>
    </row>
    <row r="234" spans="1:8" ht="15" customHeight="1" x14ac:dyDescent="0.25">
      <c r="A234" s="47"/>
      <c r="B234" s="41" t="s">
        <v>168</v>
      </c>
      <c r="C234" s="46"/>
      <c r="D234" s="38">
        <f t="shared" si="16"/>
        <v>64786</v>
      </c>
      <c r="E234" s="38"/>
      <c r="F234" s="38"/>
      <c r="G234" s="38"/>
      <c r="H234" s="23">
        <f>'3.pielikums'!B215</f>
        <v>64786</v>
      </c>
    </row>
    <row r="235" spans="1:8" ht="15" customHeight="1" x14ac:dyDescent="0.25">
      <c r="A235" s="47"/>
      <c r="B235" s="41" t="s">
        <v>169</v>
      </c>
      <c r="C235" s="46"/>
      <c r="D235" s="38">
        <f t="shared" si="16"/>
        <v>60380</v>
      </c>
      <c r="E235" s="38">
        <v>9000</v>
      </c>
      <c r="F235" s="38"/>
      <c r="G235" s="38"/>
      <c r="H235" s="23">
        <f>'3.pielikums'!B216</f>
        <v>69380</v>
      </c>
    </row>
    <row r="236" spans="1:8" ht="15" customHeight="1" x14ac:dyDescent="0.25">
      <c r="A236" s="47"/>
      <c r="B236" s="41" t="s">
        <v>238</v>
      </c>
      <c r="C236" s="46"/>
      <c r="D236" s="38">
        <f t="shared" si="16"/>
        <v>53769</v>
      </c>
      <c r="E236" s="38"/>
      <c r="F236" s="38"/>
      <c r="G236" s="38"/>
      <c r="H236" s="23">
        <f>'3.pielikums'!B217</f>
        <v>53769</v>
      </c>
    </row>
    <row r="237" spans="1:8" ht="30" customHeight="1" x14ac:dyDescent="0.25">
      <c r="A237" s="47"/>
      <c r="B237" s="41" t="s">
        <v>659</v>
      </c>
      <c r="C237" s="46"/>
      <c r="D237" s="38">
        <f t="shared" si="16"/>
        <v>99418</v>
      </c>
      <c r="E237" s="38"/>
      <c r="F237" s="38"/>
      <c r="G237" s="38"/>
      <c r="H237" s="23">
        <f>'3.pielikums'!B218</f>
        <v>99418</v>
      </c>
    </row>
    <row r="238" spans="1:8" ht="30" customHeight="1" x14ac:dyDescent="0.25">
      <c r="A238" s="47"/>
      <c r="B238" s="43" t="s">
        <v>36</v>
      </c>
      <c r="C238" s="46"/>
      <c r="D238" s="38">
        <f t="shared" si="16"/>
        <v>69309</v>
      </c>
      <c r="E238" s="38"/>
      <c r="F238" s="38"/>
      <c r="G238" s="38"/>
      <c r="H238" s="23">
        <f>'3.pielikums'!B220</f>
        <v>69309</v>
      </c>
    </row>
    <row r="239" spans="1:8" ht="30" customHeight="1" x14ac:dyDescent="0.25">
      <c r="A239" s="1"/>
      <c r="B239" s="43" t="s">
        <v>230</v>
      </c>
      <c r="C239" s="46"/>
      <c r="D239" s="38">
        <f t="shared" si="16"/>
        <v>0</v>
      </c>
      <c r="E239" s="38"/>
      <c r="F239" s="38"/>
      <c r="G239" s="38">
        <v>516949</v>
      </c>
      <c r="H239" s="23">
        <f>'3.pielikums'!B304</f>
        <v>516949</v>
      </c>
    </row>
    <row r="240" spans="1:8" ht="30" customHeight="1" x14ac:dyDescent="0.25">
      <c r="A240" s="1"/>
      <c r="B240" s="43" t="s">
        <v>228</v>
      </c>
      <c r="C240" s="46">
        <v>166939</v>
      </c>
      <c r="D240" s="38">
        <f t="shared" si="16"/>
        <v>0</v>
      </c>
      <c r="E240" s="38"/>
      <c r="F240" s="38">
        <v>68552</v>
      </c>
      <c r="G240" s="38">
        <v>265281</v>
      </c>
      <c r="H240" s="23">
        <f>'3.pielikums'!B319</f>
        <v>500772</v>
      </c>
    </row>
    <row r="241" spans="1:8" ht="47.1" customHeight="1" x14ac:dyDescent="0.25">
      <c r="A241" s="1"/>
      <c r="B241" s="43" t="s">
        <v>626</v>
      </c>
      <c r="C241" s="46">
        <v>349443</v>
      </c>
      <c r="D241" s="38">
        <f t="shared" si="16"/>
        <v>0</v>
      </c>
      <c r="E241" s="38"/>
      <c r="F241" s="38">
        <v>142073</v>
      </c>
      <c r="G241" s="38">
        <v>242228</v>
      </c>
      <c r="H241" s="23">
        <f>'3.pielikums'!B321</f>
        <v>733744</v>
      </c>
    </row>
    <row r="242" spans="1:8" ht="30" customHeight="1" x14ac:dyDescent="0.25">
      <c r="A242" s="1"/>
      <c r="B242" s="43" t="s">
        <v>656</v>
      </c>
      <c r="C242" s="46"/>
      <c r="D242" s="38">
        <f t="shared" si="16"/>
        <v>12510</v>
      </c>
      <c r="E242" s="38"/>
      <c r="F242" s="38"/>
      <c r="G242" s="38"/>
      <c r="H242" s="23">
        <f>'3.pielikums'!B309</f>
        <v>12510</v>
      </c>
    </row>
    <row r="243" spans="1:8" ht="45" customHeight="1" x14ac:dyDescent="0.25">
      <c r="A243" s="1"/>
      <c r="B243" s="43" t="s">
        <v>305</v>
      </c>
      <c r="C243" s="46"/>
      <c r="D243" s="38">
        <f t="shared" si="16"/>
        <v>43230</v>
      </c>
      <c r="E243" s="38"/>
      <c r="F243" s="38"/>
      <c r="G243" s="38"/>
      <c r="H243" s="23">
        <f>'3.pielikums'!B311</f>
        <v>43230</v>
      </c>
    </row>
    <row r="244" spans="1:8" customFormat="1" ht="45" customHeight="1" x14ac:dyDescent="0.25">
      <c r="A244" s="100"/>
      <c r="B244" s="101" t="s">
        <v>640</v>
      </c>
      <c r="C244" s="102"/>
      <c r="D244" s="103">
        <f t="shared" si="16"/>
        <v>4709</v>
      </c>
      <c r="E244" s="103"/>
      <c r="F244" s="103"/>
      <c r="G244" s="103"/>
      <c r="H244" s="104">
        <f>'3.pielikums'!B219</f>
        <v>4709</v>
      </c>
    </row>
    <row r="245" spans="1:8" customFormat="1" ht="45" customHeight="1" x14ac:dyDescent="0.25">
      <c r="A245" s="100"/>
      <c r="B245" s="101" t="s">
        <v>657</v>
      </c>
      <c r="C245" s="102"/>
      <c r="D245" s="103">
        <f t="shared" si="16"/>
        <v>0</v>
      </c>
      <c r="E245" s="103"/>
      <c r="F245" s="103">
        <v>800</v>
      </c>
      <c r="G245" s="103"/>
      <c r="H245" s="104">
        <f>'3.pielikums'!B313</f>
        <v>800</v>
      </c>
    </row>
    <row r="246" spans="1:8" ht="47.1" customHeight="1" x14ac:dyDescent="0.25">
      <c r="A246" s="1"/>
      <c r="B246" s="43" t="s">
        <v>641</v>
      </c>
      <c r="C246" s="46"/>
      <c r="D246" s="38">
        <f t="shared" si="16"/>
        <v>0</v>
      </c>
      <c r="E246" s="38"/>
      <c r="F246" s="38">
        <v>14000</v>
      </c>
      <c r="G246" s="38"/>
      <c r="H246" s="23">
        <f>'3.pielikums'!B312</f>
        <v>14000</v>
      </c>
    </row>
    <row r="247" spans="1:8" ht="15" customHeight="1" x14ac:dyDescent="0.25">
      <c r="A247" s="1" t="s">
        <v>306</v>
      </c>
      <c r="B247" s="36" t="s">
        <v>307</v>
      </c>
      <c r="C247" s="37">
        <f t="shared" ref="C247:H247" si="21">C248+C256+C267+C275+C283+C285</f>
        <v>151400</v>
      </c>
      <c r="D247" s="37">
        <f>D248+D256+D267+D275+D283+D285</f>
        <v>7612132</v>
      </c>
      <c r="E247" s="37">
        <f t="shared" si="21"/>
        <v>367487</v>
      </c>
      <c r="F247" s="37">
        <f>F248+F256+F267+F275+F283+F285</f>
        <v>4861746</v>
      </c>
      <c r="G247" s="37">
        <f t="shared" si="21"/>
        <v>923934</v>
      </c>
      <c r="H247" s="23">
        <f t="shared" si="21"/>
        <v>13916699</v>
      </c>
    </row>
    <row r="248" spans="1:8" ht="15" customHeight="1" x14ac:dyDescent="0.25">
      <c r="A248" s="1"/>
      <c r="B248" s="36" t="s">
        <v>308</v>
      </c>
      <c r="C248" s="37">
        <f>SUM(C249:C254)</f>
        <v>0</v>
      </c>
      <c r="D248" s="37">
        <f>SUM(D249:D254)</f>
        <v>1572521</v>
      </c>
      <c r="E248" s="37">
        <f>SUM(E249:E254)</f>
        <v>99926</v>
      </c>
      <c r="F248" s="37">
        <f>SUM(F249:F254)</f>
        <v>269464</v>
      </c>
      <c r="G248" s="37">
        <f t="shared" ref="G248" si="22">SUM(G249:G254)</f>
        <v>0</v>
      </c>
      <c r="H248" s="23">
        <f>SUM(H249:H254)</f>
        <v>1941911</v>
      </c>
    </row>
    <row r="249" spans="1:8" ht="15" customHeight="1" x14ac:dyDescent="0.25">
      <c r="A249" s="47"/>
      <c r="B249" s="26" t="s">
        <v>37</v>
      </c>
      <c r="C249" s="56"/>
      <c r="D249" s="38">
        <f t="shared" ref="D249:D254" si="23">H249-E249-G249-F249-C249</f>
        <v>537690</v>
      </c>
      <c r="E249" s="38">
        <f>39000+2200</f>
        <v>41200</v>
      </c>
      <c r="F249" s="38">
        <f>143656+6896</f>
        <v>150552</v>
      </c>
      <c r="G249" s="38"/>
      <c r="H249" s="23">
        <f>'3.pielikums'!B221</f>
        <v>729442</v>
      </c>
    </row>
    <row r="250" spans="1:8" ht="15" customHeight="1" x14ac:dyDescent="0.25">
      <c r="A250" s="47"/>
      <c r="B250" s="26" t="s">
        <v>38</v>
      </c>
      <c r="C250" s="56"/>
      <c r="D250" s="38">
        <f t="shared" si="23"/>
        <v>383264</v>
      </c>
      <c r="E250" s="38">
        <f>25610+4500</f>
        <v>30110</v>
      </c>
      <c r="F250" s="38">
        <f>52608</f>
        <v>52608</v>
      </c>
      <c r="G250" s="38"/>
      <c r="H250" s="23">
        <f>'3.pielikums'!B222</f>
        <v>465982</v>
      </c>
    </row>
    <row r="251" spans="1:8" ht="15" customHeight="1" x14ac:dyDescent="0.25">
      <c r="A251" s="47"/>
      <c r="B251" s="26" t="s">
        <v>39</v>
      </c>
      <c r="C251" s="56"/>
      <c r="D251" s="38">
        <f t="shared" si="23"/>
        <v>82752</v>
      </c>
      <c r="E251" s="38">
        <f>1420+1900</f>
        <v>3320</v>
      </c>
      <c r="F251" s="38">
        <f>9256</f>
        <v>9256</v>
      </c>
      <c r="G251" s="38"/>
      <c r="H251" s="23">
        <f>'3.pielikums'!B223</f>
        <v>95328</v>
      </c>
    </row>
    <row r="252" spans="1:8" ht="15" customHeight="1" x14ac:dyDescent="0.25">
      <c r="A252" s="47"/>
      <c r="B252" s="26" t="s">
        <v>40</v>
      </c>
      <c r="C252" s="56"/>
      <c r="D252" s="38">
        <f t="shared" si="23"/>
        <v>246643</v>
      </c>
      <c r="E252" s="38">
        <f>12551+1875</f>
        <v>14426</v>
      </c>
      <c r="F252" s="38">
        <f>27328</f>
        <v>27328</v>
      </c>
      <c r="G252" s="38"/>
      <c r="H252" s="23">
        <f>'3.pielikums'!B224</f>
        <v>288397</v>
      </c>
    </row>
    <row r="253" spans="1:8" ht="30" customHeight="1" x14ac:dyDescent="0.25">
      <c r="A253" s="47"/>
      <c r="B253" s="19" t="s">
        <v>154</v>
      </c>
      <c r="C253" s="46"/>
      <c r="D253" s="38">
        <f t="shared" si="23"/>
        <v>180679</v>
      </c>
      <c r="E253" s="38">
        <f>5030+1440</f>
        <v>6470</v>
      </c>
      <c r="F253" s="38">
        <f>20904</f>
        <v>20904</v>
      </c>
      <c r="G253" s="38"/>
      <c r="H253" s="23">
        <f>'3.pielikums'!B225</f>
        <v>208053</v>
      </c>
    </row>
    <row r="254" spans="1:8" ht="30" customHeight="1" x14ac:dyDescent="0.25">
      <c r="A254" s="47"/>
      <c r="B254" s="19" t="s">
        <v>155</v>
      </c>
      <c r="C254" s="46"/>
      <c r="D254" s="38">
        <f t="shared" si="23"/>
        <v>141493</v>
      </c>
      <c r="E254" s="38">
        <f>3850+550</f>
        <v>4400</v>
      </c>
      <c r="F254" s="38">
        <f>8816</f>
        <v>8816</v>
      </c>
      <c r="G254" s="38"/>
      <c r="H254" s="23">
        <f>'3.pielikums'!B226</f>
        <v>154709</v>
      </c>
    </row>
    <row r="255" spans="1:8" ht="31.5" x14ac:dyDescent="0.25">
      <c r="A255" s="1"/>
      <c r="B255" s="62" t="s">
        <v>309</v>
      </c>
      <c r="C255" s="55"/>
      <c r="D255" s="38"/>
      <c r="E255" s="38"/>
      <c r="F255" s="38"/>
      <c r="G255" s="38"/>
      <c r="H255" s="23"/>
    </row>
    <row r="256" spans="1:8" ht="15" customHeight="1" x14ac:dyDescent="0.25">
      <c r="A256" s="1"/>
      <c r="B256" s="36" t="s">
        <v>310</v>
      </c>
      <c r="C256" s="37">
        <f t="shared" ref="C256:H256" si="24">SUM(C257:C266)</f>
        <v>0</v>
      </c>
      <c r="D256" s="37">
        <f t="shared" si="24"/>
        <v>1904680</v>
      </c>
      <c r="E256" s="37">
        <f t="shared" si="24"/>
        <v>60950</v>
      </c>
      <c r="F256" s="37">
        <f>SUM(F257:F266)</f>
        <v>1651376</v>
      </c>
      <c r="G256" s="37">
        <f t="shared" si="24"/>
        <v>0</v>
      </c>
      <c r="H256" s="23">
        <f t="shared" si="24"/>
        <v>3617006</v>
      </c>
    </row>
    <row r="257" spans="1:8" ht="15" customHeight="1" x14ac:dyDescent="0.25">
      <c r="A257" s="47"/>
      <c r="B257" s="26" t="s">
        <v>78</v>
      </c>
      <c r="C257" s="56"/>
      <c r="D257" s="38">
        <f t="shared" ref="D257:D323" si="25">H257-E257-G257-F257-C257</f>
        <v>354515</v>
      </c>
      <c r="E257" s="38">
        <f>1332+6047</f>
        <v>7379</v>
      </c>
      <c r="F257" s="38">
        <f>547688+12888+53949</f>
        <v>614525</v>
      </c>
      <c r="G257" s="38"/>
      <c r="H257" s="23">
        <f>'3.pielikums'!B227</f>
        <v>976419</v>
      </c>
    </row>
    <row r="258" spans="1:8" ht="15" customHeight="1" x14ac:dyDescent="0.25">
      <c r="A258" s="47"/>
      <c r="B258" s="26" t="s">
        <v>163</v>
      </c>
      <c r="C258" s="56"/>
      <c r="D258" s="38">
        <f t="shared" si="25"/>
        <v>315771</v>
      </c>
      <c r="E258" s="38">
        <f>43+9100+2125+1600</f>
        <v>12868</v>
      </c>
      <c r="F258" s="38">
        <f>78600+6104+11736+2693</f>
        <v>99133</v>
      </c>
      <c r="G258" s="38"/>
      <c r="H258" s="23">
        <f>'3.pielikums'!B228</f>
        <v>427772</v>
      </c>
    </row>
    <row r="259" spans="1:8" ht="30" customHeight="1" x14ac:dyDescent="0.25">
      <c r="A259" s="47"/>
      <c r="B259" s="41" t="s">
        <v>311</v>
      </c>
      <c r="C259" s="46"/>
      <c r="D259" s="38">
        <f t="shared" si="25"/>
        <v>40424</v>
      </c>
      <c r="E259" s="38">
        <f>2296+80+500</f>
        <v>2876</v>
      </c>
      <c r="F259" s="38"/>
      <c r="G259" s="38"/>
      <c r="H259" s="23">
        <f>'3.pielikums'!B229</f>
        <v>43300</v>
      </c>
    </row>
    <row r="260" spans="1:8" ht="15" customHeight="1" x14ac:dyDescent="0.25">
      <c r="A260" s="47"/>
      <c r="B260" s="26" t="s">
        <v>156</v>
      </c>
      <c r="C260" s="56"/>
      <c r="D260" s="38">
        <f t="shared" si="25"/>
        <v>197523</v>
      </c>
      <c r="E260" s="38">
        <f>4880+1175+1000</f>
        <v>7055</v>
      </c>
      <c r="F260" s="38">
        <f>195936+2712+10280+5019+55171</f>
        <v>269118</v>
      </c>
      <c r="G260" s="38"/>
      <c r="H260" s="23">
        <f>'3.pielikums'!B230</f>
        <v>473696</v>
      </c>
    </row>
    <row r="261" spans="1:8" ht="15" customHeight="1" x14ac:dyDescent="0.25">
      <c r="A261" s="47"/>
      <c r="B261" s="26" t="s">
        <v>41</v>
      </c>
      <c r="C261" s="56"/>
      <c r="D261" s="38">
        <f t="shared" si="25"/>
        <v>175023</v>
      </c>
      <c r="E261" s="38">
        <f>2574</f>
        <v>2574</v>
      </c>
      <c r="F261" s="38">
        <f>155368+3728+5189</f>
        <v>164285</v>
      </c>
      <c r="G261" s="38"/>
      <c r="H261" s="23">
        <f>'3.pielikums'!B231</f>
        <v>341882</v>
      </c>
    </row>
    <row r="262" spans="1:8" ht="15" customHeight="1" x14ac:dyDescent="0.25">
      <c r="A262" s="47"/>
      <c r="B262" s="26" t="s">
        <v>224</v>
      </c>
      <c r="C262" s="56"/>
      <c r="D262" s="38">
        <f t="shared" si="25"/>
        <v>257717</v>
      </c>
      <c r="E262" s="38">
        <f>3000+1500+1688+6300</f>
        <v>12488</v>
      </c>
      <c r="F262" s="38">
        <f>293784+6104+10054+27585</f>
        <v>337527</v>
      </c>
      <c r="G262" s="38"/>
      <c r="H262" s="23">
        <f>'3.pielikums'!B232</f>
        <v>607732</v>
      </c>
    </row>
    <row r="263" spans="1:8" ht="30" customHeight="1" x14ac:dyDescent="0.25">
      <c r="A263" s="47"/>
      <c r="B263" s="41" t="s">
        <v>627</v>
      </c>
      <c r="C263" s="46"/>
      <c r="D263" s="38">
        <f t="shared" si="25"/>
        <v>127025</v>
      </c>
      <c r="E263" s="38">
        <f>6500+1456</f>
        <v>7956</v>
      </c>
      <c r="F263" s="38">
        <f>14016</f>
        <v>14016</v>
      </c>
      <c r="G263" s="38"/>
      <c r="H263" s="23">
        <f>'3.pielikums'!B233</f>
        <v>148997</v>
      </c>
    </row>
    <row r="264" spans="1:8" ht="30" customHeight="1" x14ac:dyDescent="0.25">
      <c r="A264" s="47"/>
      <c r="B264" s="41" t="s">
        <v>225</v>
      </c>
      <c r="C264" s="46"/>
      <c r="D264" s="38">
        <f t="shared" si="25"/>
        <v>64724</v>
      </c>
      <c r="E264" s="38">
        <f>2819+500</f>
        <v>3319</v>
      </c>
      <c r="F264" s="38">
        <f>7512</f>
        <v>7512</v>
      </c>
      <c r="G264" s="38"/>
      <c r="H264" s="23">
        <f>'3.pielikums'!B234</f>
        <v>75555</v>
      </c>
    </row>
    <row r="265" spans="1:8" ht="15" customHeight="1" x14ac:dyDescent="0.25">
      <c r="A265" s="47"/>
      <c r="B265" s="19" t="s">
        <v>152</v>
      </c>
      <c r="C265" s="46"/>
      <c r="D265" s="38">
        <f t="shared" si="25"/>
        <v>246719</v>
      </c>
      <c r="E265" s="38">
        <f>675+2500</f>
        <v>3175</v>
      </c>
      <c r="F265" s="38">
        <f>126288+5424+7368+3312</f>
        <v>142392</v>
      </c>
      <c r="G265" s="38"/>
      <c r="H265" s="23">
        <f>'3.pielikums'!B235</f>
        <v>392286</v>
      </c>
    </row>
    <row r="266" spans="1:8" ht="15" customHeight="1" x14ac:dyDescent="0.25">
      <c r="A266" s="47"/>
      <c r="B266" s="26" t="s">
        <v>252</v>
      </c>
      <c r="C266" s="56"/>
      <c r="D266" s="38">
        <f t="shared" si="25"/>
        <v>125239</v>
      </c>
      <c r="E266" s="38">
        <f>1150+110</f>
        <v>1260</v>
      </c>
      <c r="F266" s="38">
        <f>2868</f>
        <v>2868</v>
      </c>
      <c r="G266" s="38"/>
      <c r="H266" s="23">
        <f>'3.pielikums'!B236</f>
        <v>129367</v>
      </c>
    </row>
    <row r="267" spans="1:8" ht="15" customHeight="1" x14ac:dyDescent="0.25">
      <c r="A267" s="1"/>
      <c r="B267" s="36" t="s">
        <v>312</v>
      </c>
      <c r="C267" s="37">
        <f t="shared" ref="C267:H267" si="26">SUM(C268:C274)</f>
        <v>0</v>
      </c>
      <c r="D267" s="37">
        <f t="shared" si="26"/>
        <v>2213763</v>
      </c>
      <c r="E267" s="37">
        <f t="shared" si="26"/>
        <v>85818</v>
      </c>
      <c r="F267" s="37">
        <f>SUM(F268:F274)</f>
        <v>1723549</v>
      </c>
      <c r="G267" s="37">
        <f t="shared" si="26"/>
        <v>0</v>
      </c>
      <c r="H267" s="23">
        <f t="shared" si="26"/>
        <v>4023130</v>
      </c>
    </row>
    <row r="268" spans="1:8" ht="15" customHeight="1" x14ac:dyDescent="0.25">
      <c r="A268" s="47"/>
      <c r="B268" s="26" t="s">
        <v>42</v>
      </c>
      <c r="C268" s="56"/>
      <c r="D268" s="38">
        <f t="shared" si="25"/>
        <v>411743</v>
      </c>
      <c r="E268" s="38">
        <f>15000+3000</f>
        <v>18000</v>
      </c>
      <c r="F268" s="38">
        <f>422144+5768</f>
        <v>427912</v>
      </c>
      <c r="G268" s="38"/>
      <c r="H268" s="23">
        <f>'3.pielikums'!B237</f>
        <v>857655</v>
      </c>
    </row>
    <row r="269" spans="1:8" ht="15" customHeight="1" x14ac:dyDescent="0.25">
      <c r="A269" s="47"/>
      <c r="B269" s="26" t="s">
        <v>160</v>
      </c>
      <c r="C269" s="56"/>
      <c r="D269" s="38">
        <f t="shared" si="25"/>
        <v>296052</v>
      </c>
      <c r="E269" s="38">
        <f>2000+3900+307</f>
        <v>6207</v>
      </c>
      <c r="F269" s="38">
        <f>218192+10848+8955</f>
        <v>237995</v>
      </c>
      <c r="G269" s="38"/>
      <c r="H269" s="23">
        <f>'3.pielikums'!B238</f>
        <v>540254</v>
      </c>
    </row>
    <row r="270" spans="1:8" ht="30" customHeight="1" x14ac:dyDescent="0.25">
      <c r="A270" s="47"/>
      <c r="B270" s="41" t="s">
        <v>654</v>
      </c>
      <c r="C270" s="46"/>
      <c r="D270" s="38">
        <f t="shared" si="25"/>
        <v>409235</v>
      </c>
      <c r="E270" s="38">
        <f>5829+7000+950</f>
        <v>13779</v>
      </c>
      <c r="F270" s="38">
        <f>223224+152480+9152</f>
        <v>384856</v>
      </c>
      <c r="G270" s="38"/>
      <c r="H270" s="23">
        <f>'3.pielikums'!B239</f>
        <v>807870</v>
      </c>
    </row>
    <row r="271" spans="1:8" ht="45.75" customHeight="1" x14ac:dyDescent="0.25">
      <c r="A271" s="47"/>
      <c r="B271" s="41" t="s">
        <v>655</v>
      </c>
      <c r="C271" s="46"/>
      <c r="D271" s="38">
        <f t="shared" si="25"/>
        <v>81842</v>
      </c>
      <c r="E271" s="38">
        <f>7000+13500</f>
        <v>20500</v>
      </c>
      <c r="F271" s="38">
        <f>13000</f>
        <v>13000</v>
      </c>
      <c r="G271" s="38"/>
      <c r="H271" s="23">
        <f>'3.pielikums'!B240</f>
        <v>115342</v>
      </c>
    </row>
    <row r="272" spans="1:8" ht="15" customHeight="1" x14ac:dyDescent="0.25">
      <c r="A272" s="47"/>
      <c r="B272" s="41" t="s">
        <v>159</v>
      </c>
      <c r="C272" s="46"/>
      <c r="D272" s="38">
        <f t="shared" si="25"/>
        <v>317226</v>
      </c>
      <c r="E272" s="38">
        <f>4066+800</f>
        <v>4866</v>
      </c>
      <c r="F272" s="38">
        <f>153136+5760+14640+7893+6896</f>
        <v>188325</v>
      </c>
      <c r="G272" s="38"/>
      <c r="H272" s="23">
        <f>'3.pielikums'!B241</f>
        <v>510417</v>
      </c>
    </row>
    <row r="273" spans="1:8" ht="15" customHeight="1" x14ac:dyDescent="0.25">
      <c r="A273" s="47"/>
      <c r="B273" s="41" t="s">
        <v>151</v>
      </c>
      <c r="C273" s="46"/>
      <c r="D273" s="38">
        <f t="shared" si="25"/>
        <v>321574</v>
      </c>
      <c r="E273" s="38">
        <f>4100+2201+1560+5440</f>
        <v>13301</v>
      </c>
      <c r="F273" s="38">
        <f>162264+7800+27656+6990</f>
        <v>204710</v>
      </c>
      <c r="G273" s="38"/>
      <c r="H273" s="23">
        <f>'3.pielikums'!B242</f>
        <v>539585</v>
      </c>
    </row>
    <row r="274" spans="1:8" ht="15" customHeight="1" x14ac:dyDescent="0.25">
      <c r="A274" s="47"/>
      <c r="B274" s="41" t="s">
        <v>164</v>
      </c>
      <c r="C274" s="46"/>
      <c r="D274" s="38">
        <f t="shared" si="25"/>
        <v>376091</v>
      </c>
      <c r="E274" s="38">
        <f>4255+1000+1660+2250</f>
        <v>9165</v>
      </c>
      <c r="F274" s="38">
        <f>226912+6800+25168+7871</f>
        <v>266751</v>
      </c>
      <c r="G274" s="38"/>
      <c r="H274" s="23">
        <f>'3.pielikums'!B243</f>
        <v>652007</v>
      </c>
    </row>
    <row r="275" spans="1:8" ht="30" customHeight="1" x14ac:dyDescent="0.25">
      <c r="A275" s="63"/>
      <c r="B275" s="62" t="s">
        <v>313</v>
      </c>
      <c r="C275" s="37">
        <f t="shared" ref="C275:H275" si="27">SUM(C276:C282)</f>
        <v>0</v>
      </c>
      <c r="D275" s="37">
        <f t="shared" si="27"/>
        <v>942332</v>
      </c>
      <c r="E275" s="37">
        <f t="shared" si="27"/>
        <v>114393</v>
      </c>
      <c r="F275" s="37">
        <f>SUM(F276:F282)</f>
        <v>755203</v>
      </c>
      <c r="G275" s="37">
        <f t="shared" si="27"/>
        <v>0</v>
      </c>
      <c r="H275" s="23">
        <f t="shared" si="27"/>
        <v>1811928</v>
      </c>
    </row>
    <row r="276" spans="1:8" ht="15" customHeight="1" x14ac:dyDescent="0.25">
      <c r="A276" s="47"/>
      <c r="B276" s="26" t="s">
        <v>43</v>
      </c>
      <c r="C276" s="56"/>
      <c r="D276" s="38">
        <f t="shared" si="25"/>
        <v>137020</v>
      </c>
      <c r="E276" s="38">
        <f>420+11745+800</f>
        <v>12965</v>
      </c>
      <c r="F276" s="38">
        <f>4744+261825</f>
        <v>266569</v>
      </c>
      <c r="G276" s="38"/>
      <c r="H276" s="23">
        <f>'3.pielikums'!B244</f>
        <v>416554</v>
      </c>
    </row>
    <row r="277" spans="1:8" ht="15" customHeight="1" x14ac:dyDescent="0.25">
      <c r="A277" s="47"/>
      <c r="B277" s="26" t="s">
        <v>44</v>
      </c>
      <c r="C277" s="56"/>
      <c r="D277" s="38">
        <f t="shared" si="25"/>
        <v>115866</v>
      </c>
      <c r="E277" s="38">
        <f>8268</f>
        <v>8268</v>
      </c>
      <c r="F277" s="38">
        <f>2032+32964</f>
        <v>34996</v>
      </c>
      <c r="G277" s="38"/>
      <c r="H277" s="23">
        <f>'3.pielikums'!B245</f>
        <v>159130</v>
      </c>
    </row>
    <row r="278" spans="1:8" ht="15" customHeight="1" x14ac:dyDescent="0.25">
      <c r="A278" s="47"/>
      <c r="B278" s="43" t="s">
        <v>158</v>
      </c>
      <c r="C278" s="46"/>
      <c r="D278" s="38">
        <f t="shared" si="25"/>
        <v>89984</v>
      </c>
      <c r="E278" s="38">
        <f>1600+25</f>
        <v>1625</v>
      </c>
      <c r="F278" s="38">
        <f>1352+51696</f>
        <v>53048</v>
      </c>
      <c r="G278" s="38"/>
      <c r="H278" s="23">
        <f>'3.pielikums'!B246</f>
        <v>144657</v>
      </c>
    </row>
    <row r="279" spans="1:8" ht="15" customHeight="1" x14ac:dyDescent="0.25">
      <c r="A279" s="47"/>
      <c r="B279" s="19" t="s">
        <v>150</v>
      </c>
      <c r="C279" s="46"/>
      <c r="D279" s="38">
        <f t="shared" si="25"/>
        <v>34098</v>
      </c>
      <c r="E279" s="38">
        <f>4100+396</f>
        <v>4496</v>
      </c>
      <c r="F279" s="38">
        <f>1352+88217</f>
        <v>89569</v>
      </c>
      <c r="G279" s="38"/>
      <c r="H279" s="23">
        <f>'3.pielikums'!B247</f>
        <v>128163</v>
      </c>
    </row>
    <row r="280" spans="1:8" ht="15" customHeight="1" x14ac:dyDescent="0.25">
      <c r="A280" s="47"/>
      <c r="B280" s="26" t="s">
        <v>45</v>
      </c>
      <c r="C280" s="56"/>
      <c r="D280" s="38">
        <f t="shared" si="25"/>
        <v>242479</v>
      </c>
      <c r="E280" s="38">
        <f>250+650+300</f>
        <v>1200</v>
      </c>
      <c r="F280" s="38">
        <f>2984+277541</f>
        <v>280525</v>
      </c>
      <c r="G280" s="38"/>
      <c r="H280" s="23">
        <f>'3.pielikums'!B248</f>
        <v>524204</v>
      </c>
    </row>
    <row r="281" spans="1:8" ht="15" customHeight="1" x14ac:dyDescent="0.25">
      <c r="A281" s="47"/>
      <c r="B281" s="26" t="s">
        <v>314</v>
      </c>
      <c r="C281" s="56"/>
      <c r="D281" s="38">
        <f t="shared" si="25"/>
        <v>137478</v>
      </c>
      <c r="E281" s="38">
        <f>687+82800</f>
        <v>83487</v>
      </c>
      <c r="F281" s="38"/>
      <c r="G281" s="38"/>
      <c r="H281" s="23">
        <f>'3.pielikums'!B249</f>
        <v>220965</v>
      </c>
    </row>
    <row r="282" spans="1:8" ht="15" customHeight="1" x14ac:dyDescent="0.25">
      <c r="A282" s="47"/>
      <c r="B282" s="26" t="s">
        <v>315</v>
      </c>
      <c r="C282" s="56"/>
      <c r="D282" s="38">
        <f t="shared" si="25"/>
        <v>185407</v>
      </c>
      <c r="E282" s="38">
        <f>1800+552</f>
        <v>2352</v>
      </c>
      <c r="F282" s="38">
        <f>30496</f>
        <v>30496</v>
      </c>
      <c r="G282" s="38"/>
      <c r="H282" s="23">
        <f>'3.pielikums'!B250</f>
        <v>218255</v>
      </c>
    </row>
    <row r="283" spans="1:8" ht="15" customHeight="1" x14ac:dyDescent="0.25">
      <c r="A283" s="1"/>
      <c r="B283" s="62" t="s">
        <v>316</v>
      </c>
      <c r="C283" s="37">
        <f t="shared" ref="C283:H283" si="28">C284</f>
        <v>0</v>
      </c>
      <c r="D283" s="37">
        <f t="shared" si="28"/>
        <v>271060</v>
      </c>
      <c r="E283" s="37">
        <f t="shared" si="28"/>
        <v>0</v>
      </c>
      <c r="F283" s="37">
        <f t="shared" si="28"/>
        <v>0</v>
      </c>
      <c r="G283" s="37">
        <f t="shared" si="28"/>
        <v>0</v>
      </c>
      <c r="H283" s="23">
        <f t="shared" si="28"/>
        <v>271060</v>
      </c>
    </row>
    <row r="284" spans="1:8" ht="15" customHeight="1" x14ac:dyDescent="0.25">
      <c r="A284" s="61"/>
      <c r="B284" s="43" t="s">
        <v>157</v>
      </c>
      <c r="C284" s="46"/>
      <c r="D284" s="38">
        <f t="shared" si="25"/>
        <v>271060</v>
      </c>
      <c r="E284" s="38"/>
      <c r="F284" s="38"/>
      <c r="G284" s="38"/>
      <c r="H284" s="23">
        <f>'3.pielikums'!B251</f>
        <v>271060</v>
      </c>
    </row>
    <row r="285" spans="1:8" ht="30" customHeight="1" x14ac:dyDescent="0.25">
      <c r="A285" s="49"/>
      <c r="B285" s="62" t="s">
        <v>317</v>
      </c>
      <c r="C285" s="37">
        <f t="shared" ref="C285:H285" si="29">SUM(C286:C318)</f>
        <v>151400</v>
      </c>
      <c r="D285" s="37">
        <f t="shared" si="29"/>
        <v>707776</v>
      </c>
      <c r="E285" s="37">
        <f t="shared" si="29"/>
        <v>6400</v>
      </c>
      <c r="F285" s="37">
        <f t="shared" si="29"/>
        <v>462154</v>
      </c>
      <c r="G285" s="37">
        <f t="shared" si="29"/>
        <v>923934</v>
      </c>
      <c r="H285" s="23">
        <f t="shared" si="29"/>
        <v>2251664</v>
      </c>
    </row>
    <row r="286" spans="1:8" ht="15" customHeight="1" x14ac:dyDescent="0.25">
      <c r="A286" s="26"/>
      <c r="B286" s="41" t="s">
        <v>167</v>
      </c>
      <c r="C286" s="46"/>
      <c r="D286" s="38">
        <f t="shared" si="25"/>
        <v>57449</v>
      </c>
      <c r="E286" s="38">
        <f>5000</f>
        <v>5000</v>
      </c>
      <c r="F286" s="38"/>
      <c r="G286" s="38"/>
      <c r="H286" s="23">
        <f>'3.pielikums'!B252</f>
        <v>62449</v>
      </c>
    </row>
    <row r="287" spans="1:8" ht="15" customHeight="1" x14ac:dyDescent="0.25">
      <c r="A287" s="47"/>
      <c r="B287" s="26" t="s">
        <v>295</v>
      </c>
      <c r="C287" s="56"/>
      <c r="D287" s="38">
        <f t="shared" si="25"/>
        <v>12286</v>
      </c>
      <c r="E287" s="38"/>
      <c r="F287" s="38"/>
      <c r="G287" s="38"/>
      <c r="H287" s="23">
        <f>'3.pielikums'!B185</f>
        <v>12286</v>
      </c>
    </row>
    <row r="288" spans="1:8" ht="15" customHeight="1" x14ac:dyDescent="0.25">
      <c r="A288" s="47"/>
      <c r="B288" s="19" t="s">
        <v>62</v>
      </c>
      <c r="C288" s="46"/>
      <c r="D288" s="38">
        <f t="shared" si="25"/>
        <v>928</v>
      </c>
      <c r="E288" s="38"/>
      <c r="F288" s="38">
        <v>11861</v>
      </c>
      <c r="G288" s="38"/>
      <c r="H288" s="23">
        <f>'3.pielikums'!B253</f>
        <v>12789</v>
      </c>
    </row>
    <row r="289" spans="1:8" ht="15" customHeight="1" x14ac:dyDescent="0.25">
      <c r="A289" s="47"/>
      <c r="B289" s="44" t="s">
        <v>201</v>
      </c>
      <c r="C289" s="46"/>
      <c r="D289" s="38">
        <f t="shared" si="25"/>
        <v>23294</v>
      </c>
      <c r="E289" s="38"/>
      <c r="F289" s="38"/>
      <c r="G289" s="38"/>
      <c r="H289" s="23">
        <f>'3.pielikums'!B254</f>
        <v>23294</v>
      </c>
    </row>
    <row r="290" spans="1:8" ht="30" customHeight="1" x14ac:dyDescent="0.25">
      <c r="A290" s="47"/>
      <c r="B290" s="51" t="s">
        <v>186</v>
      </c>
      <c r="C290" s="46"/>
      <c r="D290" s="38">
        <f t="shared" si="25"/>
        <v>20596</v>
      </c>
      <c r="E290" s="38"/>
      <c r="F290" s="38"/>
      <c r="G290" s="38"/>
      <c r="H290" s="23">
        <f>'3.pielikums'!B255</f>
        <v>20596</v>
      </c>
    </row>
    <row r="291" spans="1:8" ht="15" customHeight="1" x14ac:dyDescent="0.25">
      <c r="A291" s="26"/>
      <c r="B291" s="51" t="s">
        <v>187</v>
      </c>
      <c r="C291" s="46"/>
      <c r="D291" s="38">
        <f t="shared" si="25"/>
        <v>24098</v>
      </c>
      <c r="E291" s="38"/>
      <c r="F291" s="38"/>
      <c r="G291" s="38"/>
      <c r="H291" s="23">
        <f>'3.pielikums'!B256</f>
        <v>24098</v>
      </c>
    </row>
    <row r="292" spans="1:8" ht="15" customHeight="1" x14ac:dyDescent="0.25">
      <c r="A292" s="26"/>
      <c r="B292" s="51" t="s">
        <v>183</v>
      </c>
      <c r="C292" s="46"/>
      <c r="D292" s="38">
        <f t="shared" si="25"/>
        <v>23863</v>
      </c>
      <c r="E292" s="38"/>
      <c r="F292" s="38"/>
      <c r="G292" s="38"/>
      <c r="H292" s="23">
        <f>'3.pielikums'!B257</f>
        <v>23863</v>
      </c>
    </row>
    <row r="293" spans="1:8" ht="15" customHeight="1" x14ac:dyDescent="0.25">
      <c r="A293" s="26"/>
      <c r="B293" s="51" t="s">
        <v>204</v>
      </c>
      <c r="C293" s="46"/>
      <c r="D293" s="38">
        <f t="shared" si="25"/>
        <v>22060</v>
      </c>
      <c r="E293" s="38"/>
      <c r="F293" s="38"/>
      <c r="G293" s="38"/>
      <c r="H293" s="23">
        <f>'3.pielikums'!B258</f>
        <v>22060</v>
      </c>
    </row>
    <row r="294" spans="1:8" ht="15" customHeight="1" x14ac:dyDescent="0.25">
      <c r="A294" s="26"/>
      <c r="B294" s="51" t="s">
        <v>185</v>
      </c>
      <c r="C294" s="46"/>
      <c r="D294" s="38">
        <f t="shared" si="25"/>
        <v>21883</v>
      </c>
      <c r="E294" s="38"/>
      <c r="F294" s="38"/>
      <c r="G294" s="38"/>
      <c r="H294" s="23">
        <f>'3.pielikums'!B259</f>
        <v>21883</v>
      </c>
    </row>
    <row r="295" spans="1:8" ht="15" customHeight="1" x14ac:dyDescent="0.25">
      <c r="A295" s="26"/>
      <c r="B295" s="52" t="s">
        <v>193</v>
      </c>
      <c r="C295" s="46"/>
      <c r="D295" s="38">
        <f t="shared" si="25"/>
        <v>92220</v>
      </c>
      <c r="E295" s="38"/>
      <c r="F295" s="38"/>
      <c r="G295" s="38"/>
      <c r="H295" s="23">
        <f>'3.pielikums'!B260</f>
        <v>92220</v>
      </c>
    </row>
    <row r="296" spans="1:8" ht="15" customHeight="1" x14ac:dyDescent="0.25">
      <c r="A296" s="26"/>
      <c r="B296" s="51" t="s">
        <v>621</v>
      </c>
      <c r="C296" s="46"/>
      <c r="D296" s="38">
        <f t="shared" si="25"/>
        <v>31814</v>
      </c>
      <c r="E296" s="38">
        <v>200</v>
      </c>
      <c r="F296" s="38"/>
      <c r="G296" s="38"/>
      <c r="H296" s="23">
        <f>'3.pielikums'!B261</f>
        <v>32014</v>
      </c>
    </row>
    <row r="297" spans="1:8" ht="15" customHeight="1" x14ac:dyDescent="0.25">
      <c r="A297" s="26"/>
      <c r="B297" s="51" t="s">
        <v>149</v>
      </c>
      <c r="C297" s="46"/>
      <c r="D297" s="38">
        <f t="shared" si="25"/>
        <v>27161</v>
      </c>
      <c r="E297" s="38">
        <v>900</v>
      </c>
      <c r="F297" s="38"/>
      <c r="G297" s="38"/>
      <c r="H297" s="23">
        <f>'3.pielikums'!B262</f>
        <v>28061</v>
      </c>
    </row>
    <row r="298" spans="1:8" ht="15" customHeight="1" x14ac:dyDescent="0.25">
      <c r="A298" s="26"/>
      <c r="B298" s="51" t="s">
        <v>206</v>
      </c>
      <c r="C298" s="46"/>
      <c r="D298" s="38">
        <f t="shared" si="25"/>
        <v>35185</v>
      </c>
      <c r="E298" s="38"/>
      <c r="F298" s="38"/>
      <c r="G298" s="38"/>
      <c r="H298" s="23">
        <f>'3.pielikums'!B263</f>
        <v>35185</v>
      </c>
    </row>
    <row r="299" spans="1:8" ht="15" customHeight="1" x14ac:dyDescent="0.25">
      <c r="A299" s="26"/>
      <c r="B299" s="51" t="s">
        <v>200</v>
      </c>
      <c r="C299" s="46"/>
      <c r="D299" s="38">
        <f t="shared" si="25"/>
        <v>21535</v>
      </c>
      <c r="E299" s="38"/>
      <c r="F299" s="38"/>
      <c r="G299" s="38"/>
      <c r="H299" s="23">
        <f>'3.pielikums'!B264</f>
        <v>21535</v>
      </c>
    </row>
    <row r="300" spans="1:8" ht="15" customHeight="1" x14ac:dyDescent="0.25">
      <c r="A300" s="26"/>
      <c r="B300" s="51" t="s">
        <v>202</v>
      </c>
      <c r="C300" s="46"/>
      <c r="D300" s="38">
        <f t="shared" si="25"/>
        <v>19542</v>
      </c>
      <c r="E300" s="38">
        <v>300</v>
      </c>
      <c r="F300" s="38"/>
      <c r="G300" s="38"/>
      <c r="H300" s="23">
        <f>'3.pielikums'!B265</f>
        <v>19842</v>
      </c>
    </row>
    <row r="301" spans="1:8" ht="15" customHeight="1" x14ac:dyDescent="0.25">
      <c r="A301" s="26"/>
      <c r="B301" s="51" t="s">
        <v>192</v>
      </c>
      <c r="C301" s="46"/>
      <c r="D301" s="38">
        <f t="shared" si="25"/>
        <v>40624.000000000015</v>
      </c>
      <c r="E301" s="38"/>
      <c r="F301" s="38"/>
      <c r="G301" s="38">
        <f>141328/1.1</f>
        <v>128479.99999999999</v>
      </c>
      <c r="H301" s="23">
        <f>'3.pielikums'!B266</f>
        <v>169104</v>
      </c>
    </row>
    <row r="302" spans="1:8" ht="15" customHeight="1" x14ac:dyDescent="0.25">
      <c r="A302" s="26"/>
      <c r="B302" s="41" t="s">
        <v>46</v>
      </c>
      <c r="C302" s="46"/>
      <c r="D302" s="38">
        <f t="shared" si="25"/>
        <v>8000</v>
      </c>
      <c r="E302" s="38"/>
      <c r="F302" s="38"/>
      <c r="G302" s="38"/>
      <c r="H302" s="23">
        <f>'3.pielikums'!B267</f>
        <v>8000</v>
      </c>
    </row>
    <row r="303" spans="1:8" ht="30" customHeight="1" x14ac:dyDescent="0.25">
      <c r="A303" s="26"/>
      <c r="B303" s="43" t="s">
        <v>76</v>
      </c>
      <c r="C303" s="46"/>
      <c r="D303" s="38">
        <f>H303-E303-G303-F303-C303</f>
        <v>151350</v>
      </c>
      <c r="E303" s="38"/>
      <c r="F303" s="38"/>
      <c r="G303" s="38"/>
      <c r="H303" s="23">
        <f>'3.pielikums'!B268</f>
        <v>151350</v>
      </c>
    </row>
    <row r="304" spans="1:8" ht="30" customHeight="1" x14ac:dyDescent="0.25">
      <c r="A304" s="26"/>
      <c r="B304" s="43" t="s">
        <v>59</v>
      </c>
      <c r="C304" s="46">
        <v>4999</v>
      </c>
      <c r="D304" s="38">
        <f t="shared" si="25"/>
        <v>0</v>
      </c>
      <c r="E304" s="38"/>
      <c r="F304" s="38"/>
      <c r="G304" s="38"/>
      <c r="H304" s="23">
        <f>'3.pielikums'!B269</f>
        <v>4999</v>
      </c>
    </row>
    <row r="305" spans="1:8" ht="30" customHeight="1" x14ac:dyDescent="0.25">
      <c r="A305" s="61"/>
      <c r="B305" s="43" t="s">
        <v>218</v>
      </c>
      <c r="C305" s="46">
        <v>58699</v>
      </c>
      <c r="D305" s="38">
        <f t="shared" si="25"/>
        <v>0</v>
      </c>
      <c r="E305" s="38"/>
      <c r="F305" s="38">
        <v>2760</v>
      </c>
      <c r="G305" s="38"/>
      <c r="H305" s="23">
        <f>'3.pielikums'!B270</f>
        <v>61459</v>
      </c>
    </row>
    <row r="306" spans="1:8" ht="30" customHeight="1" x14ac:dyDescent="0.25">
      <c r="A306" s="61"/>
      <c r="B306" s="19" t="s">
        <v>153</v>
      </c>
      <c r="C306" s="46">
        <v>56655</v>
      </c>
      <c r="D306" s="38">
        <f t="shared" si="25"/>
        <v>0</v>
      </c>
      <c r="E306" s="38"/>
      <c r="F306" s="38">
        <v>20000</v>
      </c>
      <c r="G306" s="38"/>
      <c r="H306" s="23">
        <f>'3.pielikums'!B271</f>
        <v>76655</v>
      </c>
    </row>
    <row r="307" spans="1:8" ht="15" customHeight="1" x14ac:dyDescent="0.25">
      <c r="A307" s="61"/>
      <c r="B307" s="19" t="s">
        <v>240</v>
      </c>
      <c r="C307" s="46">
        <v>2150</v>
      </c>
      <c r="D307" s="38">
        <f t="shared" si="25"/>
        <v>0</v>
      </c>
      <c r="E307" s="38"/>
      <c r="F307" s="38"/>
      <c r="G307" s="38"/>
      <c r="H307" s="23">
        <f>'3.pielikums'!B272</f>
        <v>2150</v>
      </c>
    </row>
    <row r="308" spans="1:8" ht="30" customHeight="1" x14ac:dyDescent="0.25">
      <c r="A308" s="61"/>
      <c r="B308" s="19" t="s">
        <v>628</v>
      </c>
      <c r="C308" s="46">
        <v>2585</v>
      </c>
      <c r="D308" s="38">
        <f t="shared" si="25"/>
        <v>1830</v>
      </c>
      <c r="E308" s="38"/>
      <c r="F308" s="38"/>
      <c r="G308" s="38"/>
      <c r="H308" s="23">
        <f>'3.pielikums'!B273</f>
        <v>4415</v>
      </c>
    </row>
    <row r="309" spans="1:8" ht="62.1" customHeight="1" x14ac:dyDescent="0.25">
      <c r="A309" s="61"/>
      <c r="B309" s="19" t="s">
        <v>629</v>
      </c>
      <c r="C309" s="46">
        <v>2326</v>
      </c>
      <c r="D309" s="38">
        <f t="shared" si="25"/>
        <v>5785</v>
      </c>
      <c r="E309" s="38"/>
      <c r="F309" s="38"/>
      <c r="G309" s="38"/>
      <c r="H309" s="23">
        <f>'3.pielikums'!B274</f>
        <v>8111</v>
      </c>
    </row>
    <row r="310" spans="1:8" ht="62.1" customHeight="1" x14ac:dyDescent="0.25">
      <c r="A310" s="61"/>
      <c r="B310" s="19" t="s">
        <v>630</v>
      </c>
      <c r="C310" s="46">
        <v>4370</v>
      </c>
      <c r="D310" s="38">
        <f t="shared" si="25"/>
        <v>0</v>
      </c>
      <c r="E310" s="38"/>
      <c r="F310" s="38"/>
      <c r="G310" s="38"/>
      <c r="H310" s="23">
        <f>'3.pielikums'!B275</f>
        <v>4370</v>
      </c>
    </row>
    <row r="311" spans="1:8" ht="45" customHeight="1" x14ac:dyDescent="0.25">
      <c r="A311" s="61"/>
      <c r="B311" s="19" t="s">
        <v>253</v>
      </c>
      <c r="C311" s="46">
        <v>388</v>
      </c>
      <c r="D311" s="38">
        <f t="shared" si="25"/>
        <v>6235</v>
      </c>
      <c r="E311" s="38"/>
      <c r="F311" s="38">
        <v>8966</v>
      </c>
      <c r="G311" s="38"/>
      <c r="H311" s="23">
        <f>'3.pielikums'!B276</f>
        <v>15589</v>
      </c>
    </row>
    <row r="312" spans="1:8" ht="30" customHeight="1" x14ac:dyDescent="0.25">
      <c r="A312" s="61"/>
      <c r="B312" s="19" t="s">
        <v>239</v>
      </c>
      <c r="C312" s="46">
        <v>16490</v>
      </c>
      <c r="D312" s="38">
        <f t="shared" si="25"/>
        <v>1303</v>
      </c>
      <c r="E312" s="38"/>
      <c r="F312" s="38"/>
      <c r="G312" s="38"/>
      <c r="H312" s="23">
        <f>'3.pielikums'!B277</f>
        <v>17793</v>
      </c>
    </row>
    <row r="313" spans="1:8" ht="45" customHeight="1" x14ac:dyDescent="0.25">
      <c r="A313" s="61"/>
      <c r="B313" s="50" t="s">
        <v>589</v>
      </c>
      <c r="C313" s="46"/>
      <c r="D313" s="38">
        <f t="shared" si="25"/>
        <v>6975</v>
      </c>
      <c r="E313" s="38"/>
      <c r="F313" s="38">
        <v>26521</v>
      </c>
      <c r="G313" s="38"/>
      <c r="H313" s="23">
        <f>'3.pielikums'!B278</f>
        <v>33496</v>
      </c>
    </row>
    <row r="314" spans="1:8" ht="45" customHeight="1" x14ac:dyDescent="0.25">
      <c r="A314" s="61"/>
      <c r="B314" s="50" t="s">
        <v>254</v>
      </c>
      <c r="C314" s="46">
        <v>2738</v>
      </c>
      <c r="D314" s="38">
        <f t="shared" si="25"/>
        <v>0</v>
      </c>
      <c r="E314" s="38"/>
      <c r="F314" s="38">
        <v>8712</v>
      </c>
      <c r="G314" s="38"/>
      <c r="H314" s="23">
        <f>'3.pielikums'!B279</f>
        <v>11450</v>
      </c>
    </row>
    <row r="315" spans="1:8" ht="45" customHeight="1" x14ac:dyDescent="0.25">
      <c r="A315" s="61"/>
      <c r="B315" s="50" t="s">
        <v>658</v>
      </c>
      <c r="C315" s="46"/>
      <c r="D315" s="38">
        <f t="shared" si="25"/>
        <v>0</v>
      </c>
      <c r="E315" s="38"/>
      <c r="F315" s="38">
        <v>2000</v>
      </c>
      <c r="G315" s="38"/>
      <c r="H315" s="23">
        <f>'3.pielikums'!B314</f>
        <v>2000</v>
      </c>
    </row>
    <row r="316" spans="1:8" ht="15" customHeight="1" x14ac:dyDescent="0.25">
      <c r="A316" s="61"/>
      <c r="B316" s="43" t="s">
        <v>245</v>
      </c>
      <c r="C316" s="46"/>
      <c r="D316" s="38">
        <f t="shared" si="25"/>
        <v>51760</v>
      </c>
      <c r="E316" s="38"/>
      <c r="F316" s="38"/>
      <c r="G316" s="38"/>
      <c r="H316" s="23">
        <f>'3.pielikums'!B280</f>
        <v>51760</v>
      </c>
    </row>
    <row r="317" spans="1:8" ht="30" customHeight="1" x14ac:dyDescent="0.25">
      <c r="A317" s="61"/>
      <c r="B317" s="43" t="s">
        <v>241</v>
      </c>
      <c r="C317" s="46"/>
      <c r="D317" s="38">
        <f t="shared" si="25"/>
        <v>0</v>
      </c>
      <c r="E317" s="38"/>
      <c r="F317" s="38">
        <v>244109</v>
      </c>
      <c r="G317" s="38">
        <v>551892</v>
      </c>
      <c r="H317" s="23">
        <f>'3.pielikums'!B281</f>
        <v>796001</v>
      </c>
    </row>
    <row r="318" spans="1:8" ht="30" customHeight="1" x14ac:dyDescent="0.25">
      <c r="A318" s="61"/>
      <c r="B318" s="43" t="s">
        <v>244</v>
      </c>
      <c r="C318" s="46"/>
      <c r="D318" s="38">
        <f t="shared" si="25"/>
        <v>0</v>
      </c>
      <c r="E318" s="38"/>
      <c r="F318" s="38">
        <v>137225</v>
      </c>
      <c r="G318" s="38">
        <v>243562</v>
      </c>
      <c r="H318" s="23">
        <f>'3.pielikums'!B282</f>
        <v>380787</v>
      </c>
    </row>
    <row r="319" spans="1:8" ht="15" customHeight="1" x14ac:dyDescent="0.25">
      <c r="A319" s="1" t="s">
        <v>318</v>
      </c>
      <c r="B319" s="36" t="s">
        <v>319</v>
      </c>
      <c r="C319" s="37">
        <f t="shared" ref="C319:H319" si="30">C320+C321</f>
        <v>40119</v>
      </c>
      <c r="D319" s="37">
        <f t="shared" si="30"/>
        <v>2612312</v>
      </c>
      <c r="E319" s="37">
        <f t="shared" si="30"/>
        <v>1539641</v>
      </c>
      <c r="F319" s="37">
        <f t="shared" si="30"/>
        <v>1840643</v>
      </c>
      <c r="G319" s="37">
        <f t="shared" si="30"/>
        <v>0</v>
      </c>
      <c r="H319" s="23">
        <f t="shared" si="30"/>
        <v>6032715</v>
      </c>
    </row>
    <row r="320" spans="1:8" ht="15" customHeight="1" x14ac:dyDescent="0.25">
      <c r="A320" s="1"/>
      <c r="B320" s="26" t="s">
        <v>48</v>
      </c>
      <c r="C320" s="56"/>
      <c r="D320" s="38">
        <f t="shared" si="25"/>
        <v>226717</v>
      </c>
      <c r="E320" s="38">
        <v>11000</v>
      </c>
      <c r="F320" s="38"/>
      <c r="G320" s="38"/>
      <c r="H320" s="23">
        <f>'3.pielikums'!B283</f>
        <v>237717</v>
      </c>
    </row>
    <row r="321" spans="1:8" ht="30" customHeight="1" x14ac:dyDescent="0.25">
      <c r="A321" s="49"/>
      <c r="B321" s="62" t="s">
        <v>320</v>
      </c>
      <c r="C321" s="37">
        <f t="shared" ref="C321:H321" si="31">SUM(C322:C340)</f>
        <v>40119</v>
      </c>
      <c r="D321" s="37">
        <f t="shared" si="31"/>
        <v>2385595</v>
      </c>
      <c r="E321" s="37">
        <f t="shared" si="31"/>
        <v>1528641</v>
      </c>
      <c r="F321" s="37">
        <f>SUM(F322:F340)</f>
        <v>1840643</v>
      </c>
      <c r="G321" s="37">
        <f t="shared" si="31"/>
        <v>0</v>
      </c>
      <c r="H321" s="23">
        <f t="shared" si="31"/>
        <v>5794998</v>
      </c>
    </row>
    <row r="322" spans="1:8" ht="15" customHeight="1" x14ac:dyDescent="0.25">
      <c r="A322" s="1"/>
      <c r="B322" s="26" t="s">
        <v>177</v>
      </c>
      <c r="C322" s="56"/>
      <c r="D322" s="38">
        <f t="shared" si="25"/>
        <v>648189</v>
      </c>
      <c r="E322" s="38">
        <f>25190+3000+400</f>
        <v>28590</v>
      </c>
      <c r="F322" s="38"/>
      <c r="G322" s="38"/>
      <c r="H322" s="23">
        <f>'3.pielikums'!B284</f>
        <v>676779</v>
      </c>
    </row>
    <row r="323" spans="1:8" ht="15" customHeight="1" x14ac:dyDescent="0.25">
      <c r="A323" s="1"/>
      <c r="B323" s="26" t="s">
        <v>227</v>
      </c>
      <c r="C323" s="56"/>
      <c r="D323" s="38">
        <f t="shared" si="25"/>
        <v>648939</v>
      </c>
      <c r="E323" s="38"/>
      <c r="F323" s="38">
        <f>25441+53978+231715</f>
        <v>311134</v>
      </c>
      <c r="G323" s="38"/>
      <c r="H323" s="23">
        <f>'3.pielikums'!B285</f>
        <v>960073</v>
      </c>
    </row>
    <row r="324" spans="1:8" ht="15" customHeight="1" x14ac:dyDescent="0.25">
      <c r="A324" s="1"/>
      <c r="B324" s="26" t="s">
        <v>171</v>
      </c>
      <c r="C324" s="56"/>
      <c r="D324" s="38">
        <f t="shared" ref="D324:D340" si="32">H324-E324-G324-F324-C324</f>
        <v>19690</v>
      </c>
      <c r="E324" s="38"/>
      <c r="F324" s="38"/>
      <c r="G324" s="38"/>
      <c r="H324" s="23">
        <f>'3.pielikums'!B286</f>
        <v>19690</v>
      </c>
    </row>
    <row r="325" spans="1:8" ht="15" customHeight="1" x14ac:dyDescent="0.25">
      <c r="A325" s="1"/>
      <c r="B325" s="26" t="s">
        <v>49</v>
      </c>
      <c r="C325" s="56"/>
      <c r="D325" s="38">
        <f t="shared" si="32"/>
        <v>11213</v>
      </c>
      <c r="E325" s="38">
        <f>10600</f>
        <v>10600</v>
      </c>
      <c r="F325" s="38"/>
      <c r="G325" s="38"/>
      <c r="H325" s="23">
        <f>'3.pielikums'!B287</f>
        <v>21813</v>
      </c>
    </row>
    <row r="326" spans="1:8" ht="15" customHeight="1" x14ac:dyDescent="0.25">
      <c r="A326" s="1"/>
      <c r="B326" s="26" t="s">
        <v>61</v>
      </c>
      <c r="C326" s="56"/>
      <c r="D326" s="38">
        <f t="shared" si="32"/>
        <v>143002</v>
      </c>
      <c r="E326" s="38">
        <f>2910</f>
        <v>2910</v>
      </c>
      <c r="F326" s="38">
        <v>828</v>
      </c>
      <c r="G326" s="38"/>
      <c r="H326" s="23">
        <f>'3.pielikums'!B288</f>
        <v>146740</v>
      </c>
    </row>
    <row r="327" spans="1:8" ht="15" customHeight="1" x14ac:dyDescent="0.25">
      <c r="A327" s="47"/>
      <c r="B327" s="26" t="s">
        <v>47</v>
      </c>
      <c r="C327" s="56"/>
      <c r="D327" s="38">
        <f t="shared" si="32"/>
        <v>686088</v>
      </c>
      <c r="E327" s="38">
        <f>2700+9000+884800+12000+2000</f>
        <v>910500</v>
      </c>
      <c r="F327" s="38">
        <f>23256</f>
        <v>23256</v>
      </c>
      <c r="G327" s="38"/>
      <c r="H327" s="23">
        <f>'3.pielikums'!B289</f>
        <v>1619844</v>
      </c>
    </row>
    <row r="328" spans="1:8" ht="15" customHeight="1" x14ac:dyDescent="0.25">
      <c r="A328" s="47"/>
      <c r="B328" s="41" t="s">
        <v>121</v>
      </c>
      <c r="C328" s="46"/>
      <c r="D328" s="38">
        <f t="shared" si="32"/>
        <v>125376</v>
      </c>
      <c r="E328" s="38">
        <f>147580+2314</f>
        <v>149894</v>
      </c>
      <c r="F328" s="38">
        <f>7752+16650</f>
        <v>24402</v>
      </c>
      <c r="G328" s="38"/>
      <c r="H328" s="23">
        <f>'3.pielikums'!B290</f>
        <v>299672</v>
      </c>
    </row>
    <row r="329" spans="1:8" ht="15" customHeight="1" x14ac:dyDescent="0.25">
      <c r="A329" s="47"/>
      <c r="B329" s="48" t="s">
        <v>123</v>
      </c>
      <c r="C329" s="46"/>
      <c r="D329" s="38">
        <f t="shared" si="32"/>
        <v>3573</v>
      </c>
      <c r="E329" s="38">
        <f>172055+1850</f>
        <v>173905</v>
      </c>
      <c r="F329" s="38">
        <f>12000</f>
        <v>12000</v>
      </c>
      <c r="G329" s="38"/>
      <c r="H329" s="23">
        <f>'3.pielikums'!B291</f>
        <v>189478</v>
      </c>
    </row>
    <row r="330" spans="1:8" ht="15" customHeight="1" x14ac:dyDescent="0.25">
      <c r="A330" s="47"/>
      <c r="B330" s="48" t="s">
        <v>122</v>
      </c>
      <c r="C330" s="46"/>
      <c r="D330" s="38">
        <f t="shared" si="32"/>
        <v>26452</v>
      </c>
      <c r="E330" s="38">
        <f>227440+1250</f>
        <v>228690</v>
      </c>
      <c r="F330" s="38">
        <f>15500</f>
        <v>15500</v>
      </c>
      <c r="G330" s="38"/>
      <c r="H330" s="23">
        <f>'3.pielikums'!B292</f>
        <v>270642</v>
      </c>
    </row>
    <row r="331" spans="1:8" ht="30" customHeight="1" x14ac:dyDescent="0.25">
      <c r="A331" s="47"/>
      <c r="B331" s="43" t="s">
        <v>79</v>
      </c>
      <c r="C331" s="46"/>
      <c r="D331" s="38">
        <f t="shared" si="32"/>
        <v>0</v>
      </c>
      <c r="E331" s="38">
        <f>2502+10796</f>
        <v>13298</v>
      </c>
      <c r="F331" s="38">
        <v>298623</v>
      </c>
      <c r="G331" s="38"/>
      <c r="H331" s="23">
        <f>'3.pielikums'!B293</f>
        <v>311921</v>
      </c>
    </row>
    <row r="332" spans="1:8" ht="30" customHeight="1" x14ac:dyDescent="0.25">
      <c r="A332" s="47"/>
      <c r="B332" s="50" t="s">
        <v>178</v>
      </c>
      <c r="C332" s="46"/>
      <c r="D332" s="38">
        <f t="shared" si="32"/>
        <v>31534</v>
      </c>
      <c r="E332" s="38"/>
      <c r="F332" s="38">
        <v>49643</v>
      </c>
      <c r="G332" s="38"/>
      <c r="H332" s="23">
        <f>'3.pielikums'!B294</f>
        <v>81177</v>
      </c>
    </row>
    <row r="333" spans="1:8" ht="30" customHeight="1" x14ac:dyDescent="0.25">
      <c r="A333" s="47"/>
      <c r="B333" s="19" t="s">
        <v>179</v>
      </c>
      <c r="C333" s="46"/>
      <c r="D333" s="38">
        <f t="shared" si="32"/>
        <v>21187</v>
      </c>
      <c r="E333" s="38">
        <f>9034</f>
        <v>9034</v>
      </c>
      <c r="F333" s="38">
        <v>101834</v>
      </c>
      <c r="G333" s="38"/>
      <c r="H333" s="23">
        <f>'3.pielikums'!B295</f>
        <v>132055</v>
      </c>
    </row>
    <row r="334" spans="1:8" ht="30" customHeight="1" x14ac:dyDescent="0.25">
      <c r="A334" s="47"/>
      <c r="B334" s="50" t="s">
        <v>161</v>
      </c>
      <c r="C334" s="46"/>
      <c r="D334" s="38">
        <f t="shared" si="32"/>
        <v>4935</v>
      </c>
      <c r="E334" s="38">
        <f>600</f>
        <v>600</v>
      </c>
      <c r="F334" s="38"/>
      <c r="G334" s="38"/>
      <c r="H334" s="23">
        <f>'3.pielikums'!B296</f>
        <v>5535</v>
      </c>
    </row>
    <row r="335" spans="1:8" ht="30" customHeight="1" x14ac:dyDescent="0.25">
      <c r="A335" s="47"/>
      <c r="B335" s="50" t="s">
        <v>588</v>
      </c>
      <c r="C335" s="46"/>
      <c r="D335" s="38">
        <f t="shared" si="32"/>
        <v>0</v>
      </c>
      <c r="E335" s="38">
        <f>620</f>
        <v>620</v>
      </c>
      <c r="F335" s="38"/>
      <c r="G335" s="38"/>
      <c r="H335" s="23">
        <f>'3.pielikums'!B297</f>
        <v>620</v>
      </c>
    </row>
    <row r="336" spans="1:8" ht="30" customHeight="1" x14ac:dyDescent="0.25">
      <c r="A336" s="47"/>
      <c r="B336" s="43" t="s">
        <v>322</v>
      </c>
      <c r="C336" s="46"/>
      <c r="D336" s="38">
        <f t="shared" si="32"/>
        <v>0</v>
      </c>
      <c r="E336" s="38"/>
      <c r="F336" s="38">
        <v>484637</v>
      </c>
      <c r="G336" s="38"/>
      <c r="H336" s="23">
        <f>'3.pielikums'!B298</f>
        <v>484637</v>
      </c>
    </row>
    <row r="337" spans="1:8" ht="30" customHeight="1" x14ac:dyDescent="0.25">
      <c r="A337" s="47"/>
      <c r="B337" s="43" t="s">
        <v>56</v>
      </c>
      <c r="C337" s="46"/>
      <c r="D337" s="38">
        <f t="shared" si="32"/>
        <v>0</v>
      </c>
      <c r="E337" s="38"/>
      <c r="F337" s="38">
        <v>462678</v>
      </c>
      <c r="G337" s="38"/>
      <c r="H337" s="23">
        <f>'3.pielikums'!B299</f>
        <v>462678</v>
      </c>
    </row>
    <row r="338" spans="1:8" ht="30" customHeight="1" x14ac:dyDescent="0.25">
      <c r="A338" s="47"/>
      <c r="B338" s="41" t="s">
        <v>55</v>
      </c>
      <c r="C338" s="46">
        <v>1518</v>
      </c>
      <c r="D338" s="38">
        <f t="shared" si="32"/>
        <v>10467</v>
      </c>
      <c r="E338" s="38"/>
      <c r="F338" s="38">
        <v>46327</v>
      </c>
      <c r="G338" s="38"/>
      <c r="H338" s="23">
        <f>'3.pielikums'!B300</f>
        <v>58312</v>
      </c>
    </row>
    <row r="339" spans="1:8" ht="30" customHeight="1" x14ac:dyDescent="0.25">
      <c r="A339" s="47"/>
      <c r="B339" s="41" t="s">
        <v>590</v>
      </c>
      <c r="C339" s="46">
        <v>38601</v>
      </c>
      <c r="D339" s="38">
        <f t="shared" si="32"/>
        <v>0</v>
      </c>
      <c r="E339" s="38"/>
      <c r="F339" s="38">
        <v>9781</v>
      </c>
      <c r="G339" s="38"/>
      <c r="H339" s="23">
        <f>'3.pielikums'!B318</f>
        <v>48382</v>
      </c>
    </row>
    <row r="340" spans="1:8" ht="30" customHeight="1" x14ac:dyDescent="0.25">
      <c r="A340" s="47"/>
      <c r="B340" s="48" t="s">
        <v>321</v>
      </c>
      <c r="C340" s="46"/>
      <c r="D340" s="38">
        <f t="shared" si="32"/>
        <v>4950</v>
      </c>
      <c r="E340" s="38"/>
      <c r="F340" s="38"/>
      <c r="G340" s="38"/>
      <c r="H340" s="23">
        <f>'3.pielikums'!B214+'3.pielikums'!B301+'3.pielikums'!B302+'3.pielikums'!B303</f>
        <v>4950</v>
      </c>
    </row>
    <row r="341" spans="1:8" x14ac:dyDescent="0.25">
      <c r="B341" s="6"/>
      <c r="C341" s="6"/>
    </row>
    <row r="342" spans="1:8" s="5" customFormat="1" x14ac:dyDescent="0.25">
      <c r="B342" s="6" t="s">
        <v>668</v>
      </c>
      <c r="C342" s="6"/>
    </row>
    <row r="343" spans="1:8" x14ac:dyDescent="0.25">
      <c r="B343" s="32"/>
      <c r="C343" s="6"/>
    </row>
  </sheetData>
  <mergeCells count="6">
    <mergeCell ref="H15:H16"/>
    <mergeCell ref="B12:G12"/>
    <mergeCell ref="B13:G13"/>
    <mergeCell ref="A15:A16"/>
    <mergeCell ref="B15:B16"/>
    <mergeCell ref="D15:G15"/>
  </mergeCells>
  <pageMargins left="0.7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333"/>
  <sheetViews>
    <sheetView workbookViewId="0">
      <selection activeCell="J1" sqref="J1"/>
    </sheetView>
  </sheetViews>
  <sheetFormatPr defaultColWidth="9.140625" defaultRowHeight="15" x14ac:dyDescent="0.25"/>
  <cols>
    <col min="1" max="1" width="34.5703125" style="32" customWidth="1"/>
    <col min="2" max="5" width="17.5703125" style="32" customWidth="1"/>
    <col min="6" max="6" width="16.42578125" style="32" customWidth="1"/>
    <col min="7" max="9" width="17.5703125" style="32" customWidth="1"/>
    <col min="10" max="16384" width="9.140625" style="32"/>
  </cols>
  <sheetData>
    <row r="1" spans="1:12" customFormat="1" ht="15.75" x14ac:dyDescent="0.25">
      <c r="C1" s="110"/>
      <c r="F1" s="110"/>
      <c r="H1" s="110"/>
      <c r="I1" s="116" t="s">
        <v>679</v>
      </c>
      <c r="K1" s="110"/>
    </row>
    <row r="2" spans="1:12" customFormat="1" ht="15.75" x14ac:dyDescent="0.25">
      <c r="C2" s="111"/>
      <c r="F2" s="111"/>
      <c r="H2" s="111"/>
      <c r="I2" s="111" t="s">
        <v>622</v>
      </c>
      <c r="K2" s="111"/>
    </row>
    <row r="3" spans="1:12" customFormat="1" ht="15.75" x14ac:dyDescent="0.25">
      <c r="C3" s="111"/>
      <c r="F3" s="111"/>
      <c r="H3" s="111"/>
      <c r="I3" s="111" t="s">
        <v>681</v>
      </c>
      <c r="K3" s="111"/>
    </row>
    <row r="4" spans="1:12" customFormat="1" ht="15.75" x14ac:dyDescent="0.25">
      <c r="C4" s="111"/>
      <c r="F4" s="111"/>
      <c r="H4" s="111"/>
      <c r="I4" s="111" t="s">
        <v>682</v>
      </c>
      <c r="K4" s="111"/>
    </row>
    <row r="5" spans="1:12" customFormat="1" ht="15.75" customHeight="1" x14ac:dyDescent="0.25">
      <c r="C5" s="111"/>
      <c r="F5" s="111"/>
      <c r="G5" s="111"/>
      <c r="H5" s="111"/>
      <c r="I5" s="111" t="s">
        <v>678</v>
      </c>
      <c r="J5" s="111"/>
      <c r="K5" s="111"/>
    </row>
    <row r="6" spans="1:12" customFormat="1" ht="15.75" customHeight="1" x14ac:dyDescent="0.25">
      <c r="G6" s="111"/>
      <c r="J6" s="111"/>
    </row>
    <row r="7" spans="1:12" s="5" customFormat="1" ht="15.75" x14ac:dyDescent="0.25">
      <c r="A7" s="6"/>
      <c r="C7" s="7"/>
      <c r="E7" s="6"/>
      <c r="F7" s="7"/>
      <c r="G7" s="6"/>
      <c r="H7" s="7"/>
      <c r="I7" s="117" t="s">
        <v>683</v>
      </c>
    </row>
    <row r="8" spans="1:12" s="5" customFormat="1" ht="15.75" x14ac:dyDescent="0.25">
      <c r="A8" s="6"/>
      <c r="C8" s="8"/>
      <c r="E8" s="6"/>
      <c r="F8" s="8"/>
      <c r="G8" s="6"/>
      <c r="H8" s="8"/>
      <c r="I8" s="8" t="s">
        <v>622</v>
      </c>
    </row>
    <row r="9" spans="1:12" s="5" customFormat="1" ht="15.75" x14ac:dyDescent="0.25">
      <c r="A9" s="6"/>
      <c r="C9" s="8"/>
      <c r="D9" s="6"/>
      <c r="E9" s="6"/>
      <c r="F9" s="8"/>
      <c r="G9" s="6"/>
      <c r="H9" s="8"/>
      <c r="I9" s="8" t="s">
        <v>673</v>
      </c>
      <c r="J9" s="6"/>
      <c r="K9" s="6"/>
      <c r="L9" s="6"/>
    </row>
    <row r="10" spans="1:12" s="5" customFormat="1" ht="15.75" x14ac:dyDescent="0.25">
      <c r="A10" s="6"/>
      <c r="B10" s="8"/>
      <c r="C10" s="8"/>
      <c r="D10" s="6"/>
      <c r="E10" s="6"/>
      <c r="F10" s="8"/>
      <c r="G10" s="6"/>
      <c r="H10" s="8"/>
      <c r="I10" s="8" t="s">
        <v>674</v>
      </c>
    </row>
    <row r="11" spans="1:12" ht="15" customHeight="1" x14ac:dyDescent="0.25">
      <c r="E11" s="8"/>
      <c r="F11" s="64"/>
      <c r="G11" s="8"/>
      <c r="H11" s="8"/>
      <c r="I11" s="8"/>
    </row>
    <row r="12" spans="1:12" ht="15" customHeight="1" x14ac:dyDescent="0.25">
      <c r="E12" s="64"/>
      <c r="F12" s="64"/>
      <c r="G12" s="64"/>
      <c r="H12" s="64"/>
      <c r="I12" s="64"/>
    </row>
    <row r="13" spans="1:12" ht="15" customHeight="1" x14ac:dyDescent="0.3">
      <c r="A13" s="125" t="s">
        <v>684</v>
      </c>
      <c r="B13" s="125"/>
      <c r="C13" s="125"/>
      <c r="D13" s="125"/>
      <c r="E13" s="125"/>
      <c r="F13" s="125"/>
      <c r="G13" s="125"/>
      <c r="H13" s="125"/>
      <c r="I13" s="125"/>
    </row>
    <row r="14" spans="1:12" ht="15" customHeight="1" x14ac:dyDescent="0.25"/>
    <row r="15" spans="1:12" s="6" customFormat="1" ht="15" customHeight="1" x14ac:dyDescent="0.25">
      <c r="A15" s="122" t="s">
        <v>0</v>
      </c>
      <c r="B15" s="121" t="s">
        <v>603</v>
      </c>
      <c r="C15" s="124" t="s">
        <v>88</v>
      </c>
      <c r="D15" s="124"/>
      <c r="E15" s="124"/>
      <c r="F15" s="124"/>
      <c r="G15" s="124"/>
      <c r="H15" s="124"/>
      <c r="I15" s="124"/>
    </row>
    <row r="16" spans="1:12" s="6" customFormat="1" ht="15" customHeight="1" x14ac:dyDescent="0.25">
      <c r="A16" s="122"/>
      <c r="B16" s="121"/>
      <c r="C16" s="47">
        <v>1000</v>
      </c>
      <c r="D16" s="47">
        <v>2000</v>
      </c>
      <c r="E16" s="47">
        <v>3000</v>
      </c>
      <c r="F16" s="47">
        <v>4000</v>
      </c>
      <c r="G16" s="47">
        <v>5000</v>
      </c>
      <c r="H16" s="65">
        <v>6000</v>
      </c>
      <c r="I16" s="65">
        <v>7000</v>
      </c>
    </row>
    <row r="17" spans="1:9" s="6" customFormat="1" ht="47.25" x14ac:dyDescent="0.25">
      <c r="A17" s="122"/>
      <c r="B17" s="121"/>
      <c r="C17" s="65" t="s">
        <v>83</v>
      </c>
      <c r="D17" s="65" t="s">
        <v>84</v>
      </c>
      <c r="E17" s="65" t="s">
        <v>85</v>
      </c>
      <c r="F17" s="65" t="s">
        <v>86</v>
      </c>
      <c r="G17" s="65" t="s">
        <v>87</v>
      </c>
      <c r="H17" s="65" t="s">
        <v>81</v>
      </c>
      <c r="I17" s="65" t="s">
        <v>82</v>
      </c>
    </row>
    <row r="18" spans="1:9" ht="15" customHeight="1" x14ac:dyDescent="0.25">
      <c r="A18" s="66" t="s">
        <v>1</v>
      </c>
      <c r="B18" s="67">
        <f>SUM(C18:I18)</f>
        <v>1584888</v>
      </c>
      <c r="C18" s="68">
        <v>1385996</v>
      </c>
      <c r="D18" s="68">
        <v>197892</v>
      </c>
      <c r="E18" s="68"/>
      <c r="F18" s="68"/>
      <c r="G18" s="68">
        <v>1000</v>
      </c>
      <c r="H18" s="68"/>
      <c r="I18" s="68"/>
    </row>
    <row r="19" spans="1:9" ht="15" customHeight="1" x14ac:dyDescent="0.25">
      <c r="A19" s="66" t="s">
        <v>2</v>
      </c>
      <c r="B19" s="67">
        <f t="shared" ref="B19:B83" si="0">SUM(C19:I19)</f>
        <v>155358</v>
      </c>
      <c r="C19" s="68">
        <v>155358</v>
      </c>
      <c r="D19" s="68"/>
      <c r="E19" s="68"/>
      <c r="F19" s="68"/>
      <c r="G19" s="68"/>
      <c r="H19" s="68"/>
      <c r="I19" s="68"/>
    </row>
    <row r="20" spans="1:9" ht="30" customHeight="1" x14ac:dyDescent="0.25">
      <c r="A20" s="66" t="s">
        <v>170</v>
      </c>
      <c r="B20" s="67">
        <f t="shared" si="0"/>
        <v>250642</v>
      </c>
      <c r="C20" s="68">
        <v>250642</v>
      </c>
      <c r="D20" s="68"/>
      <c r="E20" s="68"/>
      <c r="F20" s="68"/>
      <c r="G20" s="68"/>
      <c r="H20" s="68"/>
      <c r="I20" s="68"/>
    </row>
    <row r="21" spans="1:9" ht="15" customHeight="1" x14ac:dyDescent="0.25">
      <c r="A21" s="66" t="s">
        <v>203</v>
      </c>
      <c r="B21" s="67">
        <f t="shared" si="0"/>
        <v>34578</v>
      </c>
      <c r="C21" s="68">
        <v>34578</v>
      </c>
      <c r="D21" s="68"/>
      <c r="E21" s="68"/>
      <c r="F21" s="68"/>
      <c r="G21" s="68"/>
      <c r="H21" s="68"/>
      <c r="I21" s="68"/>
    </row>
    <row r="22" spans="1:9" ht="15" customHeight="1" x14ac:dyDescent="0.25">
      <c r="A22" s="66" t="s">
        <v>196</v>
      </c>
      <c r="B22" s="67">
        <f t="shared" si="0"/>
        <v>620235</v>
      </c>
      <c r="C22" s="68">
        <f>35665+C23</f>
        <v>158924</v>
      </c>
      <c r="D22" s="68">
        <f>5868+D23</f>
        <v>85359</v>
      </c>
      <c r="E22" s="68">
        <f>+E23</f>
        <v>0</v>
      </c>
      <c r="F22" s="68">
        <f>+F23</f>
        <v>0</v>
      </c>
      <c r="G22" s="68">
        <f>5500+380374+125821+G23</f>
        <v>375952</v>
      </c>
      <c r="H22" s="68">
        <f>+H23</f>
        <v>0</v>
      </c>
      <c r="I22" s="68">
        <f>+I23</f>
        <v>0</v>
      </c>
    </row>
    <row r="23" spans="1:9" ht="15" customHeight="1" x14ac:dyDescent="0.25">
      <c r="A23" s="105" t="s">
        <v>661</v>
      </c>
      <c r="B23" s="67">
        <f>SUM(C23:I23)</f>
        <v>67007</v>
      </c>
      <c r="C23" s="68">
        <v>123259</v>
      </c>
      <c r="D23" s="68">
        <v>79491</v>
      </c>
      <c r="E23" s="68"/>
      <c r="F23" s="68"/>
      <c r="G23" s="68">
        <f>-(125821+9922)</f>
        <v>-135743</v>
      </c>
      <c r="H23" s="68"/>
      <c r="I23" s="68"/>
    </row>
    <row r="24" spans="1:9" ht="15" customHeight="1" x14ac:dyDescent="0.25">
      <c r="A24" s="69" t="s">
        <v>3</v>
      </c>
      <c r="B24" s="67">
        <f t="shared" si="0"/>
        <v>34564</v>
      </c>
      <c r="C24" s="68">
        <v>30978</v>
      </c>
      <c r="D24" s="68">
        <v>3586</v>
      </c>
      <c r="E24" s="68"/>
      <c r="F24" s="68"/>
      <c r="G24" s="68"/>
      <c r="H24" s="68"/>
      <c r="I24" s="68"/>
    </row>
    <row r="25" spans="1:9" ht="15" customHeight="1" x14ac:dyDescent="0.25">
      <c r="A25" s="69" t="s">
        <v>91</v>
      </c>
      <c r="B25" s="67">
        <f t="shared" si="0"/>
        <v>74805</v>
      </c>
      <c r="C25" s="68">
        <v>47368</v>
      </c>
      <c r="D25" s="68">
        <v>27437</v>
      </c>
      <c r="E25" s="68"/>
      <c r="F25" s="68"/>
      <c r="G25" s="68"/>
      <c r="H25" s="68"/>
      <c r="I25" s="68"/>
    </row>
    <row r="26" spans="1:9" ht="15" customHeight="1" x14ac:dyDescent="0.25">
      <c r="A26" s="69" t="s">
        <v>4</v>
      </c>
      <c r="B26" s="67">
        <f t="shared" si="0"/>
        <v>34798</v>
      </c>
      <c r="C26" s="68">
        <v>31299</v>
      </c>
      <c r="D26" s="68">
        <v>3499</v>
      </c>
      <c r="E26" s="68"/>
      <c r="F26" s="68"/>
      <c r="G26" s="68"/>
      <c r="H26" s="68"/>
      <c r="I26" s="68"/>
    </row>
    <row r="27" spans="1:9" ht="15" customHeight="1" x14ac:dyDescent="0.25">
      <c r="A27" s="69" t="s">
        <v>5</v>
      </c>
      <c r="B27" s="67">
        <f t="shared" si="0"/>
        <v>49595</v>
      </c>
      <c r="C27" s="68">
        <v>36831</v>
      </c>
      <c r="D27" s="68">
        <v>12764</v>
      </c>
      <c r="E27" s="68"/>
      <c r="F27" s="68"/>
      <c r="G27" s="68"/>
      <c r="H27" s="68"/>
      <c r="I27" s="68"/>
    </row>
    <row r="28" spans="1:9" ht="15" customHeight="1" x14ac:dyDescent="0.25">
      <c r="A28" s="69" t="s">
        <v>6</v>
      </c>
      <c r="B28" s="67">
        <f t="shared" si="0"/>
        <v>40318</v>
      </c>
      <c r="C28" s="68">
        <v>29342</v>
      </c>
      <c r="D28" s="68">
        <v>10976</v>
      </c>
      <c r="E28" s="68"/>
      <c r="F28" s="68"/>
      <c r="G28" s="68"/>
      <c r="H28" s="68"/>
      <c r="I28" s="68"/>
    </row>
    <row r="29" spans="1:9" ht="15" customHeight="1" x14ac:dyDescent="0.25">
      <c r="A29" s="69" t="s">
        <v>7</v>
      </c>
      <c r="B29" s="67">
        <f t="shared" si="0"/>
        <v>39996</v>
      </c>
      <c r="C29" s="68">
        <v>30631</v>
      </c>
      <c r="D29" s="68">
        <v>9365</v>
      </c>
      <c r="E29" s="68"/>
      <c r="F29" s="68"/>
      <c r="G29" s="68"/>
      <c r="H29" s="68"/>
      <c r="I29" s="68"/>
    </row>
    <row r="30" spans="1:9" ht="15" customHeight="1" x14ac:dyDescent="0.25">
      <c r="A30" s="69" t="s">
        <v>8</v>
      </c>
      <c r="B30" s="67">
        <f t="shared" si="0"/>
        <v>43440</v>
      </c>
      <c r="C30" s="68">
        <v>34818</v>
      </c>
      <c r="D30" s="68">
        <v>8622</v>
      </c>
      <c r="E30" s="68"/>
      <c r="F30" s="68"/>
      <c r="G30" s="68"/>
      <c r="H30" s="68"/>
      <c r="I30" s="68"/>
    </row>
    <row r="31" spans="1:9" ht="15" customHeight="1" x14ac:dyDescent="0.25">
      <c r="A31" s="69" t="s">
        <v>92</v>
      </c>
      <c r="B31" s="67">
        <f t="shared" si="0"/>
        <v>35446</v>
      </c>
      <c r="C31" s="68">
        <v>30502</v>
      </c>
      <c r="D31" s="68">
        <v>4944</v>
      </c>
      <c r="E31" s="68"/>
      <c r="F31" s="68"/>
      <c r="G31" s="68"/>
      <c r="H31" s="68"/>
      <c r="I31" s="68"/>
    </row>
    <row r="32" spans="1:9" ht="15" customHeight="1" x14ac:dyDescent="0.25">
      <c r="A32" s="69" t="s">
        <v>127</v>
      </c>
      <c r="B32" s="67">
        <f t="shared" si="0"/>
        <v>36877</v>
      </c>
      <c r="C32" s="68">
        <v>29109</v>
      </c>
      <c r="D32" s="68">
        <v>7768</v>
      </c>
      <c r="E32" s="68"/>
      <c r="F32" s="68"/>
      <c r="G32" s="68"/>
      <c r="H32" s="68"/>
      <c r="I32" s="68"/>
    </row>
    <row r="33" spans="1:9" ht="15" customHeight="1" x14ac:dyDescent="0.25">
      <c r="A33" s="69" t="s">
        <v>9</v>
      </c>
      <c r="B33" s="67">
        <f t="shared" si="0"/>
        <v>23494</v>
      </c>
      <c r="C33" s="68">
        <v>20880</v>
      </c>
      <c r="D33" s="68">
        <v>2614</v>
      </c>
      <c r="E33" s="68"/>
      <c r="F33" s="68"/>
      <c r="G33" s="68"/>
      <c r="H33" s="68"/>
      <c r="I33" s="68"/>
    </row>
    <row r="34" spans="1:9" ht="15" customHeight="1" x14ac:dyDescent="0.25">
      <c r="A34" s="69" t="s">
        <v>93</v>
      </c>
      <c r="B34" s="67">
        <f t="shared" si="0"/>
        <v>42551</v>
      </c>
      <c r="C34" s="68">
        <v>29340</v>
      </c>
      <c r="D34" s="68">
        <v>13211</v>
      </c>
      <c r="E34" s="68"/>
      <c r="F34" s="68"/>
      <c r="G34" s="68"/>
      <c r="H34" s="68"/>
      <c r="I34" s="68"/>
    </row>
    <row r="35" spans="1:9" ht="15" customHeight="1" x14ac:dyDescent="0.25">
      <c r="A35" s="69" t="s">
        <v>128</v>
      </c>
      <c r="B35" s="67">
        <f t="shared" si="0"/>
        <v>50043</v>
      </c>
      <c r="C35" s="68">
        <v>34703</v>
      </c>
      <c r="D35" s="68">
        <v>15340</v>
      </c>
      <c r="E35" s="68"/>
      <c r="F35" s="68"/>
      <c r="G35" s="68"/>
      <c r="H35" s="68"/>
      <c r="I35" s="68"/>
    </row>
    <row r="36" spans="1:9" ht="15" customHeight="1" x14ac:dyDescent="0.25">
      <c r="A36" s="69" t="s">
        <v>94</v>
      </c>
      <c r="B36" s="67">
        <f t="shared" si="0"/>
        <v>20658</v>
      </c>
      <c r="C36" s="68">
        <v>15232</v>
      </c>
      <c r="D36" s="68">
        <v>5426</v>
      </c>
      <c r="E36" s="68"/>
      <c r="F36" s="68"/>
      <c r="G36" s="68"/>
      <c r="H36" s="68"/>
      <c r="I36" s="68"/>
    </row>
    <row r="37" spans="1:9" ht="15" customHeight="1" x14ac:dyDescent="0.25">
      <c r="A37" s="69" t="s">
        <v>95</v>
      </c>
      <c r="B37" s="67">
        <f t="shared" si="0"/>
        <v>48906</v>
      </c>
      <c r="C37" s="68">
        <v>39938</v>
      </c>
      <c r="D37" s="68">
        <v>8968</v>
      </c>
      <c r="E37" s="68"/>
      <c r="F37" s="68"/>
      <c r="G37" s="68"/>
      <c r="H37" s="68"/>
      <c r="I37" s="68"/>
    </row>
    <row r="38" spans="1:9" ht="15" customHeight="1" x14ac:dyDescent="0.25">
      <c r="A38" s="69" t="s">
        <v>10</v>
      </c>
      <c r="B38" s="67">
        <f t="shared" si="0"/>
        <v>44053</v>
      </c>
      <c r="C38" s="68">
        <v>34026</v>
      </c>
      <c r="D38" s="68">
        <v>10027</v>
      </c>
      <c r="E38" s="68"/>
      <c r="F38" s="68"/>
      <c r="G38" s="68"/>
      <c r="H38" s="68"/>
      <c r="I38" s="68"/>
    </row>
    <row r="39" spans="1:9" ht="15" customHeight="1" x14ac:dyDescent="0.25">
      <c r="A39" s="69" t="s">
        <v>11</v>
      </c>
      <c r="B39" s="67">
        <f t="shared" si="0"/>
        <v>34012</v>
      </c>
      <c r="C39" s="68">
        <v>28627</v>
      </c>
      <c r="D39" s="68">
        <v>5385</v>
      </c>
      <c r="E39" s="68"/>
      <c r="F39" s="68"/>
      <c r="G39" s="68"/>
      <c r="H39" s="68"/>
      <c r="I39" s="68"/>
    </row>
    <row r="40" spans="1:9" ht="15" customHeight="1" x14ac:dyDescent="0.25">
      <c r="A40" s="69" t="s">
        <v>96</v>
      </c>
      <c r="B40" s="67">
        <f t="shared" si="0"/>
        <v>34090</v>
      </c>
      <c r="C40" s="68">
        <v>26699</v>
      </c>
      <c r="D40" s="68">
        <v>7391</v>
      </c>
      <c r="E40" s="68"/>
      <c r="F40" s="68"/>
      <c r="G40" s="68"/>
      <c r="H40" s="68"/>
      <c r="I40" s="68"/>
    </row>
    <row r="41" spans="1:9" ht="15" customHeight="1" x14ac:dyDescent="0.25">
      <c r="A41" s="69" t="s">
        <v>12</v>
      </c>
      <c r="B41" s="67">
        <f t="shared" si="0"/>
        <v>39193</v>
      </c>
      <c r="C41" s="68">
        <v>34031</v>
      </c>
      <c r="D41" s="68">
        <v>5162</v>
      </c>
      <c r="E41" s="68"/>
      <c r="F41" s="68"/>
      <c r="G41" s="68"/>
      <c r="H41" s="68"/>
      <c r="I41" s="68"/>
    </row>
    <row r="42" spans="1:9" ht="15" customHeight="1" x14ac:dyDescent="0.25">
      <c r="A42" s="69" t="s">
        <v>89</v>
      </c>
      <c r="B42" s="67">
        <f t="shared" si="0"/>
        <v>77938</v>
      </c>
      <c r="C42" s="68">
        <v>48121</v>
      </c>
      <c r="D42" s="68">
        <v>29817</v>
      </c>
      <c r="E42" s="68"/>
      <c r="F42" s="68"/>
      <c r="G42" s="68"/>
      <c r="H42" s="68"/>
      <c r="I42" s="68"/>
    </row>
    <row r="43" spans="1:9" ht="15" customHeight="1" x14ac:dyDescent="0.25">
      <c r="A43" s="69" t="s">
        <v>97</v>
      </c>
      <c r="B43" s="67">
        <f t="shared" si="0"/>
        <v>37510</v>
      </c>
      <c r="C43" s="68">
        <v>30183</v>
      </c>
      <c r="D43" s="68">
        <v>7327</v>
      </c>
      <c r="E43" s="68"/>
      <c r="F43" s="68"/>
      <c r="G43" s="68"/>
      <c r="H43" s="68"/>
      <c r="I43" s="68"/>
    </row>
    <row r="44" spans="1:9" ht="30" customHeight="1" x14ac:dyDescent="0.25">
      <c r="A44" s="69" t="s">
        <v>90</v>
      </c>
      <c r="B44" s="67">
        <f t="shared" si="0"/>
        <v>102288</v>
      </c>
      <c r="C44" s="68">
        <v>88457</v>
      </c>
      <c r="D44" s="68">
        <v>13831</v>
      </c>
      <c r="E44" s="68"/>
      <c r="F44" s="68"/>
      <c r="G44" s="68"/>
      <c r="H44" s="68"/>
      <c r="I44" s="68"/>
    </row>
    <row r="45" spans="1:9" ht="15" customHeight="1" x14ac:dyDescent="0.25">
      <c r="A45" s="69" t="s">
        <v>13</v>
      </c>
      <c r="B45" s="67">
        <f t="shared" si="0"/>
        <v>6000</v>
      </c>
      <c r="C45" s="68"/>
      <c r="D45" s="68">
        <v>6000</v>
      </c>
      <c r="E45" s="68"/>
      <c r="F45" s="68"/>
      <c r="G45" s="68"/>
      <c r="H45" s="68"/>
      <c r="I45" s="68"/>
    </row>
    <row r="46" spans="1:9" ht="15" customHeight="1" x14ac:dyDescent="0.25">
      <c r="A46" s="69" t="s">
        <v>14</v>
      </c>
      <c r="B46" s="67">
        <f t="shared" si="0"/>
        <v>45250</v>
      </c>
      <c r="C46" s="68"/>
      <c r="D46" s="68">
        <v>41850</v>
      </c>
      <c r="E46" s="68">
        <v>3400</v>
      </c>
      <c r="F46" s="68"/>
      <c r="G46" s="68"/>
      <c r="H46" s="68"/>
      <c r="I46" s="68"/>
    </row>
    <row r="47" spans="1:9" ht="30" customHeight="1" x14ac:dyDescent="0.25">
      <c r="A47" s="69" t="s">
        <v>173</v>
      </c>
      <c r="B47" s="67">
        <f t="shared" si="0"/>
        <v>441606</v>
      </c>
      <c r="C47" s="68"/>
      <c r="D47" s="68">
        <v>23776</v>
      </c>
      <c r="E47" s="68"/>
      <c r="F47" s="68">
        <v>417830</v>
      </c>
      <c r="G47" s="68"/>
      <c r="H47" s="68"/>
      <c r="I47" s="68"/>
    </row>
    <row r="48" spans="1:9" ht="15" customHeight="1" x14ac:dyDescent="0.25">
      <c r="A48" s="69" t="s">
        <v>251</v>
      </c>
      <c r="B48" s="67">
        <f t="shared" si="0"/>
        <v>25492</v>
      </c>
      <c r="C48" s="68"/>
      <c r="D48" s="68"/>
      <c r="E48" s="68"/>
      <c r="F48" s="68"/>
      <c r="G48" s="68">
        <v>25492</v>
      </c>
      <c r="H48" s="68"/>
      <c r="I48" s="68"/>
    </row>
    <row r="49" spans="1:9" ht="15" customHeight="1" x14ac:dyDescent="0.25">
      <c r="A49" s="69" t="s">
        <v>15</v>
      </c>
      <c r="B49" s="67">
        <f t="shared" si="0"/>
        <v>85105</v>
      </c>
      <c r="C49" s="68">
        <v>67634</v>
      </c>
      <c r="D49" s="68">
        <v>17471</v>
      </c>
      <c r="E49" s="68"/>
      <c r="F49" s="68"/>
      <c r="G49" s="68"/>
      <c r="H49" s="68"/>
      <c r="I49" s="68"/>
    </row>
    <row r="50" spans="1:9" ht="15" customHeight="1" x14ac:dyDescent="0.25">
      <c r="A50" s="69" t="s">
        <v>16</v>
      </c>
      <c r="B50" s="67">
        <f t="shared" si="0"/>
        <v>173642</v>
      </c>
      <c r="C50" s="68">
        <v>153754</v>
      </c>
      <c r="D50" s="68">
        <v>19888</v>
      </c>
      <c r="E50" s="68"/>
      <c r="F50" s="68"/>
      <c r="G50" s="68"/>
      <c r="H50" s="68"/>
      <c r="I50" s="68"/>
    </row>
    <row r="51" spans="1:9" ht="15" customHeight="1" x14ac:dyDescent="0.25">
      <c r="A51" s="70" t="s">
        <v>54</v>
      </c>
      <c r="B51" s="67">
        <f t="shared" si="0"/>
        <v>56921</v>
      </c>
      <c r="C51" s="68">
        <v>54104</v>
      </c>
      <c r="D51" s="68">
        <v>2817</v>
      </c>
      <c r="E51" s="68"/>
      <c r="F51" s="68"/>
      <c r="G51" s="68"/>
      <c r="H51" s="68"/>
      <c r="I51" s="68"/>
    </row>
    <row r="52" spans="1:9" ht="15" customHeight="1" x14ac:dyDescent="0.25">
      <c r="A52" s="69" t="s">
        <v>17</v>
      </c>
      <c r="B52" s="67">
        <f t="shared" si="0"/>
        <v>75147</v>
      </c>
      <c r="C52" s="68">
        <v>72469</v>
      </c>
      <c r="D52" s="68">
        <v>2678</v>
      </c>
      <c r="E52" s="68"/>
      <c r="F52" s="68"/>
      <c r="G52" s="68"/>
      <c r="H52" s="68"/>
      <c r="I52" s="68"/>
    </row>
    <row r="53" spans="1:9" ht="15" customHeight="1" x14ac:dyDescent="0.25">
      <c r="A53" s="69" t="s">
        <v>18</v>
      </c>
      <c r="B53" s="67">
        <f t="shared" si="0"/>
        <v>96522</v>
      </c>
      <c r="C53" s="68"/>
      <c r="D53" s="68">
        <v>96522</v>
      </c>
      <c r="E53" s="68"/>
      <c r="F53" s="68"/>
      <c r="G53" s="68"/>
      <c r="H53" s="68"/>
      <c r="I53" s="68"/>
    </row>
    <row r="54" spans="1:9" ht="30" customHeight="1" x14ac:dyDescent="0.25">
      <c r="A54" s="69" t="s">
        <v>58</v>
      </c>
      <c r="B54" s="67">
        <f t="shared" si="0"/>
        <v>3244</v>
      </c>
      <c r="C54" s="68"/>
      <c r="D54" s="68"/>
      <c r="E54" s="68"/>
      <c r="F54" s="68"/>
      <c r="G54" s="68"/>
      <c r="H54" s="68"/>
      <c r="I54" s="68">
        <v>3244</v>
      </c>
    </row>
    <row r="55" spans="1:9" ht="30" customHeight="1" x14ac:dyDescent="0.25">
      <c r="A55" s="69" t="s">
        <v>60</v>
      </c>
      <c r="B55" s="67">
        <f t="shared" si="0"/>
        <v>183983</v>
      </c>
      <c r="C55" s="68">
        <v>76014</v>
      </c>
      <c r="D55" s="68">
        <v>107969</v>
      </c>
      <c r="E55" s="68"/>
      <c r="F55" s="68"/>
      <c r="G55" s="68"/>
      <c r="H55" s="68"/>
      <c r="I55" s="68"/>
    </row>
    <row r="56" spans="1:9" ht="15" customHeight="1" x14ac:dyDescent="0.25">
      <c r="A56" s="71" t="s">
        <v>182</v>
      </c>
      <c r="B56" s="67">
        <f t="shared" si="0"/>
        <v>50000</v>
      </c>
      <c r="C56" s="68"/>
      <c r="D56" s="68"/>
      <c r="E56" s="68">
        <v>50000</v>
      </c>
      <c r="F56" s="68"/>
      <c r="G56" s="68"/>
      <c r="H56" s="68"/>
      <c r="I56" s="68"/>
    </row>
    <row r="57" spans="1:9" ht="30" customHeight="1" x14ac:dyDescent="0.25">
      <c r="A57" s="70" t="s">
        <v>63</v>
      </c>
      <c r="B57" s="67">
        <f t="shared" si="0"/>
        <v>117893</v>
      </c>
      <c r="C57" s="68"/>
      <c r="D57" s="68">
        <v>114937</v>
      </c>
      <c r="E57" s="68"/>
      <c r="F57" s="68"/>
      <c r="G57" s="68">
        <v>2956</v>
      </c>
      <c r="H57" s="68"/>
      <c r="I57" s="68"/>
    </row>
    <row r="58" spans="1:9" ht="30" customHeight="1" x14ac:dyDescent="0.25">
      <c r="A58" s="70" t="s">
        <v>212</v>
      </c>
      <c r="B58" s="67">
        <f t="shared" si="0"/>
        <v>46305</v>
      </c>
      <c r="C58" s="68"/>
      <c r="D58" s="68">
        <v>46305</v>
      </c>
      <c r="E58" s="68"/>
      <c r="F58" s="68"/>
      <c r="G58" s="68"/>
      <c r="H58" s="68"/>
      <c r="I58" s="68"/>
    </row>
    <row r="59" spans="1:9" ht="30" customHeight="1" x14ac:dyDescent="0.25">
      <c r="A59" s="70" t="s">
        <v>64</v>
      </c>
      <c r="B59" s="67">
        <f t="shared" si="0"/>
        <v>34688</v>
      </c>
      <c r="C59" s="68"/>
      <c r="D59" s="68">
        <v>34688</v>
      </c>
      <c r="E59" s="68"/>
      <c r="F59" s="68"/>
      <c r="G59" s="68"/>
      <c r="H59" s="68"/>
      <c r="I59" s="68"/>
    </row>
    <row r="60" spans="1:9" ht="30" customHeight="1" x14ac:dyDescent="0.25">
      <c r="A60" s="70" t="s">
        <v>65</v>
      </c>
      <c r="B60" s="67">
        <f t="shared" si="0"/>
        <v>19249</v>
      </c>
      <c r="C60" s="68"/>
      <c r="D60" s="68">
        <v>19249</v>
      </c>
      <c r="E60" s="68"/>
      <c r="F60" s="68"/>
      <c r="G60" s="68"/>
      <c r="H60" s="68"/>
      <c r="I60" s="68"/>
    </row>
    <row r="61" spans="1:9" ht="30" customHeight="1" x14ac:dyDescent="0.25">
      <c r="A61" s="70" t="s">
        <v>66</v>
      </c>
      <c r="B61" s="67">
        <f t="shared" si="0"/>
        <v>54033</v>
      </c>
      <c r="C61" s="68"/>
      <c r="D61" s="68">
        <v>47038</v>
      </c>
      <c r="E61" s="68"/>
      <c r="F61" s="68"/>
      <c r="G61" s="68">
        <v>6995</v>
      </c>
      <c r="H61" s="68"/>
      <c r="I61" s="68"/>
    </row>
    <row r="62" spans="1:9" ht="30" customHeight="1" x14ac:dyDescent="0.25">
      <c r="A62" s="70" t="s">
        <v>67</v>
      </c>
      <c r="B62" s="67">
        <f t="shared" si="0"/>
        <v>32382</v>
      </c>
      <c r="C62" s="68"/>
      <c r="D62" s="68">
        <v>32382</v>
      </c>
      <c r="E62" s="68"/>
      <c r="F62" s="68"/>
      <c r="G62" s="68"/>
      <c r="H62" s="68"/>
      <c r="I62" s="68"/>
    </row>
    <row r="63" spans="1:9" ht="30" customHeight="1" x14ac:dyDescent="0.25">
      <c r="A63" s="70" t="s">
        <v>68</v>
      </c>
      <c r="B63" s="67">
        <f t="shared" si="0"/>
        <v>31174</v>
      </c>
      <c r="C63" s="68"/>
      <c r="D63" s="68">
        <v>31174</v>
      </c>
      <c r="E63" s="68"/>
      <c r="F63" s="68"/>
      <c r="G63" s="68"/>
      <c r="H63" s="68"/>
      <c r="I63" s="68"/>
    </row>
    <row r="64" spans="1:9" ht="30" customHeight="1" x14ac:dyDescent="0.25">
      <c r="A64" s="70" t="s">
        <v>69</v>
      </c>
      <c r="B64" s="67">
        <f t="shared" si="0"/>
        <v>42118</v>
      </c>
      <c r="C64" s="68"/>
      <c r="D64" s="68">
        <v>42118</v>
      </c>
      <c r="E64" s="68"/>
      <c r="F64" s="68"/>
      <c r="G64" s="68"/>
      <c r="H64" s="68"/>
      <c r="I64" s="68"/>
    </row>
    <row r="65" spans="1:9" ht="30" customHeight="1" x14ac:dyDescent="0.25">
      <c r="A65" s="70" t="s">
        <v>210</v>
      </c>
      <c r="B65" s="67">
        <f t="shared" si="0"/>
        <v>13178</v>
      </c>
      <c r="C65" s="68">
        <v>3041</v>
      </c>
      <c r="D65" s="68">
        <v>10137</v>
      </c>
      <c r="E65" s="68"/>
      <c r="F65" s="68"/>
      <c r="G65" s="68"/>
      <c r="H65" s="68"/>
      <c r="I65" s="68"/>
    </row>
    <row r="66" spans="1:9" ht="30" customHeight="1" x14ac:dyDescent="0.25">
      <c r="A66" s="70" t="s">
        <v>70</v>
      </c>
      <c r="B66" s="67">
        <f t="shared" si="0"/>
        <v>14853</v>
      </c>
      <c r="C66" s="68"/>
      <c r="D66" s="68">
        <v>14853</v>
      </c>
      <c r="E66" s="68"/>
      <c r="F66" s="68"/>
      <c r="G66" s="68"/>
      <c r="H66" s="68"/>
      <c r="I66" s="68"/>
    </row>
    <row r="67" spans="1:9" ht="30" customHeight="1" x14ac:dyDescent="0.25">
      <c r="A67" s="70" t="s">
        <v>208</v>
      </c>
      <c r="B67" s="67">
        <f t="shared" si="0"/>
        <v>65170</v>
      </c>
      <c r="C67" s="68"/>
      <c r="D67" s="68">
        <v>45170</v>
      </c>
      <c r="E67" s="68"/>
      <c r="F67" s="68"/>
      <c r="G67" s="68">
        <v>20000</v>
      </c>
      <c r="H67" s="68"/>
      <c r="I67" s="68"/>
    </row>
    <row r="68" spans="1:9" ht="30" customHeight="1" x14ac:dyDescent="0.25">
      <c r="A68" s="70" t="s">
        <v>209</v>
      </c>
      <c r="B68" s="67">
        <f t="shared" si="0"/>
        <v>31380</v>
      </c>
      <c r="C68" s="68"/>
      <c r="D68" s="68">
        <v>31380</v>
      </c>
      <c r="E68" s="68"/>
      <c r="F68" s="68"/>
      <c r="G68" s="68"/>
      <c r="H68" s="68"/>
      <c r="I68" s="68"/>
    </row>
    <row r="69" spans="1:9" ht="30" customHeight="1" x14ac:dyDescent="0.25">
      <c r="A69" s="70" t="s">
        <v>211</v>
      </c>
      <c r="B69" s="67">
        <f t="shared" si="0"/>
        <v>224110</v>
      </c>
      <c r="C69" s="68"/>
      <c r="D69" s="68">
        <v>29110</v>
      </c>
      <c r="E69" s="68"/>
      <c r="F69" s="68"/>
      <c r="G69" s="68">
        <v>195000</v>
      </c>
      <c r="H69" s="68"/>
      <c r="I69" s="68"/>
    </row>
    <row r="70" spans="1:9" ht="30" customHeight="1" x14ac:dyDescent="0.25">
      <c r="A70" s="70" t="s">
        <v>213</v>
      </c>
      <c r="B70" s="67">
        <f t="shared" si="0"/>
        <v>40827</v>
      </c>
      <c r="C70" s="68">
        <v>6797</v>
      </c>
      <c r="D70" s="68">
        <v>14030</v>
      </c>
      <c r="E70" s="68"/>
      <c r="F70" s="68"/>
      <c r="G70" s="68">
        <v>20000</v>
      </c>
      <c r="H70" s="68"/>
      <c r="I70" s="68"/>
    </row>
    <row r="71" spans="1:9" ht="30" customHeight="1" x14ac:dyDescent="0.25">
      <c r="A71" s="70" t="s">
        <v>214</v>
      </c>
      <c r="B71" s="67">
        <f t="shared" si="0"/>
        <v>69017</v>
      </c>
      <c r="C71" s="68"/>
      <c r="D71" s="68">
        <v>42017</v>
      </c>
      <c r="E71" s="68"/>
      <c r="F71" s="68"/>
      <c r="G71" s="68">
        <v>27000</v>
      </c>
      <c r="H71" s="68"/>
      <c r="I71" s="68"/>
    </row>
    <row r="72" spans="1:9" ht="30" customHeight="1" x14ac:dyDescent="0.25">
      <c r="A72" s="70" t="s">
        <v>71</v>
      </c>
      <c r="B72" s="67">
        <f t="shared" si="0"/>
        <v>38735</v>
      </c>
      <c r="C72" s="68"/>
      <c r="D72" s="68">
        <v>38735</v>
      </c>
      <c r="E72" s="68"/>
      <c r="F72" s="68"/>
      <c r="G72" s="68"/>
      <c r="H72" s="68"/>
      <c r="I72" s="68"/>
    </row>
    <row r="73" spans="1:9" ht="30" customHeight="1" x14ac:dyDescent="0.25">
      <c r="A73" s="70" t="s">
        <v>72</v>
      </c>
      <c r="B73" s="67">
        <f t="shared" si="0"/>
        <v>20681</v>
      </c>
      <c r="C73" s="68"/>
      <c r="D73" s="68">
        <v>20681</v>
      </c>
      <c r="E73" s="68"/>
      <c r="F73" s="68"/>
      <c r="G73" s="68"/>
      <c r="H73" s="68"/>
      <c r="I73" s="68"/>
    </row>
    <row r="74" spans="1:9" ht="30" customHeight="1" x14ac:dyDescent="0.25">
      <c r="A74" s="70" t="s">
        <v>217</v>
      </c>
      <c r="B74" s="67">
        <f t="shared" si="0"/>
        <v>28543</v>
      </c>
      <c r="C74" s="68">
        <v>7014</v>
      </c>
      <c r="D74" s="68">
        <v>21529</v>
      </c>
      <c r="E74" s="68"/>
      <c r="F74" s="68"/>
      <c r="G74" s="68"/>
      <c r="H74" s="68"/>
      <c r="I74" s="68"/>
    </row>
    <row r="75" spans="1:9" ht="30" customHeight="1" x14ac:dyDescent="0.25">
      <c r="A75" s="70" t="s">
        <v>73</v>
      </c>
      <c r="B75" s="67">
        <f t="shared" si="0"/>
        <v>25715</v>
      </c>
      <c r="C75" s="68"/>
      <c r="D75" s="68">
        <v>25715</v>
      </c>
      <c r="E75" s="68"/>
      <c r="F75" s="68"/>
      <c r="G75" s="68"/>
      <c r="H75" s="68"/>
      <c r="I75" s="68"/>
    </row>
    <row r="76" spans="1:9" ht="30" customHeight="1" x14ac:dyDescent="0.25">
      <c r="A76" s="70" t="s">
        <v>215</v>
      </c>
      <c r="B76" s="67">
        <f t="shared" si="0"/>
        <v>8898</v>
      </c>
      <c r="C76" s="68"/>
      <c r="D76" s="68">
        <v>8898</v>
      </c>
      <c r="E76" s="68"/>
      <c r="F76" s="68"/>
      <c r="G76" s="68"/>
      <c r="H76" s="68"/>
      <c r="I76" s="68"/>
    </row>
    <row r="77" spans="1:9" ht="30" customHeight="1" x14ac:dyDescent="0.25">
      <c r="A77" s="70" t="s">
        <v>216</v>
      </c>
      <c r="B77" s="67">
        <f t="shared" si="0"/>
        <v>38471</v>
      </c>
      <c r="C77" s="68"/>
      <c r="D77" s="68">
        <v>38471</v>
      </c>
      <c r="E77" s="68"/>
      <c r="F77" s="68"/>
      <c r="G77" s="68"/>
      <c r="H77" s="68"/>
      <c r="I77" s="68"/>
    </row>
    <row r="78" spans="1:9" ht="30" customHeight="1" x14ac:dyDescent="0.25">
      <c r="A78" s="70" t="s">
        <v>617</v>
      </c>
      <c r="B78" s="67">
        <f t="shared" si="0"/>
        <v>172339</v>
      </c>
      <c r="C78" s="68"/>
      <c r="D78" s="68">
        <v>172339</v>
      </c>
      <c r="E78" s="68"/>
      <c r="F78" s="68"/>
      <c r="G78" s="68"/>
      <c r="H78" s="68"/>
      <c r="I78" s="68"/>
    </row>
    <row r="79" spans="1:9" ht="15" customHeight="1" x14ac:dyDescent="0.25">
      <c r="A79" s="66" t="s">
        <v>129</v>
      </c>
      <c r="B79" s="67">
        <f t="shared" si="0"/>
        <v>176606</v>
      </c>
      <c r="C79" s="68">
        <v>2225</v>
      </c>
      <c r="D79" s="68"/>
      <c r="E79" s="68"/>
      <c r="F79" s="68"/>
      <c r="G79" s="68"/>
      <c r="H79" s="68">
        <v>171000</v>
      </c>
      <c r="I79" s="68">
        <v>3381</v>
      </c>
    </row>
    <row r="80" spans="1:9" ht="15" customHeight="1" x14ac:dyDescent="0.25">
      <c r="A80" s="66" t="s">
        <v>130</v>
      </c>
      <c r="B80" s="67">
        <f t="shared" si="0"/>
        <v>21860</v>
      </c>
      <c r="C80" s="68">
        <v>16336</v>
      </c>
      <c r="D80" s="68">
        <v>5524</v>
      </c>
      <c r="E80" s="68"/>
      <c r="F80" s="68"/>
      <c r="G80" s="68"/>
      <c r="H80" s="68"/>
      <c r="I80" s="68"/>
    </row>
    <row r="81" spans="1:9" ht="30" customHeight="1" x14ac:dyDescent="0.25">
      <c r="A81" s="69" t="s">
        <v>80</v>
      </c>
      <c r="B81" s="67">
        <f t="shared" si="0"/>
        <v>3057</v>
      </c>
      <c r="C81" s="68"/>
      <c r="D81" s="68"/>
      <c r="E81" s="68"/>
      <c r="F81" s="68"/>
      <c r="G81" s="68">
        <v>3057</v>
      </c>
      <c r="H81" s="68"/>
      <c r="I81" s="68"/>
    </row>
    <row r="82" spans="1:9" ht="45" customHeight="1" x14ac:dyDescent="0.25">
      <c r="A82" s="70" t="s">
        <v>619</v>
      </c>
      <c r="B82" s="67">
        <f t="shared" si="0"/>
        <v>21910</v>
      </c>
      <c r="C82" s="68"/>
      <c r="D82" s="68">
        <v>21910</v>
      </c>
      <c r="E82" s="68"/>
      <c r="F82" s="68"/>
      <c r="G82" s="68"/>
      <c r="H82" s="68"/>
      <c r="I82" s="68"/>
    </row>
    <row r="83" spans="1:9" ht="45" customHeight="1" x14ac:dyDescent="0.25">
      <c r="A83" s="71" t="s">
        <v>243</v>
      </c>
      <c r="B83" s="67">
        <f t="shared" si="0"/>
        <v>134310</v>
      </c>
      <c r="C83" s="68"/>
      <c r="D83" s="68"/>
      <c r="E83" s="68"/>
      <c r="F83" s="68"/>
      <c r="G83" s="68">
        <v>134310</v>
      </c>
      <c r="H83" s="68"/>
      <c r="I83" s="68"/>
    </row>
    <row r="84" spans="1:9" ht="45" customHeight="1" x14ac:dyDescent="0.25">
      <c r="A84" s="69" t="s">
        <v>74</v>
      </c>
      <c r="B84" s="67">
        <f t="shared" ref="B84:B148" si="1">SUM(C84:I84)</f>
        <v>85012</v>
      </c>
      <c r="C84" s="68"/>
      <c r="D84" s="68">
        <v>85012</v>
      </c>
      <c r="E84" s="68"/>
      <c r="F84" s="68"/>
      <c r="G84" s="68"/>
      <c r="H84" s="68"/>
      <c r="I84" s="68"/>
    </row>
    <row r="85" spans="1:9" ht="30" customHeight="1" x14ac:dyDescent="0.25">
      <c r="A85" s="66" t="s">
        <v>325</v>
      </c>
      <c r="B85" s="67">
        <f t="shared" si="1"/>
        <v>10600</v>
      </c>
      <c r="C85" s="68"/>
      <c r="D85" s="68">
        <v>10600</v>
      </c>
      <c r="E85" s="68"/>
      <c r="F85" s="68"/>
      <c r="G85" s="68"/>
      <c r="H85" s="68"/>
      <c r="I85" s="68"/>
    </row>
    <row r="86" spans="1:9" ht="30" customHeight="1" x14ac:dyDescent="0.25">
      <c r="A86" s="71" t="s">
        <v>616</v>
      </c>
      <c r="B86" s="67">
        <f t="shared" si="1"/>
        <v>6625</v>
      </c>
      <c r="C86" s="68"/>
      <c r="D86" s="68">
        <v>6625</v>
      </c>
      <c r="E86" s="68"/>
      <c r="F86" s="68"/>
      <c r="G86" s="68"/>
      <c r="H86" s="68"/>
      <c r="I86" s="68"/>
    </row>
    <row r="87" spans="1:9" ht="30" customHeight="1" x14ac:dyDescent="0.25">
      <c r="A87" s="71" t="s">
        <v>246</v>
      </c>
      <c r="B87" s="67">
        <f t="shared" si="1"/>
        <v>5359</v>
      </c>
      <c r="C87" s="68"/>
      <c r="D87" s="68">
        <v>5359</v>
      </c>
      <c r="E87" s="68"/>
      <c r="F87" s="68"/>
      <c r="G87" s="68"/>
      <c r="H87" s="68"/>
      <c r="I87" s="68"/>
    </row>
    <row r="88" spans="1:9" ht="30" customHeight="1" x14ac:dyDescent="0.25">
      <c r="A88" s="71" t="s">
        <v>612</v>
      </c>
      <c r="B88" s="67">
        <f t="shared" si="1"/>
        <v>5539</v>
      </c>
      <c r="C88" s="68"/>
      <c r="D88" s="68">
        <v>5539</v>
      </c>
      <c r="E88" s="68"/>
      <c r="F88" s="68"/>
      <c r="G88" s="68"/>
      <c r="H88" s="68"/>
      <c r="I88" s="68"/>
    </row>
    <row r="89" spans="1:9" ht="30" customHeight="1" x14ac:dyDescent="0.25">
      <c r="A89" s="71" t="s">
        <v>232</v>
      </c>
      <c r="B89" s="67">
        <f t="shared" si="1"/>
        <v>4042</v>
      </c>
      <c r="C89" s="68"/>
      <c r="D89" s="68">
        <v>4042</v>
      </c>
      <c r="E89" s="68"/>
      <c r="F89" s="68"/>
      <c r="G89" s="68"/>
      <c r="H89" s="68"/>
      <c r="I89" s="68"/>
    </row>
    <row r="90" spans="1:9" ht="30" customHeight="1" x14ac:dyDescent="0.25">
      <c r="A90" s="71" t="s">
        <v>235</v>
      </c>
      <c r="B90" s="67">
        <f t="shared" si="1"/>
        <v>6752</v>
      </c>
      <c r="C90" s="68"/>
      <c r="D90" s="68">
        <v>6752</v>
      </c>
      <c r="E90" s="68"/>
      <c r="F90" s="68"/>
      <c r="G90" s="68"/>
      <c r="H90" s="68"/>
      <c r="I90" s="68"/>
    </row>
    <row r="91" spans="1:9" ht="30" customHeight="1" x14ac:dyDescent="0.25">
      <c r="A91" s="71" t="s">
        <v>135</v>
      </c>
      <c r="B91" s="67">
        <f t="shared" si="1"/>
        <v>4700</v>
      </c>
      <c r="C91" s="68"/>
      <c r="D91" s="68">
        <v>4700</v>
      </c>
      <c r="E91" s="68"/>
      <c r="F91" s="68"/>
      <c r="G91" s="68"/>
      <c r="H91" s="68"/>
      <c r="I91" s="68"/>
    </row>
    <row r="92" spans="1:9" ht="30" customHeight="1" x14ac:dyDescent="0.25">
      <c r="A92" s="70" t="s">
        <v>326</v>
      </c>
      <c r="B92" s="67">
        <f t="shared" si="1"/>
        <v>9944</v>
      </c>
      <c r="C92" s="68"/>
      <c r="D92" s="68">
        <v>9944</v>
      </c>
      <c r="E92" s="68"/>
      <c r="F92" s="68"/>
      <c r="G92" s="68"/>
      <c r="H92" s="68"/>
      <c r="I92" s="68"/>
    </row>
    <row r="93" spans="1:9" ht="30" customHeight="1" x14ac:dyDescent="0.25">
      <c r="A93" s="70" t="s">
        <v>611</v>
      </c>
      <c r="B93" s="67">
        <f t="shared" si="1"/>
        <v>550</v>
      </c>
      <c r="C93" s="68"/>
      <c r="D93" s="68">
        <v>550</v>
      </c>
      <c r="E93" s="68"/>
      <c r="F93" s="68"/>
      <c r="G93" s="68"/>
      <c r="H93" s="68"/>
      <c r="I93" s="68"/>
    </row>
    <row r="94" spans="1:9" ht="30" customHeight="1" x14ac:dyDescent="0.25">
      <c r="A94" s="71" t="s">
        <v>132</v>
      </c>
      <c r="B94" s="67">
        <f t="shared" si="1"/>
        <v>10106</v>
      </c>
      <c r="C94" s="68"/>
      <c r="D94" s="68">
        <v>10106</v>
      </c>
      <c r="E94" s="68"/>
      <c r="F94" s="68"/>
      <c r="G94" s="68"/>
      <c r="H94" s="68"/>
      <c r="I94" s="68"/>
    </row>
    <row r="95" spans="1:9" ht="30" customHeight="1" x14ac:dyDescent="0.25">
      <c r="A95" s="71" t="s">
        <v>134</v>
      </c>
      <c r="B95" s="67">
        <f t="shared" si="1"/>
        <v>1513</v>
      </c>
      <c r="C95" s="68"/>
      <c r="D95" s="68">
        <v>1513</v>
      </c>
      <c r="E95" s="68"/>
      <c r="F95" s="68"/>
      <c r="G95" s="68"/>
      <c r="H95" s="68"/>
      <c r="I95" s="68"/>
    </row>
    <row r="96" spans="1:9" ht="30" customHeight="1" x14ac:dyDescent="0.25">
      <c r="A96" s="70" t="s">
        <v>324</v>
      </c>
      <c r="B96" s="67">
        <f t="shared" si="1"/>
        <v>9464</v>
      </c>
      <c r="C96" s="68"/>
      <c r="D96" s="68">
        <v>9464</v>
      </c>
      <c r="E96" s="68"/>
      <c r="F96" s="68"/>
      <c r="G96" s="68"/>
      <c r="H96" s="68"/>
      <c r="I96" s="68"/>
    </row>
    <row r="97" spans="1:9" ht="30" customHeight="1" x14ac:dyDescent="0.25">
      <c r="A97" s="71" t="s">
        <v>248</v>
      </c>
      <c r="B97" s="67">
        <f t="shared" si="1"/>
        <v>10230</v>
      </c>
      <c r="C97" s="68"/>
      <c r="D97" s="68">
        <v>10230</v>
      </c>
      <c r="E97" s="68"/>
      <c r="F97" s="68"/>
      <c r="G97" s="68"/>
      <c r="H97" s="68"/>
      <c r="I97" s="68"/>
    </row>
    <row r="98" spans="1:9" ht="30" customHeight="1" x14ac:dyDescent="0.25">
      <c r="A98" s="71" t="s">
        <v>133</v>
      </c>
      <c r="B98" s="67">
        <f t="shared" si="1"/>
        <v>730</v>
      </c>
      <c r="C98" s="68"/>
      <c r="D98" s="68">
        <v>730</v>
      </c>
      <c r="E98" s="68"/>
      <c r="F98" s="68"/>
      <c r="G98" s="68"/>
      <c r="H98" s="68"/>
      <c r="I98" s="68"/>
    </row>
    <row r="99" spans="1:9" ht="30" customHeight="1" x14ac:dyDescent="0.25">
      <c r="A99" s="71" t="s">
        <v>136</v>
      </c>
      <c r="B99" s="67">
        <f t="shared" si="1"/>
        <v>3508</v>
      </c>
      <c r="C99" s="68"/>
      <c r="D99" s="68">
        <v>3508</v>
      </c>
      <c r="E99" s="68"/>
      <c r="F99" s="68"/>
      <c r="G99" s="68"/>
      <c r="H99" s="68"/>
      <c r="I99" s="68"/>
    </row>
    <row r="100" spans="1:9" ht="45" customHeight="1" x14ac:dyDescent="0.25">
      <c r="A100" s="71" t="s">
        <v>652</v>
      </c>
      <c r="B100" s="67">
        <f t="shared" si="1"/>
        <v>18269</v>
      </c>
      <c r="C100" s="68"/>
      <c r="D100" s="68">
        <v>18269</v>
      </c>
      <c r="E100" s="68"/>
      <c r="F100" s="68"/>
      <c r="G100" s="68"/>
      <c r="H100" s="68"/>
      <c r="I100" s="68"/>
    </row>
    <row r="101" spans="1:9" ht="30" customHeight="1" x14ac:dyDescent="0.25">
      <c r="A101" s="71" t="s">
        <v>613</v>
      </c>
      <c r="B101" s="67">
        <f t="shared" si="1"/>
        <v>6870</v>
      </c>
      <c r="C101" s="68"/>
      <c r="D101" s="68">
        <v>6870</v>
      </c>
      <c r="E101" s="68"/>
      <c r="F101" s="68"/>
      <c r="G101" s="68"/>
      <c r="H101" s="68"/>
      <c r="I101" s="68"/>
    </row>
    <row r="102" spans="1:9" ht="30" customHeight="1" x14ac:dyDescent="0.25">
      <c r="A102" s="71" t="s">
        <v>137</v>
      </c>
      <c r="B102" s="67">
        <f t="shared" si="1"/>
        <v>7985</v>
      </c>
      <c r="C102" s="68"/>
      <c r="D102" s="68">
        <v>7985</v>
      </c>
      <c r="E102" s="68"/>
      <c r="F102" s="68"/>
      <c r="G102" s="68"/>
      <c r="H102" s="68"/>
      <c r="I102" s="68"/>
    </row>
    <row r="103" spans="1:9" ht="45" customHeight="1" x14ac:dyDescent="0.25">
      <c r="A103" s="71" t="s">
        <v>131</v>
      </c>
      <c r="B103" s="67">
        <f t="shared" si="1"/>
        <v>3510</v>
      </c>
      <c r="C103" s="68"/>
      <c r="D103" s="68">
        <v>3510</v>
      </c>
      <c r="E103" s="68"/>
      <c r="F103" s="68"/>
      <c r="G103" s="68"/>
      <c r="H103" s="68"/>
      <c r="I103" s="68"/>
    </row>
    <row r="104" spans="1:9" ht="15" customHeight="1" x14ac:dyDescent="0.25">
      <c r="A104" s="69" t="s">
        <v>19</v>
      </c>
      <c r="B104" s="67">
        <f t="shared" si="1"/>
        <v>138101</v>
      </c>
      <c r="C104" s="68"/>
      <c r="D104" s="68">
        <v>119842</v>
      </c>
      <c r="E104" s="68"/>
      <c r="F104" s="68"/>
      <c r="G104" s="68">
        <v>18259</v>
      </c>
      <c r="H104" s="68"/>
      <c r="I104" s="68"/>
    </row>
    <row r="105" spans="1:9" ht="30" customHeight="1" x14ac:dyDescent="0.25">
      <c r="A105" s="72" t="s">
        <v>175</v>
      </c>
      <c r="B105" s="67">
        <f t="shared" si="1"/>
        <v>5541</v>
      </c>
      <c r="C105" s="73"/>
      <c r="D105" s="68">
        <v>5541</v>
      </c>
      <c r="E105" s="68"/>
      <c r="F105" s="68"/>
      <c r="G105" s="73"/>
      <c r="H105" s="68"/>
      <c r="I105" s="68"/>
    </row>
    <row r="106" spans="1:9" ht="30" customHeight="1" x14ac:dyDescent="0.25">
      <c r="A106" s="72" t="s">
        <v>174</v>
      </c>
      <c r="B106" s="67">
        <f t="shared" si="1"/>
        <v>3089</v>
      </c>
      <c r="C106" s="74"/>
      <c r="D106" s="68">
        <v>3089</v>
      </c>
      <c r="E106" s="68"/>
      <c r="F106" s="68"/>
      <c r="G106" s="74"/>
      <c r="H106" s="68"/>
      <c r="I106" s="68"/>
    </row>
    <row r="107" spans="1:9" ht="15" customHeight="1" x14ac:dyDescent="0.25">
      <c r="A107" s="69" t="s">
        <v>181</v>
      </c>
      <c r="B107" s="67">
        <f t="shared" si="1"/>
        <v>95426</v>
      </c>
      <c r="C107" s="68"/>
      <c r="D107" s="68">
        <v>95426</v>
      </c>
      <c r="E107" s="68"/>
      <c r="F107" s="68"/>
      <c r="G107" s="68"/>
      <c r="H107" s="68"/>
      <c r="I107" s="68"/>
    </row>
    <row r="108" spans="1:9" ht="15" customHeight="1" x14ac:dyDescent="0.25">
      <c r="A108" s="69" t="s">
        <v>184</v>
      </c>
      <c r="B108" s="67">
        <f t="shared" si="1"/>
        <v>148887</v>
      </c>
      <c r="C108" s="68"/>
      <c r="D108" s="68">
        <v>103703</v>
      </c>
      <c r="E108" s="68"/>
      <c r="F108" s="68"/>
      <c r="G108" s="68">
        <v>6934</v>
      </c>
      <c r="H108" s="68">
        <v>38250</v>
      </c>
      <c r="I108" s="68"/>
    </row>
    <row r="109" spans="1:9" ht="30" customHeight="1" x14ac:dyDescent="0.25">
      <c r="A109" s="69" t="s">
        <v>20</v>
      </c>
      <c r="B109" s="67">
        <f t="shared" si="1"/>
        <v>30049</v>
      </c>
      <c r="C109" s="68">
        <v>24958</v>
      </c>
      <c r="D109" s="68">
        <v>5091</v>
      </c>
      <c r="E109" s="68"/>
      <c r="F109" s="68"/>
      <c r="G109" s="68"/>
      <c r="H109" s="68"/>
      <c r="I109" s="68"/>
    </row>
    <row r="110" spans="1:9" ht="30" customHeight="1" x14ac:dyDescent="0.25">
      <c r="A110" s="69" t="s">
        <v>280</v>
      </c>
      <c r="B110" s="67">
        <f t="shared" si="1"/>
        <v>64424</v>
      </c>
      <c r="C110" s="68">
        <v>40502</v>
      </c>
      <c r="D110" s="68">
        <v>23922</v>
      </c>
      <c r="E110" s="68"/>
      <c r="F110" s="68"/>
      <c r="G110" s="68"/>
      <c r="H110" s="68"/>
      <c r="I110" s="68"/>
    </row>
    <row r="111" spans="1:9" ht="30" customHeight="1" x14ac:dyDescent="0.25">
      <c r="A111" s="69" t="s">
        <v>21</v>
      </c>
      <c r="B111" s="67">
        <f t="shared" si="1"/>
        <v>34205</v>
      </c>
      <c r="C111" s="68">
        <v>29649</v>
      </c>
      <c r="D111" s="68">
        <v>4556</v>
      </c>
      <c r="E111" s="68"/>
      <c r="F111" s="68"/>
      <c r="G111" s="68"/>
      <c r="H111" s="68"/>
      <c r="I111" s="68"/>
    </row>
    <row r="112" spans="1:9" ht="30" customHeight="1" x14ac:dyDescent="0.25">
      <c r="A112" s="69" t="s">
        <v>22</v>
      </c>
      <c r="B112" s="67">
        <f t="shared" si="1"/>
        <v>41764</v>
      </c>
      <c r="C112" s="68">
        <v>32370</v>
      </c>
      <c r="D112" s="68">
        <v>9394</v>
      </c>
      <c r="E112" s="68"/>
      <c r="F112" s="68"/>
      <c r="G112" s="68"/>
      <c r="H112" s="68"/>
      <c r="I112" s="68"/>
    </row>
    <row r="113" spans="1:9" ht="30" customHeight="1" x14ac:dyDescent="0.25">
      <c r="A113" s="69" t="s">
        <v>23</v>
      </c>
      <c r="B113" s="67">
        <f t="shared" si="1"/>
        <v>21120</v>
      </c>
      <c r="C113" s="68">
        <v>12851</v>
      </c>
      <c r="D113" s="68">
        <v>8269</v>
      </c>
      <c r="E113" s="68"/>
      <c r="F113" s="68"/>
      <c r="G113" s="68"/>
      <c r="H113" s="68"/>
      <c r="I113" s="68"/>
    </row>
    <row r="114" spans="1:9" ht="30" customHeight="1" x14ac:dyDescent="0.25">
      <c r="A114" s="69" t="s">
        <v>24</v>
      </c>
      <c r="B114" s="67">
        <f t="shared" si="1"/>
        <v>65563</v>
      </c>
      <c r="C114" s="68">
        <v>53633</v>
      </c>
      <c r="D114" s="68">
        <v>11930</v>
      </c>
      <c r="E114" s="68"/>
      <c r="F114" s="68"/>
      <c r="G114" s="68"/>
      <c r="H114" s="68"/>
      <c r="I114" s="68"/>
    </row>
    <row r="115" spans="1:9" ht="30" customHeight="1" x14ac:dyDescent="0.25">
      <c r="A115" s="71" t="s">
        <v>327</v>
      </c>
      <c r="B115" s="67">
        <f t="shared" si="1"/>
        <v>78154</v>
      </c>
      <c r="C115" s="68">
        <v>26654</v>
      </c>
      <c r="D115" s="68">
        <v>51500</v>
      </c>
      <c r="E115" s="68"/>
      <c r="F115" s="68"/>
      <c r="G115" s="68"/>
      <c r="H115" s="68"/>
      <c r="I115" s="68"/>
    </row>
    <row r="116" spans="1:9" ht="30" customHeight="1" x14ac:dyDescent="0.25">
      <c r="A116" s="72" t="s">
        <v>139</v>
      </c>
      <c r="B116" s="67">
        <f t="shared" si="1"/>
        <v>88380</v>
      </c>
      <c r="C116" s="75">
        <v>65249</v>
      </c>
      <c r="D116" s="68">
        <v>23131</v>
      </c>
      <c r="E116" s="68"/>
      <c r="F116" s="68"/>
      <c r="G116" s="75"/>
      <c r="H116" s="68"/>
      <c r="I116" s="68"/>
    </row>
    <row r="117" spans="1:9" ht="30" customHeight="1" x14ac:dyDescent="0.25">
      <c r="A117" s="69" t="s">
        <v>25</v>
      </c>
      <c r="B117" s="67">
        <f t="shared" si="1"/>
        <v>52144</v>
      </c>
      <c r="C117" s="68">
        <v>37346</v>
      </c>
      <c r="D117" s="68">
        <v>14798</v>
      </c>
      <c r="E117" s="68"/>
      <c r="F117" s="68"/>
      <c r="G117" s="68"/>
      <c r="H117" s="68"/>
      <c r="I117" s="68"/>
    </row>
    <row r="118" spans="1:9" ht="30" customHeight="1" x14ac:dyDescent="0.25">
      <c r="A118" s="71" t="s">
        <v>328</v>
      </c>
      <c r="B118" s="67">
        <f t="shared" si="1"/>
        <v>8857</v>
      </c>
      <c r="C118" s="68">
        <v>5673</v>
      </c>
      <c r="D118" s="68">
        <v>3184</v>
      </c>
      <c r="E118" s="68"/>
      <c r="F118" s="68"/>
      <c r="G118" s="68"/>
      <c r="H118" s="68"/>
      <c r="I118" s="68"/>
    </row>
    <row r="119" spans="1:9" ht="30" customHeight="1" x14ac:dyDescent="0.25">
      <c r="A119" s="72" t="s">
        <v>140</v>
      </c>
      <c r="B119" s="67">
        <f t="shared" si="1"/>
        <v>200551</v>
      </c>
      <c r="C119" s="75">
        <v>163629</v>
      </c>
      <c r="D119" s="68">
        <v>36922</v>
      </c>
      <c r="E119" s="68"/>
      <c r="F119" s="68"/>
      <c r="G119" s="75"/>
      <c r="H119" s="68"/>
      <c r="I119" s="68"/>
    </row>
    <row r="120" spans="1:9" ht="30" customHeight="1" x14ac:dyDescent="0.25">
      <c r="A120" s="71" t="s">
        <v>329</v>
      </c>
      <c r="B120" s="67">
        <f t="shared" si="1"/>
        <v>7017</v>
      </c>
      <c r="C120" s="68">
        <v>4373</v>
      </c>
      <c r="D120" s="68">
        <v>2644</v>
      </c>
      <c r="E120" s="68"/>
      <c r="F120" s="68"/>
      <c r="G120" s="68"/>
      <c r="H120" s="68"/>
      <c r="I120" s="68"/>
    </row>
    <row r="121" spans="1:9" ht="30" customHeight="1" x14ac:dyDescent="0.25">
      <c r="A121" s="69" t="s">
        <v>26</v>
      </c>
      <c r="B121" s="67">
        <f t="shared" si="1"/>
        <v>90813</v>
      </c>
      <c r="C121" s="68">
        <v>52637</v>
      </c>
      <c r="D121" s="68">
        <v>37074</v>
      </c>
      <c r="E121" s="68"/>
      <c r="F121" s="68"/>
      <c r="G121" s="68">
        <v>1102</v>
      </c>
      <c r="H121" s="68"/>
      <c r="I121" s="68"/>
    </row>
    <row r="122" spans="1:9" ht="30" customHeight="1" x14ac:dyDescent="0.25">
      <c r="A122" s="69" t="s">
        <v>27</v>
      </c>
      <c r="B122" s="67">
        <f t="shared" si="1"/>
        <v>45796</v>
      </c>
      <c r="C122" s="68">
        <v>35954</v>
      </c>
      <c r="D122" s="68">
        <v>9842</v>
      </c>
      <c r="E122" s="68"/>
      <c r="F122" s="68"/>
      <c r="G122" s="68"/>
      <c r="H122" s="68"/>
      <c r="I122" s="68"/>
    </row>
    <row r="123" spans="1:9" ht="30" customHeight="1" x14ac:dyDescent="0.25">
      <c r="A123" s="71" t="s">
        <v>189</v>
      </c>
      <c r="B123" s="67">
        <f t="shared" si="1"/>
        <v>4478</v>
      </c>
      <c r="C123" s="68"/>
      <c r="D123" s="68">
        <v>4478</v>
      </c>
      <c r="E123" s="68"/>
      <c r="F123" s="68"/>
      <c r="G123" s="68"/>
      <c r="H123" s="68"/>
      <c r="I123" s="68"/>
    </row>
    <row r="124" spans="1:9" ht="30" customHeight="1" x14ac:dyDescent="0.25">
      <c r="A124" s="69" t="s">
        <v>28</v>
      </c>
      <c r="B124" s="67">
        <f t="shared" si="1"/>
        <v>91488</v>
      </c>
      <c r="C124" s="68">
        <v>77681</v>
      </c>
      <c r="D124" s="68">
        <v>8074</v>
      </c>
      <c r="E124" s="68"/>
      <c r="F124" s="68"/>
      <c r="G124" s="68">
        <v>5733</v>
      </c>
      <c r="H124" s="68"/>
      <c r="I124" s="68"/>
    </row>
    <row r="125" spans="1:9" ht="15" customHeight="1" x14ac:dyDescent="0.25">
      <c r="A125" s="69" t="s">
        <v>29</v>
      </c>
      <c r="B125" s="67">
        <f t="shared" si="1"/>
        <v>1587437</v>
      </c>
      <c r="C125" s="68">
        <f>709140+C126</f>
        <v>791318</v>
      </c>
      <c r="D125" s="68">
        <f>734954+D126</f>
        <v>784272</v>
      </c>
      <c r="E125" s="68">
        <f t="shared" ref="E125:I125" si="2">E126</f>
        <v>0</v>
      </c>
      <c r="F125" s="68">
        <f t="shared" si="2"/>
        <v>0</v>
      </c>
      <c r="G125" s="68">
        <f>8250+2600+G126</f>
        <v>11847</v>
      </c>
      <c r="H125" s="68">
        <f t="shared" si="2"/>
        <v>0</v>
      </c>
      <c r="I125" s="68">
        <f t="shared" si="2"/>
        <v>0</v>
      </c>
    </row>
    <row r="126" spans="1:9" ht="15" customHeight="1" x14ac:dyDescent="0.25">
      <c r="A126" s="69" t="s">
        <v>231</v>
      </c>
      <c r="B126" s="67">
        <f t="shared" si="1"/>
        <v>132493</v>
      </c>
      <c r="C126" s="68">
        <f>205437+C127</f>
        <v>82178</v>
      </c>
      <c r="D126" s="68">
        <f>129806+D127</f>
        <v>49318</v>
      </c>
      <c r="E126" s="68">
        <f>E127</f>
        <v>0</v>
      </c>
      <c r="F126" s="68">
        <f>+F127</f>
        <v>0</v>
      </c>
      <c r="G126" s="68">
        <f>+G127</f>
        <v>997</v>
      </c>
      <c r="H126" s="68">
        <f>+H127</f>
        <v>0</v>
      </c>
      <c r="I126" s="68">
        <f>+I127</f>
        <v>0</v>
      </c>
    </row>
    <row r="127" spans="1:9" s="109" customFormat="1" ht="15" customHeight="1" x14ac:dyDescent="0.25">
      <c r="A127" s="106" t="s">
        <v>661</v>
      </c>
      <c r="B127" s="107">
        <f>SUM(C127:I127)</f>
        <v>-202750</v>
      </c>
      <c r="C127" s="108">
        <v>-123259</v>
      </c>
      <c r="D127" s="108">
        <v>-80488</v>
      </c>
      <c r="E127" s="108"/>
      <c r="F127" s="108"/>
      <c r="G127" s="108">
        <v>997</v>
      </c>
      <c r="H127" s="108"/>
      <c r="I127" s="108"/>
    </row>
    <row r="128" spans="1:9" ht="30" customHeight="1" x14ac:dyDescent="0.25">
      <c r="A128" s="71" t="s">
        <v>172</v>
      </c>
      <c r="B128" s="67">
        <f t="shared" si="1"/>
        <v>33391</v>
      </c>
      <c r="C128" s="68"/>
      <c r="D128" s="68">
        <v>33391</v>
      </c>
      <c r="E128" s="68"/>
      <c r="F128" s="68"/>
      <c r="G128" s="68"/>
      <c r="H128" s="68"/>
      <c r="I128" s="68"/>
    </row>
    <row r="129" spans="1:9" ht="30" customHeight="1" x14ac:dyDescent="0.25">
      <c r="A129" s="71" t="s">
        <v>116</v>
      </c>
      <c r="B129" s="67">
        <f t="shared" si="1"/>
        <v>7500</v>
      </c>
      <c r="C129" s="68"/>
      <c r="D129" s="68">
        <v>7500</v>
      </c>
      <c r="E129" s="68"/>
      <c r="F129" s="68"/>
      <c r="G129" s="68"/>
      <c r="H129" s="68"/>
      <c r="I129" s="68"/>
    </row>
    <row r="130" spans="1:9" ht="30" customHeight="1" x14ac:dyDescent="0.25">
      <c r="A130" s="71" t="s">
        <v>120</v>
      </c>
      <c r="B130" s="67">
        <f t="shared" si="1"/>
        <v>1000</v>
      </c>
      <c r="C130" s="68"/>
      <c r="D130" s="68">
        <v>1000</v>
      </c>
      <c r="E130" s="68"/>
      <c r="F130" s="68"/>
      <c r="G130" s="68"/>
      <c r="H130" s="68"/>
      <c r="I130" s="68"/>
    </row>
    <row r="131" spans="1:9" ht="30" customHeight="1" x14ac:dyDescent="0.25">
      <c r="A131" s="71" t="s">
        <v>117</v>
      </c>
      <c r="B131" s="67">
        <f t="shared" si="1"/>
        <v>9827</v>
      </c>
      <c r="C131" s="68"/>
      <c r="D131" s="68">
        <v>9827</v>
      </c>
      <c r="E131" s="68"/>
      <c r="F131" s="68"/>
      <c r="G131" s="68"/>
      <c r="H131" s="68"/>
      <c r="I131" s="68"/>
    </row>
    <row r="132" spans="1:9" ht="30" customHeight="1" x14ac:dyDescent="0.25">
      <c r="A132" s="71" t="s">
        <v>118</v>
      </c>
      <c r="B132" s="67">
        <f t="shared" si="1"/>
        <v>3200</v>
      </c>
      <c r="C132" s="68"/>
      <c r="D132" s="68">
        <v>3200</v>
      </c>
      <c r="E132" s="68"/>
      <c r="F132" s="68"/>
      <c r="G132" s="68"/>
      <c r="H132" s="68"/>
      <c r="I132" s="68"/>
    </row>
    <row r="133" spans="1:9" ht="30" customHeight="1" x14ac:dyDescent="0.25">
      <c r="A133" s="69" t="s">
        <v>620</v>
      </c>
      <c r="B133" s="67">
        <f t="shared" si="1"/>
        <v>129108</v>
      </c>
      <c r="C133" s="68">
        <v>92505</v>
      </c>
      <c r="D133" s="68">
        <v>36603</v>
      </c>
      <c r="E133" s="68"/>
      <c r="F133" s="68"/>
      <c r="G133" s="68"/>
      <c r="H133" s="68"/>
      <c r="I133" s="68"/>
    </row>
    <row r="134" spans="1:9" ht="30" customHeight="1" x14ac:dyDescent="0.25">
      <c r="A134" s="71" t="s">
        <v>102</v>
      </c>
      <c r="B134" s="67">
        <f t="shared" si="1"/>
        <v>17596</v>
      </c>
      <c r="C134" s="68">
        <v>15637</v>
      </c>
      <c r="D134" s="68">
        <v>1959</v>
      </c>
      <c r="E134" s="68"/>
      <c r="F134" s="68"/>
      <c r="G134" s="68"/>
      <c r="H134" s="68"/>
      <c r="I134" s="68"/>
    </row>
    <row r="135" spans="1:9" ht="30" customHeight="1" x14ac:dyDescent="0.25">
      <c r="A135" s="71" t="s">
        <v>98</v>
      </c>
      <c r="B135" s="67">
        <f t="shared" si="1"/>
        <v>16233</v>
      </c>
      <c r="C135" s="68">
        <v>13077</v>
      </c>
      <c r="D135" s="68">
        <v>3156</v>
      </c>
      <c r="E135" s="68"/>
      <c r="F135" s="68"/>
      <c r="G135" s="68"/>
      <c r="H135" s="68"/>
      <c r="I135" s="68"/>
    </row>
    <row r="136" spans="1:9" ht="30" customHeight="1" x14ac:dyDescent="0.25">
      <c r="A136" s="71" t="s">
        <v>104</v>
      </c>
      <c r="B136" s="67">
        <f t="shared" si="1"/>
        <v>25617</v>
      </c>
      <c r="C136" s="68">
        <v>14711</v>
      </c>
      <c r="D136" s="68">
        <v>4608</v>
      </c>
      <c r="E136" s="68"/>
      <c r="F136" s="68"/>
      <c r="G136" s="68">
        <v>6298</v>
      </c>
      <c r="H136" s="68"/>
      <c r="I136" s="68"/>
    </row>
    <row r="137" spans="1:9" ht="30" customHeight="1" x14ac:dyDescent="0.25">
      <c r="A137" s="71" t="s">
        <v>112</v>
      </c>
      <c r="B137" s="67">
        <f t="shared" si="1"/>
        <v>19871</v>
      </c>
      <c r="C137" s="68">
        <v>17297</v>
      </c>
      <c r="D137" s="68">
        <v>2574</v>
      </c>
      <c r="E137" s="68"/>
      <c r="F137" s="68"/>
      <c r="G137" s="68"/>
      <c r="H137" s="68"/>
      <c r="I137" s="68"/>
    </row>
    <row r="138" spans="1:9" ht="30" customHeight="1" x14ac:dyDescent="0.25">
      <c r="A138" s="71" t="s">
        <v>114</v>
      </c>
      <c r="B138" s="67">
        <f t="shared" si="1"/>
        <v>24403</v>
      </c>
      <c r="C138" s="68">
        <v>19021</v>
      </c>
      <c r="D138" s="68">
        <v>5382</v>
      </c>
      <c r="E138" s="68"/>
      <c r="F138" s="68"/>
      <c r="G138" s="68"/>
      <c r="H138" s="68"/>
      <c r="I138" s="68"/>
    </row>
    <row r="139" spans="1:9" ht="15" customHeight="1" x14ac:dyDescent="0.25">
      <c r="A139" s="71" t="s">
        <v>119</v>
      </c>
      <c r="B139" s="67">
        <f t="shared" si="1"/>
        <v>207984</v>
      </c>
      <c r="C139" s="68">
        <v>173027</v>
      </c>
      <c r="D139" s="68">
        <v>34957</v>
      </c>
      <c r="E139" s="68"/>
      <c r="F139" s="68"/>
      <c r="G139" s="68"/>
      <c r="H139" s="68"/>
      <c r="I139" s="68"/>
    </row>
    <row r="140" spans="1:9" ht="30" customHeight="1" x14ac:dyDescent="0.25">
      <c r="A140" s="71" t="s">
        <v>234</v>
      </c>
      <c r="B140" s="67">
        <f t="shared" si="1"/>
        <v>50091</v>
      </c>
      <c r="C140" s="68">
        <v>34702</v>
      </c>
      <c r="D140" s="68">
        <v>15389</v>
      </c>
      <c r="E140" s="68"/>
      <c r="F140" s="68"/>
      <c r="G140" s="68"/>
      <c r="H140" s="68"/>
      <c r="I140" s="68"/>
    </row>
    <row r="141" spans="1:9" ht="30" customHeight="1" x14ac:dyDescent="0.25">
      <c r="A141" s="71" t="s">
        <v>109</v>
      </c>
      <c r="B141" s="67">
        <f t="shared" si="1"/>
        <v>99443</v>
      </c>
      <c r="C141" s="68">
        <v>27463</v>
      </c>
      <c r="D141" s="68">
        <v>71980</v>
      </c>
      <c r="E141" s="68"/>
      <c r="F141" s="68"/>
      <c r="G141" s="68"/>
      <c r="H141" s="68"/>
      <c r="I141" s="68"/>
    </row>
    <row r="142" spans="1:9" ht="30" customHeight="1" x14ac:dyDescent="0.25">
      <c r="A142" s="71" t="s">
        <v>106</v>
      </c>
      <c r="B142" s="67">
        <f t="shared" si="1"/>
        <v>39564</v>
      </c>
      <c r="C142" s="68">
        <v>28269</v>
      </c>
      <c r="D142" s="68">
        <v>11295</v>
      </c>
      <c r="E142" s="68"/>
      <c r="F142" s="68"/>
      <c r="G142" s="68"/>
      <c r="H142" s="68"/>
      <c r="I142" s="68"/>
    </row>
    <row r="143" spans="1:9" ht="30" customHeight="1" x14ac:dyDescent="0.25">
      <c r="A143" s="71" t="s">
        <v>249</v>
      </c>
      <c r="B143" s="67">
        <f t="shared" si="1"/>
        <v>56232</v>
      </c>
      <c r="C143" s="68">
        <v>34462</v>
      </c>
      <c r="D143" s="68">
        <v>21770</v>
      </c>
      <c r="E143" s="68"/>
      <c r="F143" s="68"/>
      <c r="G143" s="68"/>
      <c r="H143" s="68"/>
      <c r="I143" s="68"/>
    </row>
    <row r="144" spans="1:9" ht="30" customHeight="1" x14ac:dyDescent="0.25">
      <c r="A144" s="71" t="s">
        <v>111</v>
      </c>
      <c r="B144" s="67">
        <f t="shared" si="1"/>
        <v>26275</v>
      </c>
      <c r="C144" s="68">
        <v>19127</v>
      </c>
      <c r="D144" s="68">
        <v>7148</v>
      </c>
      <c r="E144" s="68"/>
      <c r="F144" s="68"/>
      <c r="G144" s="68"/>
      <c r="H144" s="68"/>
      <c r="I144" s="68"/>
    </row>
    <row r="145" spans="1:9" ht="30" customHeight="1" x14ac:dyDescent="0.25">
      <c r="A145" s="71" t="s">
        <v>99</v>
      </c>
      <c r="B145" s="67">
        <f t="shared" si="1"/>
        <v>78995</v>
      </c>
      <c r="C145" s="68">
        <v>24989</v>
      </c>
      <c r="D145" s="68">
        <v>54006</v>
      </c>
      <c r="E145" s="68"/>
      <c r="F145" s="68"/>
      <c r="G145" s="68"/>
      <c r="H145" s="68"/>
      <c r="I145" s="68"/>
    </row>
    <row r="146" spans="1:9" ht="30" customHeight="1" x14ac:dyDescent="0.25">
      <c r="A146" s="71" t="s">
        <v>101</v>
      </c>
      <c r="B146" s="67">
        <f t="shared" si="1"/>
        <v>97125</v>
      </c>
      <c r="C146" s="68">
        <v>27726</v>
      </c>
      <c r="D146" s="68">
        <v>69399</v>
      </c>
      <c r="E146" s="68"/>
      <c r="F146" s="68"/>
      <c r="G146" s="68"/>
      <c r="H146" s="68"/>
      <c r="I146" s="68"/>
    </row>
    <row r="147" spans="1:9" ht="15" customHeight="1" x14ac:dyDescent="0.25">
      <c r="A147" s="66" t="s">
        <v>195</v>
      </c>
      <c r="B147" s="67">
        <f t="shared" si="1"/>
        <v>2843</v>
      </c>
      <c r="C147" s="68"/>
      <c r="D147" s="68">
        <v>2843</v>
      </c>
      <c r="E147" s="68"/>
      <c r="F147" s="68"/>
      <c r="G147" s="68"/>
      <c r="H147" s="68"/>
      <c r="I147" s="68"/>
    </row>
    <row r="148" spans="1:9" ht="15" customHeight="1" x14ac:dyDescent="0.25">
      <c r="A148" s="66" t="s">
        <v>194</v>
      </c>
      <c r="B148" s="67">
        <f t="shared" si="1"/>
        <v>12584</v>
      </c>
      <c r="C148" s="68"/>
      <c r="D148" s="68">
        <v>12584</v>
      </c>
      <c r="E148" s="68"/>
      <c r="F148" s="68"/>
      <c r="G148" s="68"/>
      <c r="H148" s="68"/>
      <c r="I148" s="68"/>
    </row>
    <row r="149" spans="1:9" ht="30" customHeight="1" x14ac:dyDescent="0.25">
      <c r="A149" s="71" t="s">
        <v>606</v>
      </c>
      <c r="B149" s="67">
        <f t="shared" ref="B149:B212" si="3">SUM(C149:I149)</f>
        <v>2622</v>
      </c>
      <c r="C149" s="68"/>
      <c r="D149" s="68">
        <v>2622</v>
      </c>
      <c r="E149" s="68"/>
      <c r="F149" s="68"/>
      <c r="G149" s="68"/>
      <c r="H149" s="68"/>
      <c r="I149" s="68"/>
    </row>
    <row r="150" spans="1:9" ht="30" customHeight="1" x14ac:dyDescent="0.25">
      <c r="A150" s="71" t="s">
        <v>247</v>
      </c>
      <c r="B150" s="67">
        <f t="shared" si="3"/>
        <v>4769</v>
      </c>
      <c r="C150" s="68"/>
      <c r="D150" s="68">
        <v>4769</v>
      </c>
      <c r="E150" s="68"/>
      <c r="F150" s="68"/>
      <c r="G150" s="68"/>
      <c r="H150" s="68"/>
      <c r="I150" s="68"/>
    </row>
    <row r="151" spans="1:9" ht="30" customHeight="1" x14ac:dyDescent="0.25">
      <c r="A151" s="71" t="s">
        <v>607</v>
      </c>
      <c r="B151" s="67">
        <f t="shared" si="3"/>
        <v>6768</v>
      </c>
      <c r="C151" s="68">
        <v>2138</v>
      </c>
      <c r="D151" s="68">
        <v>4630</v>
      </c>
      <c r="E151" s="68"/>
      <c r="F151" s="68"/>
      <c r="G151" s="68"/>
      <c r="H151" s="68"/>
      <c r="I151" s="68"/>
    </row>
    <row r="152" spans="1:9" ht="30" customHeight="1" x14ac:dyDescent="0.25">
      <c r="A152" s="71" t="s">
        <v>233</v>
      </c>
      <c r="B152" s="67">
        <f t="shared" si="3"/>
        <v>3791</v>
      </c>
      <c r="C152" s="68"/>
      <c r="D152" s="68">
        <v>3791</v>
      </c>
      <c r="E152" s="68"/>
      <c r="F152" s="68"/>
      <c r="G152" s="68"/>
      <c r="H152" s="68"/>
      <c r="I152" s="68"/>
    </row>
    <row r="153" spans="1:9" ht="30" customHeight="1" x14ac:dyDescent="0.25">
      <c r="A153" s="71" t="s">
        <v>236</v>
      </c>
      <c r="B153" s="67">
        <f t="shared" si="3"/>
        <v>5348</v>
      </c>
      <c r="C153" s="68"/>
      <c r="D153" s="68">
        <v>5348</v>
      </c>
      <c r="E153" s="68"/>
      <c r="F153" s="68"/>
      <c r="G153" s="68"/>
      <c r="H153" s="68"/>
      <c r="I153" s="68"/>
    </row>
    <row r="154" spans="1:9" ht="30" customHeight="1" x14ac:dyDescent="0.25">
      <c r="A154" s="71" t="s">
        <v>110</v>
      </c>
      <c r="B154" s="67">
        <f t="shared" si="3"/>
        <v>13746</v>
      </c>
      <c r="C154" s="68">
        <v>8746</v>
      </c>
      <c r="D154" s="68">
        <v>5000</v>
      </c>
      <c r="E154" s="68"/>
      <c r="F154" s="68"/>
      <c r="G154" s="68"/>
      <c r="H154" s="68"/>
      <c r="I154" s="68"/>
    </row>
    <row r="155" spans="1:9" ht="15" customHeight="1" x14ac:dyDescent="0.25">
      <c r="A155" s="76" t="s">
        <v>141</v>
      </c>
      <c r="B155" s="67">
        <f t="shared" si="3"/>
        <v>9097</v>
      </c>
      <c r="C155" s="77"/>
      <c r="D155" s="68">
        <v>9097</v>
      </c>
      <c r="E155" s="68"/>
      <c r="F155" s="68"/>
      <c r="G155" s="77"/>
      <c r="H155" s="68"/>
      <c r="I155" s="68"/>
    </row>
    <row r="156" spans="1:9" ht="30" customHeight="1" x14ac:dyDescent="0.25">
      <c r="A156" s="71" t="s">
        <v>608</v>
      </c>
      <c r="B156" s="67">
        <f t="shared" si="3"/>
        <v>2783</v>
      </c>
      <c r="C156" s="78"/>
      <c r="D156" s="68">
        <v>2783</v>
      </c>
      <c r="E156" s="68"/>
      <c r="F156" s="68"/>
      <c r="G156" s="78"/>
      <c r="H156" s="68"/>
      <c r="I156" s="68"/>
    </row>
    <row r="157" spans="1:9" ht="30" customHeight="1" x14ac:dyDescent="0.25">
      <c r="A157" s="71" t="s">
        <v>103</v>
      </c>
      <c r="B157" s="67">
        <f t="shared" si="3"/>
        <v>5313</v>
      </c>
      <c r="C157" s="68"/>
      <c r="D157" s="68">
        <v>5313</v>
      </c>
      <c r="E157" s="68"/>
      <c r="F157" s="68"/>
      <c r="G157" s="68"/>
      <c r="H157" s="68"/>
      <c r="I157" s="68"/>
    </row>
    <row r="158" spans="1:9" ht="30" customHeight="1" x14ac:dyDescent="0.25">
      <c r="A158" s="71" t="s">
        <v>107</v>
      </c>
      <c r="B158" s="67">
        <f t="shared" si="3"/>
        <v>2977</v>
      </c>
      <c r="C158" s="68"/>
      <c r="D158" s="68">
        <v>2977</v>
      </c>
      <c r="E158" s="68"/>
      <c r="F158" s="68"/>
      <c r="G158" s="68"/>
      <c r="H158" s="68"/>
      <c r="I158" s="68"/>
    </row>
    <row r="159" spans="1:9" ht="15" customHeight="1" x14ac:dyDescent="0.25">
      <c r="A159" s="76" t="s">
        <v>142</v>
      </c>
      <c r="B159" s="67">
        <f t="shared" si="3"/>
        <v>9246</v>
      </c>
      <c r="C159" s="77"/>
      <c r="D159" s="68">
        <v>9246</v>
      </c>
      <c r="E159" s="68"/>
      <c r="F159" s="68"/>
      <c r="G159" s="77"/>
      <c r="H159" s="68"/>
      <c r="I159" s="68"/>
    </row>
    <row r="160" spans="1:9" ht="30" customHeight="1" x14ac:dyDescent="0.25">
      <c r="A160" s="71" t="s">
        <v>108</v>
      </c>
      <c r="B160" s="67">
        <f t="shared" si="3"/>
        <v>2490</v>
      </c>
      <c r="C160" s="68"/>
      <c r="D160" s="68">
        <v>2490</v>
      </c>
      <c r="E160" s="68"/>
      <c r="F160" s="68"/>
      <c r="G160" s="68"/>
      <c r="H160" s="68"/>
      <c r="I160" s="68"/>
    </row>
    <row r="161" spans="1:9" ht="15" customHeight="1" x14ac:dyDescent="0.25">
      <c r="A161" s="71" t="s">
        <v>250</v>
      </c>
      <c r="B161" s="67">
        <f t="shared" si="3"/>
        <v>8746</v>
      </c>
      <c r="C161" s="68"/>
      <c r="D161" s="68">
        <v>8746</v>
      </c>
      <c r="E161" s="68"/>
      <c r="F161" s="68"/>
      <c r="G161" s="68"/>
      <c r="H161" s="68"/>
      <c r="I161" s="68"/>
    </row>
    <row r="162" spans="1:9" ht="30" customHeight="1" x14ac:dyDescent="0.25">
      <c r="A162" s="71" t="s">
        <v>105</v>
      </c>
      <c r="B162" s="67">
        <f t="shared" si="3"/>
        <v>2315</v>
      </c>
      <c r="C162" s="68"/>
      <c r="D162" s="68">
        <v>2315</v>
      </c>
      <c r="E162" s="68"/>
      <c r="F162" s="68"/>
      <c r="G162" s="68"/>
      <c r="H162" s="68"/>
      <c r="I162" s="68"/>
    </row>
    <row r="163" spans="1:9" ht="30" customHeight="1" x14ac:dyDescent="0.25">
      <c r="A163" s="71" t="s">
        <v>604</v>
      </c>
      <c r="B163" s="67">
        <f t="shared" si="3"/>
        <v>2300</v>
      </c>
      <c r="C163" s="68"/>
      <c r="D163" s="68">
        <v>2300</v>
      </c>
      <c r="E163" s="68"/>
      <c r="F163" s="68"/>
      <c r="G163" s="68"/>
      <c r="H163" s="68"/>
      <c r="I163" s="68"/>
    </row>
    <row r="164" spans="1:9" ht="30" customHeight="1" x14ac:dyDescent="0.25">
      <c r="A164" s="71" t="s">
        <v>113</v>
      </c>
      <c r="B164" s="67">
        <f t="shared" si="3"/>
        <v>3974</v>
      </c>
      <c r="C164" s="68"/>
      <c r="D164" s="68">
        <v>3974</v>
      </c>
      <c r="E164" s="68"/>
      <c r="F164" s="68"/>
      <c r="G164" s="68"/>
      <c r="H164" s="68"/>
      <c r="I164" s="68"/>
    </row>
    <row r="165" spans="1:9" ht="30" customHeight="1" x14ac:dyDescent="0.25">
      <c r="A165" s="71" t="s">
        <v>100</v>
      </c>
      <c r="B165" s="67">
        <f t="shared" si="3"/>
        <v>34480</v>
      </c>
      <c r="C165" s="68">
        <v>26611</v>
      </c>
      <c r="D165" s="68">
        <v>7869</v>
      </c>
      <c r="E165" s="68"/>
      <c r="F165" s="68"/>
      <c r="G165" s="68"/>
      <c r="H165" s="68"/>
      <c r="I165" s="68"/>
    </row>
    <row r="166" spans="1:9" ht="30" customHeight="1" x14ac:dyDescent="0.25">
      <c r="A166" s="71" t="s">
        <v>614</v>
      </c>
      <c r="B166" s="67">
        <f t="shared" si="3"/>
        <v>2840</v>
      </c>
      <c r="C166" s="68"/>
      <c r="D166" s="68">
        <v>2840</v>
      </c>
      <c r="E166" s="68"/>
      <c r="F166" s="68"/>
      <c r="G166" s="68"/>
      <c r="H166" s="68"/>
      <c r="I166" s="68"/>
    </row>
    <row r="167" spans="1:9" ht="30" customHeight="1" x14ac:dyDescent="0.25">
      <c r="A167" s="71" t="s">
        <v>115</v>
      </c>
      <c r="B167" s="67">
        <f t="shared" si="3"/>
        <v>12964</v>
      </c>
      <c r="C167" s="68">
        <v>10084</v>
      </c>
      <c r="D167" s="68">
        <v>2880</v>
      </c>
      <c r="E167" s="68"/>
      <c r="F167" s="68"/>
      <c r="G167" s="68"/>
      <c r="H167" s="68"/>
      <c r="I167" s="68"/>
    </row>
    <row r="168" spans="1:9" ht="30" customHeight="1" x14ac:dyDescent="0.25">
      <c r="A168" s="72" t="s">
        <v>138</v>
      </c>
      <c r="B168" s="67">
        <f t="shared" si="3"/>
        <v>26000</v>
      </c>
      <c r="C168" s="77"/>
      <c r="D168" s="68">
        <v>0</v>
      </c>
      <c r="E168" s="68"/>
      <c r="F168" s="68"/>
      <c r="G168" s="75">
        <v>26000</v>
      </c>
      <c r="H168" s="68"/>
      <c r="I168" s="68"/>
    </row>
    <row r="169" spans="1:9" ht="15" customHeight="1" x14ac:dyDescent="0.25">
      <c r="A169" s="98" t="s">
        <v>284</v>
      </c>
      <c r="B169" s="67">
        <f t="shared" si="3"/>
        <v>15114</v>
      </c>
      <c r="C169" s="68">
        <f>3887+8978</f>
        <v>12865</v>
      </c>
      <c r="D169" s="68">
        <v>2249</v>
      </c>
      <c r="E169" s="68"/>
      <c r="F169" s="68"/>
      <c r="G169" s="68"/>
      <c r="H169" s="68"/>
      <c r="I169" s="68"/>
    </row>
    <row r="170" spans="1:9" ht="15" customHeight="1" x14ac:dyDescent="0.25">
      <c r="A170" s="98" t="s">
        <v>285</v>
      </c>
      <c r="B170" s="67">
        <f t="shared" si="3"/>
        <v>13557</v>
      </c>
      <c r="C170" s="68">
        <f>8772+2920</f>
        <v>11692</v>
      </c>
      <c r="D170" s="68">
        <v>1865</v>
      </c>
      <c r="E170" s="68"/>
      <c r="F170" s="68"/>
      <c r="G170" s="68"/>
      <c r="H170" s="68"/>
      <c r="I170" s="68"/>
    </row>
    <row r="171" spans="1:9" ht="15" customHeight="1" x14ac:dyDescent="0.25">
      <c r="A171" s="98" t="s">
        <v>286</v>
      </c>
      <c r="B171" s="67">
        <f t="shared" si="3"/>
        <v>12020</v>
      </c>
      <c r="C171" s="68">
        <f>1333+8978</f>
        <v>10311</v>
      </c>
      <c r="D171" s="68">
        <v>1709</v>
      </c>
      <c r="E171" s="68"/>
      <c r="F171" s="68"/>
      <c r="G171" s="68"/>
      <c r="H171" s="68"/>
      <c r="I171" s="68"/>
    </row>
    <row r="172" spans="1:9" ht="15" customHeight="1" x14ac:dyDescent="0.25">
      <c r="A172" s="98" t="s">
        <v>144</v>
      </c>
      <c r="B172" s="67">
        <f t="shared" si="3"/>
        <v>11261</v>
      </c>
      <c r="C172" s="68">
        <f>374+8772</f>
        <v>9146</v>
      </c>
      <c r="D172" s="68">
        <v>2115</v>
      </c>
      <c r="E172" s="68"/>
      <c r="F172" s="68"/>
      <c r="G172" s="68"/>
      <c r="H172" s="68"/>
      <c r="I172" s="68"/>
    </row>
    <row r="173" spans="1:9" ht="15" customHeight="1" x14ac:dyDescent="0.25">
      <c r="A173" s="98" t="s">
        <v>287</v>
      </c>
      <c r="B173" s="67">
        <f t="shared" si="3"/>
        <v>11153</v>
      </c>
      <c r="C173" s="68">
        <f>366+8772</f>
        <v>9138</v>
      </c>
      <c r="D173" s="68">
        <v>2015</v>
      </c>
      <c r="E173" s="68"/>
      <c r="F173" s="68"/>
      <c r="G173" s="68"/>
      <c r="H173" s="68"/>
      <c r="I173" s="68"/>
    </row>
    <row r="174" spans="1:9" ht="15" customHeight="1" x14ac:dyDescent="0.25">
      <c r="A174" s="98" t="s">
        <v>288</v>
      </c>
      <c r="B174" s="67">
        <f t="shared" si="3"/>
        <v>13657</v>
      </c>
      <c r="C174" s="75">
        <f>8772+2920</f>
        <v>11692</v>
      </c>
      <c r="D174" s="68">
        <v>1965</v>
      </c>
      <c r="E174" s="77"/>
      <c r="F174" s="77"/>
      <c r="G174" s="77"/>
      <c r="H174" s="77"/>
      <c r="I174" s="77"/>
    </row>
    <row r="175" spans="1:9" ht="15" customHeight="1" x14ac:dyDescent="0.25">
      <c r="A175" s="99" t="s">
        <v>289</v>
      </c>
      <c r="B175" s="67">
        <f t="shared" si="3"/>
        <v>14603</v>
      </c>
      <c r="C175" s="68">
        <f>8772+3006</f>
        <v>11778</v>
      </c>
      <c r="D175" s="68">
        <v>2825</v>
      </c>
      <c r="E175" s="68"/>
      <c r="F175" s="68"/>
      <c r="G175" s="68"/>
      <c r="H175" s="68"/>
      <c r="I175" s="68"/>
    </row>
    <row r="176" spans="1:9" ht="15" customHeight="1" x14ac:dyDescent="0.25">
      <c r="A176" s="98" t="s">
        <v>290</v>
      </c>
      <c r="B176" s="67">
        <f t="shared" si="3"/>
        <v>16592</v>
      </c>
      <c r="C176" s="68">
        <f>2920+8772</f>
        <v>11692</v>
      </c>
      <c r="D176" s="68">
        <v>4900</v>
      </c>
      <c r="E176" s="68"/>
      <c r="F176" s="68"/>
      <c r="G176" s="68"/>
      <c r="H176" s="68"/>
      <c r="I176" s="68"/>
    </row>
    <row r="177" spans="1:9" ht="15" customHeight="1" x14ac:dyDescent="0.25">
      <c r="A177" s="98" t="s">
        <v>291</v>
      </c>
      <c r="B177" s="67">
        <f t="shared" si="3"/>
        <v>11061</v>
      </c>
      <c r="C177" s="68">
        <f>374+8772</f>
        <v>9146</v>
      </c>
      <c r="D177" s="68">
        <v>1915</v>
      </c>
      <c r="E177" s="68"/>
      <c r="F177" s="68"/>
      <c r="G177" s="68"/>
      <c r="H177" s="68"/>
      <c r="I177" s="68"/>
    </row>
    <row r="178" spans="1:9" ht="30" customHeight="1" x14ac:dyDescent="0.25">
      <c r="A178" s="72" t="s">
        <v>180</v>
      </c>
      <c r="B178" s="67">
        <f t="shared" si="3"/>
        <v>34886</v>
      </c>
      <c r="C178" s="75">
        <v>15699</v>
      </c>
      <c r="D178" s="68">
        <v>19187</v>
      </c>
      <c r="E178" s="77"/>
      <c r="F178" s="77"/>
      <c r="G178" s="77"/>
      <c r="H178" s="77"/>
      <c r="I178" s="77"/>
    </row>
    <row r="179" spans="1:9" ht="45" customHeight="1" x14ac:dyDescent="0.25">
      <c r="A179" s="70" t="s">
        <v>57</v>
      </c>
      <c r="B179" s="67">
        <f t="shared" si="3"/>
        <v>45525</v>
      </c>
      <c r="C179" s="68"/>
      <c r="D179" s="68">
        <v>45525</v>
      </c>
      <c r="E179" s="68"/>
      <c r="F179" s="68"/>
      <c r="G179" s="68"/>
      <c r="H179" s="68"/>
      <c r="I179" s="68"/>
    </row>
    <row r="180" spans="1:9" ht="60" customHeight="1" x14ac:dyDescent="0.25">
      <c r="A180" s="72" t="s">
        <v>242</v>
      </c>
      <c r="B180" s="67">
        <f t="shared" si="3"/>
        <v>15805</v>
      </c>
      <c r="C180" s="73"/>
      <c r="D180" s="68">
        <v>14305</v>
      </c>
      <c r="E180" s="77"/>
      <c r="F180" s="77"/>
      <c r="G180" s="77">
        <v>1500</v>
      </c>
      <c r="H180" s="73"/>
      <c r="I180" s="77"/>
    </row>
    <row r="181" spans="1:9" ht="15" customHeight="1" x14ac:dyDescent="0.25">
      <c r="A181" s="71" t="s">
        <v>143</v>
      </c>
      <c r="B181" s="67">
        <f t="shared" si="3"/>
        <v>3245</v>
      </c>
      <c r="C181" s="68"/>
      <c r="D181" s="68">
        <v>3245</v>
      </c>
      <c r="E181" s="68"/>
      <c r="F181" s="68"/>
      <c r="G181" s="68"/>
      <c r="H181" s="68"/>
      <c r="I181" s="68"/>
    </row>
    <row r="182" spans="1:9" ht="45" customHeight="1" x14ac:dyDescent="0.25">
      <c r="A182" s="71" t="s">
        <v>205</v>
      </c>
      <c r="B182" s="67">
        <f t="shared" si="3"/>
        <v>5733</v>
      </c>
      <c r="C182" s="68"/>
      <c r="D182" s="68">
        <v>5733</v>
      </c>
      <c r="E182" s="68"/>
      <c r="F182" s="68"/>
      <c r="G182" s="68"/>
      <c r="H182" s="68"/>
      <c r="I182" s="68"/>
    </row>
    <row r="183" spans="1:9" ht="15" customHeight="1" x14ac:dyDescent="0.25">
      <c r="A183" s="69" t="s">
        <v>166</v>
      </c>
      <c r="B183" s="67">
        <f t="shared" si="3"/>
        <v>83744</v>
      </c>
      <c r="C183" s="68">
        <v>76892</v>
      </c>
      <c r="D183" s="68">
        <v>6852</v>
      </c>
      <c r="E183" s="68"/>
      <c r="F183" s="68"/>
      <c r="G183" s="68"/>
      <c r="H183" s="68"/>
      <c r="I183" s="68"/>
    </row>
    <row r="184" spans="1:9" ht="30" customHeight="1" x14ac:dyDescent="0.25">
      <c r="A184" s="69" t="s">
        <v>198</v>
      </c>
      <c r="B184" s="67">
        <f t="shared" si="3"/>
        <v>44140</v>
      </c>
      <c r="C184" s="68">
        <v>2143</v>
      </c>
      <c r="D184" s="68">
        <v>41997</v>
      </c>
      <c r="E184" s="68"/>
      <c r="F184" s="68"/>
      <c r="G184" s="68"/>
      <c r="H184" s="68"/>
      <c r="I184" s="68"/>
    </row>
    <row r="185" spans="1:9" ht="15" customHeight="1" x14ac:dyDescent="0.25">
      <c r="A185" s="69" t="s">
        <v>30</v>
      </c>
      <c r="B185" s="67">
        <f t="shared" si="3"/>
        <v>12286</v>
      </c>
      <c r="C185" s="68">
        <v>400</v>
      </c>
      <c r="D185" s="68">
        <v>11886</v>
      </c>
      <c r="E185" s="68"/>
      <c r="F185" s="68"/>
      <c r="G185" s="68"/>
      <c r="H185" s="68"/>
      <c r="I185" s="68"/>
    </row>
    <row r="186" spans="1:9" ht="15" customHeight="1" x14ac:dyDescent="0.25">
      <c r="A186" s="69" t="s">
        <v>219</v>
      </c>
      <c r="B186" s="67">
        <f t="shared" si="3"/>
        <v>23496</v>
      </c>
      <c r="C186" s="68">
        <v>18974</v>
      </c>
      <c r="D186" s="68">
        <v>4522</v>
      </c>
      <c r="E186" s="68"/>
      <c r="F186" s="68"/>
      <c r="G186" s="68"/>
      <c r="H186" s="68"/>
      <c r="I186" s="68"/>
    </row>
    <row r="187" spans="1:9" ht="15" customHeight="1" x14ac:dyDescent="0.25">
      <c r="A187" s="69" t="s">
        <v>31</v>
      </c>
      <c r="B187" s="67">
        <f t="shared" si="3"/>
        <v>521740</v>
      </c>
      <c r="C187" s="68">
        <v>450908</v>
      </c>
      <c r="D187" s="68">
        <v>46432</v>
      </c>
      <c r="E187" s="68"/>
      <c r="F187" s="68"/>
      <c r="G187" s="68">
        <v>24400</v>
      </c>
      <c r="H187" s="68"/>
      <c r="I187" s="68"/>
    </row>
    <row r="188" spans="1:9" ht="15" customHeight="1" x14ac:dyDescent="0.25">
      <c r="A188" s="70" t="s">
        <v>77</v>
      </c>
      <c r="B188" s="67">
        <f t="shared" si="3"/>
        <v>134974</v>
      </c>
      <c r="C188" s="68">
        <v>106155</v>
      </c>
      <c r="D188" s="68">
        <v>28819</v>
      </c>
      <c r="E188" s="68"/>
      <c r="F188" s="68"/>
      <c r="G188" s="68"/>
      <c r="H188" s="68"/>
      <c r="I188" s="68"/>
    </row>
    <row r="189" spans="1:9" ht="15" customHeight="1" x14ac:dyDescent="0.25">
      <c r="A189" s="70" t="s">
        <v>145</v>
      </c>
      <c r="B189" s="67">
        <f t="shared" si="3"/>
        <v>54020</v>
      </c>
      <c r="C189" s="68">
        <v>47113</v>
      </c>
      <c r="D189" s="68">
        <v>6807</v>
      </c>
      <c r="E189" s="68"/>
      <c r="F189" s="68"/>
      <c r="G189" s="68">
        <v>100</v>
      </c>
      <c r="H189" s="68"/>
      <c r="I189" s="68"/>
    </row>
    <row r="190" spans="1:9" ht="15" customHeight="1" x14ac:dyDescent="0.25">
      <c r="A190" s="72" t="s">
        <v>126</v>
      </c>
      <c r="B190" s="67">
        <f t="shared" si="3"/>
        <v>13729</v>
      </c>
      <c r="C190" s="79">
        <v>12137</v>
      </c>
      <c r="D190" s="68">
        <v>1592</v>
      </c>
      <c r="E190" s="80"/>
      <c r="F190" s="80"/>
      <c r="G190" s="80"/>
      <c r="H190" s="80"/>
      <c r="I190" s="80"/>
    </row>
    <row r="191" spans="1:9" ht="15" customHeight="1" x14ac:dyDescent="0.25">
      <c r="A191" s="71" t="s">
        <v>125</v>
      </c>
      <c r="B191" s="67">
        <f t="shared" si="3"/>
        <v>44440</v>
      </c>
      <c r="C191" s="68">
        <v>31925</v>
      </c>
      <c r="D191" s="68">
        <v>12515</v>
      </c>
      <c r="E191" s="68"/>
      <c r="F191" s="68"/>
      <c r="G191" s="68"/>
      <c r="H191" s="68"/>
      <c r="I191" s="68"/>
    </row>
    <row r="192" spans="1:9" ht="30" customHeight="1" x14ac:dyDescent="0.25">
      <c r="A192" s="71" t="s">
        <v>124</v>
      </c>
      <c r="B192" s="67">
        <f t="shared" si="3"/>
        <v>15181</v>
      </c>
      <c r="C192" s="68">
        <v>11523</v>
      </c>
      <c r="D192" s="68">
        <v>3658</v>
      </c>
      <c r="E192" s="68"/>
      <c r="F192" s="68"/>
      <c r="G192" s="68"/>
      <c r="H192" s="68"/>
      <c r="I192" s="68"/>
    </row>
    <row r="193" spans="1:9" ht="15" customHeight="1" x14ac:dyDescent="0.25">
      <c r="A193" s="69" t="s">
        <v>75</v>
      </c>
      <c r="B193" s="67">
        <f t="shared" si="3"/>
        <v>267331</v>
      </c>
      <c r="C193" s="68">
        <v>204628</v>
      </c>
      <c r="D193" s="68">
        <v>62703</v>
      </c>
      <c r="E193" s="68"/>
      <c r="F193" s="68"/>
      <c r="G193" s="68"/>
      <c r="H193" s="68"/>
      <c r="I193" s="68"/>
    </row>
    <row r="194" spans="1:9" ht="15" customHeight="1" x14ac:dyDescent="0.25">
      <c r="A194" s="69" t="s">
        <v>32</v>
      </c>
      <c r="B194" s="67">
        <f t="shared" si="3"/>
        <v>111906</v>
      </c>
      <c r="C194" s="68">
        <v>3685</v>
      </c>
      <c r="D194" s="68">
        <v>108221</v>
      </c>
      <c r="E194" s="68"/>
      <c r="F194" s="68"/>
      <c r="G194" s="68"/>
      <c r="H194" s="68"/>
      <c r="I194" s="68"/>
    </row>
    <row r="195" spans="1:9" ht="15" customHeight="1" x14ac:dyDescent="0.25">
      <c r="A195" s="71" t="s">
        <v>637</v>
      </c>
      <c r="B195" s="67">
        <f t="shared" si="3"/>
        <v>46924</v>
      </c>
      <c r="C195" s="68">
        <v>44791</v>
      </c>
      <c r="D195" s="68">
        <v>2133</v>
      </c>
      <c r="E195" s="68"/>
      <c r="F195" s="68"/>
      <c r="G195" s="68"/>
      <c r="H195" s="68"/>
      <c r="I195" s="68"/>
    </row>
    <row r="196" spans="1:9" ht="15" customHeight="1" x14ac:dyDescent="0.25">
      <c r="A196" s="71" t="s">
        <v>162</v>
      </c>
      <c r="B196" s="67">
        <f t="shared" si="3"/>
        <v>10531</v>
      </c>
      <c r="C196" s="68">
        <v>4732</v>
      </c>
      <c r="D196" s="68">
        <v>5799</v>
      </c>
      <c r="E196" s="68"/>
      <c r="F196" s="68"/>
      <c r="G196" s="68"/>
      <c r="H196" s="68"/>
      <c r="I196" s="68"/>
    </row>
    <row r="197" spans="1:9" ht="15" customHeight="1" x14ac:dyDescent="0.25">
      <c r="A197" s="69" t="s">
        <v>191</v>
      </c>
      <c r="B197" s="67">
        <f t="shared" si="3"/>
        <v>45457</v>
      </c>
      <c r="C197" s="68">
        <v>37858</v>
      </c>
      <c r="D197" s="68">
        <v>7599</v>
      </c>
      <c r="E197" s="68"/>
      <c r="F197" s="68"/>
      <c r="G197" s="68"/>
      <c r="H197" s="68"/>
      <c r="I197" s="68"/>
    </row>
    <row r="198" spans="1:9" ht="15" customHeight="1" x14ac:dyDescent="0.25">
      <c r="A198" s="69" t="s">
        <v>33</v>
      </c>
      <c r="B198" s="67">
        <f t="shared" si="3"/>
        <v>45300</v>
      </c>
      <c r="C198" s="68">
        <v>36665</v>
      </c>
      <c r="D198" s="68">
        <v>8635</v>
      </c>
      <c r="E198" s="68"/>
      <c r="F198" s="68"/>
      <c r="G198" s="68"/>
      <c r="H198" s="68"/>
      <c r="I198" s="68"/>
    </row>
    <row r="199" spans="1:9" ht="15" customHeight="1" x14ac:dyDescent="0.25">
      <c r="A199" s="69" t="s">
        <v>34</v>
      </c>
      <c r="B199" s="67">
        <f t="shared" si="3"/>
        <v>29992</v>
      </c>
      <c r="C199" s="68">
        <v>25825</v>
      </c>
      <c r="D199" s="68">
        <v>4167</v>
      </c>
      <c r="E199" s="68"/>
      <c r="F199" s="68"/>
      <c r="G199" s="68"/>
      <c r="H199" s="68"/>
      <c r="I199" s="68"/>
    </row>
    <row r="200" spans="1:9" ht="15" customHeight="1" x14ac:dyDescent="0.25">
      <c r="A200" s="69" t="s">
        <v>636</v>
      </c>
      <c r="B200" s="67">
        <f t="shared" si="3"/>
        <v>59734</v>
      </c>
      <c r="C200" s="68">
        <v>36494</v>
      </c>
      <c r="D200" s="68">
        <v>23240</v>
      </c>
      <c r="E200" s="68"/>
      <c r="F200" s="68"/>
      <c r="G200" s="68"/>
      <c r="H200" s="68"/>
      <c r="I200" s="68"/>
    </row>
    <row r="201" spans="1:9" ht="15" customHeight="1" x14ac:dyDescent="0.25">
      <c r="A201" s="72" t="s">
        <v>625</v>
      </c>
      <c r="B201" s="67">
        <f t="shared" si="3"/>
        <v>48863</v>
      </c>
      <c r="C201" s="75">
        <v>33824</v>
      </c>
      <c r="D201" s="68">
        <v>15039</v>
      </c>
      <c r="E201" s="77"/>
      <c r="F201" s="77"/>
      <c r="G201" s="75"/>
      <c r="H201" s="77"/>
      <c r="I201" s="77"/>
    </row>
    <row r="202" spans="1:9" ht="15" customHeight="1" x14ac:dyDescent="0.25">
      <c r="A202" s="69" t="s">
        <v>190</v>
      </c>
      <c r="B202" s="67">
        <f t="shared" si="3"/>
        <v>13232</v>
      </c>
      <c r="C202" s="68">
        <v>11004</v>
      </c>
      <c r="D202" s="68">
        <v>2228</v>
      </c>
      <c r="E202" s="68"/>
      <c r="F202" s="68"/>
      <c r="G202" s="68"/>
      <c r="H202" s="68"/>
      <c r="I202" s="68"/>
    </row>
    <row r="203" spans="1:9" ht="15" customHeight="1" x14ac:dyDescent="0.25">
      <c r="A203" s="71" t="s">
        <v>147</v>
      </c>
      <c r="B203" s="67">
        <f t="shared" si="3"/>
        <v>42997</v>
      </c>
      <c r="C203" s="68">
        <v>30807</v>
      </c>
      <c r="D203" s="68">
        <v>12190</v>
      </c>
      <c r="E203" s="68"/>
      <c r="F203" s="68"/>
      <c r="G203" s="68"/>
      <c r="H203" s="68"/>
      <c r="I203" s="68"/>
    </row>
    <row r="204" spans="1:9" ht="15" customHeight="1" x14ac:dyDescent="0.25">
      <c r="A204" s="69" t="s">
        <v>197</v>
      </c>
      <c r="B204" s="67">
        <f t="shared" si="3"/>
        <v>25396</v>
      </c>
      <c r="C204" s="68">
        <v>19679</v>
      </c>
      <c r="D204" s="68">
        <v>5717</v>
      </c>
      <c r="E204" s="68"/>
      <c r="F204" s="68"/>
      <c r="G204" s="68"/>
      <c r="H204" s="68"/>
      <c r="I204" s="68"/>
    </row>
    <row r="205" spans="1:9" ht="15" customHeight="1" x14ac:dyDescent="0.25">
      <c r="A205" s="69" t="s">
        <v>188</v>
      </c>
      <c r="B205" s="67">
        <f t="shared" si="3"/>
        <v>18975</v>
      </c>
      <c r="C205" s="68">
        <v>15061</v>
      </c>
      <c r="D205" s="68">
        <v>3914</v>
      </c>
      <c r="E205" s="68"/>
      <c r="F205" s="68"/>
      <c r="G205" s="68"/>
      <c r="H205" s="68"/>
      <c r="I205" s="68"/>
    </row>
    <row r="206" spans="1:9" ht="15" customHeight="1" x14ac:dyDescent="0.25">
      <c r="A206" s="72" t="s">
        <v>624</v>
      </c>
      <c r="B206" s="67">
        <f t="shared" si="3"/>
        <v>64947</v>
      </c>
      <c r="C206" s="79">
        <v>53321</v>
      </c>
      <c r="D206" s="68">
        <v>11626</v>
      </c>
      <c r="E206" s="80"/>
      <c r="F206" s="80"/>
      <c r="G206" s="80"/>
      <c r="H206" s="80"/>
      <c r="I206" s="80"/>
    </row>
    <row r="207" spans="1:9" ht="15" customHeight="1" x14ac:dyDescent="0.25">
      <c r="A207" s="69" t="s">
        <v>635</v>
      </c>
      <c r="B207" s="67">
        <f t="shared" si="3"/>
        <v>50753</v>
      </c>
      <c r="C207" s="68">
        <v>41671</v>
      </c>
      <c r="D207" s="68">
        <v>9082</v>
      </c>
      <c r="E207" s="68"/>
      <c r="F207" s="68"/>
      <c r="G207" s="68"/>
      <c r="H207" s="68"/>
      <c r="I207" s="68"/>
    </row>
    <row r="208" spans="1:9" ht="15" customHeight="1" x14ac:dyDescent="0.25">
      <c r="A208" s="69" t="s">
        <v>199</v>
      </c>
      <c r="B208" s="67">
        <f t="shared" si="3"/>
        <v>35509</v>
      </c>
      <c r="C208" s="68">
        <v>29563</v>
      </c>
      <c r="D208" s="68">
        <v>5946</v>
      </c>
      <c r="E208" s="68"/>
      <c r="F208" s="68"/>
      <c r="G208" s="68"/>
      <c r="H208" s="68"/>
      <c r="I208" s="68"/>
    </row>
    <row r="209" spans="1:9" ht="15" customHeight="1" x14ac:dyDescent="0.25">
      <c r="A209" s="69" t="s">
        <v>35</v>
      </c>
      <c r="B209" s="67">
        <f t="shared" si="3"/>
        <v>30054</v>
      </c>
      <c r="C209" s="68">
        <v>23677</v>
      </c>
      <c r="D209" s="68">
        <v>6377</v>
      </c>
      <c r="E209" s="68"/>
      <c r="F209" s="68"/>
      <c r="G209" s="68"/>
      <c r="H209" s="68"/>
      <c r="I209" s="68"/>
    </row>
    <row r="210" spans="1:9" ht="15" customHeight="1" x14ac:dyDescent="0.25">
      <c r="A210" s="71" t="s">
        <v>634</v>
      </c>
      <c r="B210" s="67">
        <f t="shared" si="3"/>
        <v>112765</v>
      </c>
      <c r="C210" s="68">
        <v>72657</v>
      </c>
      <c r="D210" s="68">
        <v>40108</v>
      </c>
      <c r="E210" s="68"/>
      <c r="F210" s="68"/>
      <c r="G210" s="68"/>
      <c r="H210" s="68"/>
      <c r="I210" s="68"/>
    </row>
    <row r="211" spans="1:9" ht="15" customHeight="1" x14ac:dyDescent="0.25">
      <c r="A211" s="71" t="s">
        <v>633</v>
      </c>
      <c r="B211" s="67">
        <f t="shared" si="3"/>
        <v>41992</v>
      </c>
      <c r="C211" s="68">
        <v>28800</v>
      </c>
      <c r="D211" s="68">
        <v>13192</v>
      </c>
      <c r="E211" s="68"/>
      <c r="F211" s="68"/>
      <c r="G211" s="68"/>
      <c r="H211" s="68"/>
      <c r="I211" s="68"/>
    </row>
    <row r="212" spans="1:9" ht="30" customHeight="1" x14ac:dyDescent="0.25">
      <c r="A212" s="71" t="s">
        <v>148</v>
      </c>
      <c r="B212" s="67">
        <f t="shared" si="3"/>
        <v>23841</v>
      </c>
      <c r="C212" s="68">
        <v>14015</v>
      </c>
      <c r="D212" s="68">
        <v>9826</v>
      </c>
      <c r="E212" s="68"/>
      <c r="F212" s="68"/>
      <c r="G212" s="68"/>
      <c r="H212" s="68"/>
      <c r="I212" s="68"/>
    </row>
    <row r="213" spans="1:9" ht="30" customHeight="1" x14ac:dyDescent="0.25">
      <c r="A213" s="71" t="s">
        <v>146</v>
      </c>
      <c r="B213" s="67">
        <f t="shared" ref="B213:B276" si="4">SUM(C213:I213)</f>
        <v>68956</v>
      </c>
      <c r="C213" s="68">
        <v>49981</v>
      </c>
      <c r="D213" s="68">
        <v>18475</v>
      </c>
      <c r="E213" s="68"/>
      <c r="F213" s="68"/>
      <c r="G213" s="68">
        <v>500</v>
      </c>
      <c r="H213" s="68"/>
      <c r="I213" s="68"/>
    </row>
    <row r="214" spans="1:9" ht="32.1" customHeight="1" x14ac:dyDescent="0.25">
      <c r="A214" s="66" t="s">
        <v>638</v>
      </c>
      <c r="B214" s="67">
        <f t="shared" si="4"/>
        <v>300</v>
      </c>
      <c r="C214" s="68"/>
      <c r="D214" s="68"/>
      <c r="E214" s="68">
        <v>300</v>
      </c>
      <c r="F214" s="68"/>
      <c r="G214" s="68"/>
      <c r="H214" s="68"/>
      <c r="I214" s="68"/>
    </row>
    <row r="215" spans="1:9" ht="15" customHeight="1" x14ac:dyDescent="0.25">
      <c r="A215" s="70" t="s">
        <v>168</v>
      </c>
      <c r="B215" s="67">
        <f t="shared" si="4"/>
        <v>64786</v>
      </c>
      <c r="C215" s="81">
        <v>58308</v>
      </c>
      <c r="D215" s="68">
        <v>5263</v>
      </c>
      <c r="E215" s="82"/>
      <c r="F215" s="82"/>
      <c r="G215" s="81"/>
      <c r="H215" s="82"/>
      <c r="I215" s="82">
        <v>1215</v>
      </c>
    </row>
    <row r="216" spans="1:9" ht="15" customHeight="1" x14ac:dyDescent="0.25">
      <c r="A216" s="70" t="s">
        <v>169</v>
      </c>
      <c r="B216" s="67">
        <f t="shared" si="4"/>
        <v>69380</v>
      </c>
      <c r="C216" s="81">
        <v>4838</v>
      </c>
      <c r="D216" s="68">
        <v>64542</v>
      </c>
      <c r="E216" s="82"/>
      <c r="F216" s="82"/>
      <c r="G216" s="81"/>
      <c r="H216" s="82"/>
      <c r="I216" s="82"/>
    </row>
    <row r="217" spans="1:9" ht="15" customHeight="1" x14ac:dyDescent="0.25">
      <c r="A217" s="70" t="s">
        <v>238</v>
      </c>
      <c r="B217" s="67">
        <f t="shared" si="4"/>
        <v>53769</v>
      </c>
      <c r="C217" s="81"/>
      <c r="D217" s="68">
        <v>53769</v>
      </c>
      <c r="E217" s="82"/>
      <c r="F217" s="82"/>
      <c r="G217" s="81"/>
      <c r="H217" s="82"/>
      <c r="I217" s="82"/>
    </row>
    <row r="218" spans="1:9" ht="30" customHeight="1" x14ac:dyDescent="0.25">
      <c r="A218" s="70" t="s">
        <v>659</v>
      </c>
      <c r="B218" s="67">
        <f t="shared" si="4"/>
        <v>99418</v>
      </c>
      <c r="C218" s="81">
        <v>2010</v>
      </c>
      <c r="D218" s="68">
        <v>97408</v>
      </c>
      <c r="E218" s="82"/>
      <c r="F218" s="82"/>
      <c r="G218" s="81"/>
      <c r="H218" s="82"/>
      <c r="I218" s="82"/>
    </row>
    <row r="219" spans="1:9" ht="63.75" customHeight="1" x14ac:dyDescent="0.25">
      <c r="A219" s="70" t="s">
        <v>640</v>
      </c>
      <c r="B219" s="67">
        <f t="shared" si="4"/>
        <v>4709</v>
      </c>
      <c r="C219" s="81"/>
      <c r="D219" s="68"/>
      <c r="E219" s="82">
        <v>4709</v>
      </c>
      <c r="F219" s="82"/>
      <c r="G219" s="81"/>
      <c r="H219" s="82"/>
      <c r="I219" s="82"/>
    </row>
    <row r="220" spans="1:9" ht="30" customHeight="1" x14ac:dyDescent="0.25">
      <c r="A220" s="71" t="s">
        <v>36</v>
      </c>
      <c r="B220" s="67">
        <f t="shared" si="4"/>
        <v>69309</v>
      </c>
      <c r="C220" s="68">
        <v>446</v>
      </c>
      <c r="D220" s="68">
        <v>68203</v>
      </c>
      <c r="E220" s="68"/>
      <c r="F220" s="68"/>
      <c r="G220" s="68"/>
      <c r="H220" s="68">
        <v>660</v>
      </c>
      <c r="I220" s="68"/>
    </row>
    <row r="221" spans="1:9" ht="15" customHeight="1" x14ac:dyDescent="0.25">
      <c r="A221" s="69" t="s">
        <v>37</v>
      </c>
      <c r="B221" s="67">
        <f t="shared" si="4"/>
        <v>729442</v>
      </c>
      <c r="C221" s="68">
        <v>629191</v>
      </c>
      <c r="D221" s="68">
        <v>100251</v>
      </c>
      <c r="E221" s="68"/>
      <c r="F221" s="68"/>
      <c r="G221" s="68"/>
      <c r="H221" s="68"/>
      <c r="I221" s="68"/>
    </row>
    <row r="222" spans="1:9" ht="15" customHeight="1" x14ac:dyDescent="0.25">
      <c r="A222" s="69" t="s">
        <v>38</v>
      </c>
      <c r="B222" s="67">
        <f t="shared" si="4"/>
        <v>465982</v>
      </c>
      <c r="C222" s="68">
        <v>397079</v>
      </c>
      <c r="D222" s="68">
        <v>68903</v>
      </c>
      <c r="E222" s="68"/>
      <c r="F222" s="68"/>
      <c r="G222" s="68"/>
      <c r="H222" s="68"/>
      <c r="I222" s="68"/>
    </row>
    <row r="223" spans="1:9" ht="15" customHeight="1" x14ac:dyDescent="0.25">
      <c r="A223" s="69" t="s">
        <v>39</v>
      </c>
      <c r="B223" s="67">
        <f t="shared" si="4"/>
        <v>95328</v>
      </c>
      <c r="C223" s="68">
        <v>87253</v>
      </c>
      <c r="D223" s="68">
        <v>8075</v>
      </c>
      <c r="E223" s="68"/>
      <c r="F223" s="68"/>
      <c r="G223" s="68"/>
      <c r="H223" s="68"/>
      <c r="I223" s="68"/>
    </row>
    <row r="224" spans="1:9" ht="15" customHeight="1" x14ac:dyDescent="0.25">
      <c r="A224" s="69" t="s">
        <v>40</v>
      </c>
      <c r="B224" s="67">
        <f t="shared" si="4"/>
        <v>288397</v>
      </c>
      <c r="C224" s="68">
        <v>257379</v>
      </c>
      <c r="D224" s="68">
        <v>31018</v>
      </c>
      <c r="E224" s="68"/>
      <c r="F224" s="68"/>
      <c r="G224" s="68"/>
      <c r="H224" s="68"/>
      <c r="I224" s="68"/>
    </row>
    <row r="225" spans="1:9" ht="30" customHeight="1" x14ac:dyDescent="0.25">
      <c r="A225" s="71" t="s">
        <v>154</v>
      </c>
      <c r="B225" s="67">
        <f t="shared" si="4"/>
        <v>208053</v>
      </c>
      <c r="C225" s="68">
        <v>181983</v>
      </c>
      <c r="D225" s="68">
        <v>26070</v>
      </c>
      <c r="E225" s="68"/>
      <c r="F225" s="68"/>
      <c r="G225" s="68"/>
      <c r="H225" s="68"/>
      <c r="I225" s="68"/>
    </row>
    <row r="226" spans="1:9" ht="30" customHeight="1" x14ac:dyDescent="0.25">
      <c r="A226" s="71" t="s">
        <v>155</v>
      </c>
      <c r="B226" s="67">
        <f t="shared" si="4"/>
        <v>154709</v>
      </c>
      <c r="C226" s="68">
        <v>124329</v>
      </c>
      <c r="D226" s="68">
        <v>30380</v>
      </c>
      <c r="E226" s="68"/>
      <c r="F226" s="68"/>
      <c r="G226" s="68"/>
      <c r="H226" s="68"/>
      <c r="I226" s="68"/>
    </row>
    <row r="227" spans="1:9" ht="15" customHeight="1" x14ac:dyDescent="0.25">
      <c r="A227" s="69" t="s">
        <v>78</v>
      </c>
      <c r="B227" s="67">
        <f t="shared" si="4"/>
        <v>976419</v>
      </c>
      <c r="C227" s="68">
        <v>733654</v>
      </c>
      <c r="D227" s="68">
        <v>242765</v>
      </c>
      <c r="E227" s="68"/>
      <c r="F227" s="68"/>
      <c r="G227" s="68"/>
      <c r="H227" s="68"/>
      <c r="I227" s="68"/>
    </row>
    <row r="228" spans="1:9" ht="15" customHeight="1" x14ac:dyDescent="0.25">
      <c r="A228" s="69" t="s">
        <v>163</v>
      </c>
      <c r="B228" s="67">
        <f t="shared" si="4"/>
        <v>427772</v>
      </c>
      <c r="C228" s="68">
        <v>351657</v>
      </c>
      <c r="D228" s="68">
        <v>75115</v>
      </c>
      <c r="E228" s="68"/>
      <c r="F228" s="68"/>
      <c r="G228" s="68">
        <v>1000</v>
      </c>
      <c r="H228" s="68"/>
      <c r="I228" s="68"/>
    </row>
    <row r="229" spans="1:9" ht="30" customHeight="1" x14ac:dyDescent="0.25">
      <c r="A229" s="69" t="s">
        <v>223</v>
      </c>
      <c r="B229" s="67">
        <f t="shared" si="4"/>
        <v>43300</v>
      </c>
      <c r="C229" s="68">
        <v>24676</v>
      </c>
      <c r="D229" s="68">
        <v>18624</v>
      </c>
      <c r="E229" s="68"/>
      <c r="F229" s="68"/>
      <c r="G229" s="68"/>
      <c r="H229" s="68"/>
      <c r="I229" s="68"/>
    </row>
    <row r="230" spans="1:9" ht="15" customHeight="1" x14ac:dyDescent="0.25">
      <c r="A230" s="72" t="s">
        <v>156</v>
      </c>
      <c r="B230" s="67">
        <f t="shared" si="4"/>
        <v>473696</v>
      </c>
      <c r="C230" s="79">
        <v>425162</v>
      </c>
      <c r="D230" s="68">
        <v>48334</v>
      </c>
      <c r="E230" s="80"/>
      <c r="F230" s="80"/>
      <c r="G230" s="79">
        <v>200</v>
      </c>
      <c r="H230" s="80"/>
      <c r="I230" s="80"/>
    </row>
    <row r="231" spans="1:9" ht="15" customHeight="1" x14ac:dyDescent="0.25">
      <c r="A231" s="69" t="s">
        <v>41</v>
      </c>
      <c r="B231" s="67">
        <f t="shared" si="4"/>
        <v>341882</v>
      </c>
      <c r="C231" s="68">
        <v>294855</v>
      </c>
      <c r="D231" s="68">
        <v>46607</v>
      </c>
      <c r="E231" s="68"/>
      <c r="F231" s="68"/>
      <c r="G231" s="68">
        <v>420</v>
      </c>
      <c r="H231" s="68"/>
      <c r="I231" s="68"/>
    </row>
    <row r="232" spans="1:9" ht="15" customHeight="1" x14ac:dyDescent="0.25">
      <c r="A232" s="69" t="s">
        <v>224</v>
      </c>
      <c r="B232" s="67">
        <f t="shared" si="4"/>
        <v>607732</v>
      </c>
      <c r="C232" s="68">
        <v>508337</v>
      </c>
      <c r="D232" s="68">
        <v>99395</v>
      </c>
      <c r="E232" s="68"/>
      <c r="F232" s="68"/>
      <c r="G232" s="68"/>
      <c r="H232" s="68"/>
      <c r="I232" s="68"/>
    </row>
    <row r="233" spans="1:9" ht="30" customHeight="1" x14ac:dyDescent="0.25">
      <c r="A233" s="69" t="s">
        <v>627</v>
      </c>
      <c r="B233" s="67">
        <f t="shared" si="4"/>
        <v>148997</v>
      </c>
      <c r="C233" s="68">
        <v>125670</v>
      </c>
      <c r="D233" s="68">
        <v>23327</v>
      </c>
      <c r="E233" s="68"/>
      <c r="F233" s="68"/>
      <c r="G233" s="68"/>
      <c r="H233" s="68"/>
      <c r="I233" s="68"/>
    </row>
    <row r="234" spans="1:9" ht="30" customHeight="1" x14ac:dyDescent="0.25">
      <c r="A234" s="69" t="s">
        <v>225</v>
      </c>
      <c r="B234" s="67">
        <f t="shared" si="4"/>
        <v>75555</v>
      </c>
      <c r="C234" s="68">
        <v>62576</v>
      </c>
      <c r="D234" s="68">
        <v>12979</v>
      </c>
      <c r="E234" s="68"/>
      <c r="F234" s="68"/>
      <c r="G234" s="68"/>
      <c r="H234" s="68"/>
      <c r="I234" s="68"/>
    </row>
    <row r="235" spans="1:9" ht="15" customHeight="1" x14ac:dyDescent="0.25">
      <c r="A235" s="71" t="s">
        <v>152</v>
      </c>
      <c r="B235" s="67">
        <f t="shared" si="4"/>
        <v>392286</v>
      </c>
      <c r="C235" s="68">
        <v>329846</v>
      </c>
      <c r="D235" s="68">
        <v>62440</v>
      </c>
      <c r="E235" s="68"/>
      <c r="F235" s="68"/>
      <c r="G235" s="68"/>
      <c r="H235" s="68"/>
      <c r="I235" s="68"/>
    </row>
    <row r="236" spans="1:9" ht="15" customHeight="1" x14ac:dyDescent="0.25">
      <c r="A236" s="71" t="s">
        <v>252</v>
      </c>
      <c r="B236" s="67">
        <f t="shared" si="4"/>
        <v>129367</v>
      </c>
      <c r="C236" s="68">
        <v>82946</v>
      </c>
      <c r="D236" s="68">
        <v>46421</v>
      </c>
      <c r="E236" s="68"/>
      <c r="F236" s="68"/>
      <c r="G236" s="68"/>
      <c r="H236" s="68"/>
      <c r="I236" s="68"/>
    </row>
    <row r="237" spans="1:9" ht="15" customHeight="1" x14ac:dyDescent="0.25">
      <c r="A237" s="69" t="s">
        <v>42</v>
      </c>
      <c r="B237" s="67">
        <f t="shared" si="4"/>
        <v>857655</v>
      </c>
      <c r="C237" s="68">
        <v>675143</v>
      </c>
      <c r="D237" s="68">
        <v>182512</v>
      </c>
      <c r="E237" s="68"/>
      <c r="F237" s="68"/>
      <c r="G237" s="68"/>
      <c r="H237" s="68"/>
      <c r="I237" s="68"/>
    </row>
    <row r="238" spans="1:9" ht="15" customHeight="1" x14ac:dyDescent="0.25">
      <c r="A238" s="71" t="s">
        <v>160</v>
      </c>
      <c r="B238" s="67">
        <f t="shared" si="4"/>
        <v>540254</v>
      </c>
      <c r="C238" s="68">
        <v>429747</v>
      </c>
      <c r="D238" s="68">
        <v>109211</v>
      </c>
      <c r="E238" s="68"/>
      <c r="F238" s="68"/>
      <c r="G238" s="68">
        <v>1296</v>
      </c>
      <c r="H238" s="68"/>
      <c r="I238" s="68"/>
    </row>
    <row r="239" spans="1:9" ht="30" customHeight="1" x14ac:dyDescent="0.25">
      <c r="A239" s="69" t="s">
        <v>53</v>
      </c>
      <c r="B239" s="67">
        <f t="shared" si="4"/>
        <v>807870</v>
      </c>
      <c r="C239" s="68">
        <v>617536</v>
      </c>
      <c r="D239" s="68">
        <v>180254</v>
      </c>
      <c r="E239" s="68"/>
      <c r="F239" s="68"/>
      <c r="G239" s="68">
        <v>80</v>
      </c>
      <c r="H239" s="68">
        <v>10000</v>
      </c>
      <c r="I239" s="68"/>
    </row>
    <row r="240" spans="1:9" ht="45" customHeight="1" x14ac:dyDescent="0.25">
      <c r="A240" s="69" t="s">
        <v>655</v>
      </c>
      <c r="B240" s="67">
        <f t="shared" si="4"/>
        <v>115342</v>
      </c>
      <c r="C240" s="68">
        <v>57413</v>
      </c>
      <c r="D240" s="68">
        <v>57929</v>
      </c>
      <c r="E240" s="68"/>
      <c r="F240" s="68"/>
      <c r="G240" s="68"/>
      <c r="H240" s="68"/>
      <c r="I240" s="68"/>
    </row>
    <row r="241" spans="1:9" ht="15" customHeight="1" x14ac:dyDescent="0.25">
      <c r="A241" s="69" t="s">
        <v>159</v>
      </c>
      <c r="B241" s="67">
        <f t="shared" si="4"/>
        <v>510417</v>
      </c>
      <c r="C241" s="68">
        <v>420504</v>
      </c>
      <c r="D241" s="68">
        <v>89313</v>
      </c>
      <c r="E241" s="68"/>
      <c r="F241" s="68"/>
      <c r="G241" s="68">
        <v>600</v>
      </c>
      <c r="H241" s="68"/>
      <c r="I241" s="68"/>
    </row>
    <row r="242" spans="1:9" ht="15.75" customHeight="1" x14ac:dyDescent="0.25">
      <c r="A242" s="71" t="s">
        <v>151</v>
      </c>
      <c r="B242" s="67">
        <f t="shared" si="4"/>
        <v>539585</v>
      </c>
      <c r="C242" s="68">
        <v>451679</v>
      </c>
      <c r="D242" s="68">
        <v>87606</v>
      </c>
      <c r="E242" s="68"/>
      <c r="F242" s="68"/>
      <c r="G242" s="68">
        <v>300</v>
      </c>
      <c r="H242" s="68"/>
      <c r="I242" s="68"/>
    </row>
    <row r="243" spans="1:9" ht="15" customHeight="1" x14ac:dyDescent="0.25">
      <c r="A243" s="72" t="s">
        <v>164</v>
      </c>
      <c r="B243" s="67">
        <f t="shared" si="4"/>
        <v>652007</v>
      </c>
      <c r="C243" s="75">
        <v>540834</v>
      </c>
      <c r="D243" s="68">
        <v>110173</v>
      </c>
      <c r="E243" s="77"/>
      <c r="F243" s="77"/>
      <c r="G243" s="75">
        <v>1000</v>
      </c>
      <c r="H243" s="77"/>
      <c r="I243" s="77"/>
    </row>
    <row r="244" spans="1:9" ht="15" customHeight="1" x14ac:dyDescent="0.25">
      <c r="A244" s="69" t="s">
        <v>43</v>
      </c>
      <c r="B244" s="67">
        <f t="shared" si="4"/>
        <v>416554</v>
      </c>
      <c r="C244" s="68">
        <v>383681</v>
      </c>
      <c r="D244" s="68">
        <v>30946</v>
      </c>
      <c r="E244" s="68"/>
      <c r="F244" s="68"/>
      <c r="G244" s="68">
        <v>1840</v>
      </c>
      <c r="H244" s="68"/>
      <c r="I244" s="68">
        <v>87</v>
      </c>
    </row>
    <row r="245" spans="1:9" ht="15" customHeight="1" x14ac:dyDescent="0.25">
      <c r="A245" s="69" t="s">
        <v>44</v>
      </c>
      <c r="B245" s="67">
        <f t="shared" si="4"/>
        <v>159130</v>
      </c>
      <c r="C245" s="68">
        <v>132209</v>
      </c>
      <c r="D245" s="68">
        <v>24440</v>
      </c>
      <c r="E245" s="68"/>
      <c r="F245" s="68"/>
      <c r="G245" s="68">
        <v>2481</v>
      </c>
      <c r="H245" s="68"/>
      <c r="I245" s="68"/>
    </row>
    <row r="246" spans="1:9" ht="15" customHeight="1" x14ac:dyDescent="0.25">
      <c r="A246" s="83" t="s">
        <v>158</v>
      </c>
      <c r="B246" s="67">
        <f t="shared" si="4"/>
        <v>144657</v>
      </c>
      <c r="C246" s="68">
        <v>130803</v>
      </c>
      <c r="D246" s="68">
        <v>13204</v>
      </c>
      <c r="E246" s="68"/>
      <c r="F246" s="68"/>
      <c r="G246" s="68">
        <v>650</v>
      </c>
      <c r="H246" s="68"/>
      <c r="I246" s="84"/>
    </row>
    <row r="247" spans="1:9" ht="15" customHeight="1" x14ac:dyDescent="0.25">
      <c r="A247" s="71" t="s">
        <v>150</v>
      </c>
      <c r="B247" s="67">
        <f t="shared" si="4"/>
        <v>128163</v>
      </c>
      <c r="C247" s="68">
        <v>121357</v>
      </c>
      <c r="D247" s="68">
        <v>5032</v>
      </c>
      <c r="E247" s="68"/>
      <c r="F247" s="68"/>
      <c r="G247" s="68"/>
      <c r="H247" s="68"/>
      <c r="I247" s="68">
        <v>1774</v>
      </c>
    </row>
    <row r="248" spans="1:9" ht="15" customHeight="1" x14ac:dyDescent="0.25">
      <c r="A248" s="69" t="s">
        <v>45</v>
      </c>
      <c r="B248" s="67">
        <f t="shared" si="4"/>
        <v>524204</v>
      </c>
      <c r="C248" s="68">
        <v>454526</v>
      </c>
      <c r="D248" s="68">
        <v>69478</v>
      </c>
      <c r="E248" s="68"/>
      <c r="F248" s="68"/>
      <c r="G248" s="68">
        <v>200</v>
      </c>
      <c r="H248" s="68"/>
      <c r="I248" s="68"/>
    </row>
    <row r="249" spans="1:9" ht="15" customHeight="1" x14ac:dyDescent="0.25">
      <c r="A249" s="69" t="s">
        <v>52</v>
      </c>
      <c r="B249" s="67">
        <f t="shared" si="4"/>
        <v>220965</v>
      </c>
      <c r="C249" s="68">
        <v>90094</v>
      </c>
      <c r="D249" s="68">
        <v>130871</v>
      </c>
      <c r="E249" s="68"/>
      <c r="F249" s="68"/>
      <c r="G249" s="68"/>
      <c r="H249" s="68"/>
      <c r="I249" s="68"/>
    </row>
    <row r="250" spans="1:9" ht="30" customHeight="1" x14ac:dyDescent="0.25">
      <c r="A250" s="69" t="s">
        <v>226</v>
      </c>
      <c r="B250" s="67">
        <f t="shared" si="4"/>
        <v>218255</v>
      </c>
      <c r="C250" s="68">
        <v>175526</v>
      </c>
      <c r="D250" s="68">
        <v>42729</v>
      </c>
      <c r="E250" s="68"/>
      <c r="F250" s="68"/>
      <c r="G250" s="68"/>
      <c r="H250" s="68"/>
      <c r="I250" s="68"/>
    </row>
    <row r="251" spans="1:9" ht="15" customHeight="1" x14ac:dyDescent="0.25">
      <c r="A251" s="69" t="s">
        <v>157</v>
      </c>
      <c r="B251" s="67">
        <f t="shared" si="4"/>
        <v>271060</v>
      </c>
      <c r="C251" s="68">
        <v>249314</v>
      </c>
      <c r="D251" s="68">
        <v>8937</v>
      </c>
      <c r="E251" s="68"/>
      <c r="F251" s="68"/>
      <c r="G251" s="68">
        <v>765</v>
      </c>
      <c r="H251" s="68"/>
      <c r="I251" s="68">
        <v>12044</v>
      </c>
    </row>
    <row r="252" spans="1:9" ht="15" customHeight="1" x14ac:dyDescent="0.25">
      <c r="A252" s="69" t="s">
        <v>167</v>
      </c>
      <c r="B252" s="67">
        <f t="shared" si="4"/>
        <v>62449</v>
      </c>
      <c r="C252" s="68">
        <v>7682</v>
      </c>
      <c r="D252" s="68">
        <v>47267</v>
      </c>
      <c r="E252" s="68"/>
      <c r="F252" s="68"/>
      <c r="G252" s="68"/>
      <c r="H252" s="68">
        <v>7500</v>
      </c>
      <c r="I252" s="68"/>
    </row>
    <row r="253" spans="1:9" ht="15" customHeight="1" x14ac:dyDescent="0.25">
      <c r="A253" s="71" t="s">
        <v>62</v>
      </c>
      <c r="B253" s="67">
        <f t="shared" si="4"/>
        <v>12789</v>
      </c>
      <c r="C253" s="68"/>
      <c r="D253" s="68">
        <v>12789</v>
      </c>
      <c r="E253" s="68"/>
      <c r="F253" s="68"/>
      <c r="G253" s="68"/>
      <c r="H253" s="68"/>
      <c r="I253" s="68"/>
    </row>
    <row r="254" spans="1:9" ht="30" customHeight="1" x14ac:dyDescent="0.25">
      <c r="A254" s="70" t="s">
        <v>201</v>
      </c>
      <c r="B254" s="67">
        <f t="shared" si="4"/>
        <v>23294</v>
      </c>
      <c r="C254" s="68">
        <v>7935</v>
      </c>
      <c r="D254" s="68">
        <v>15359</v>
      </c>
      <c r="E254" s="68"/>
      <c r="F254" s="68"/>
      <c r="G254" s="68"/>
      <c r="H254" s="68"/>
      <c r="I254" s="84"/>
    </row>
    <row r="255" spans="1:9" ht="30" customHeight="1" x14ac:dyDescent="0.25">
      <c r="A255" s="71" t="s">
        <v>186</v>
      </c>
      <c r="B255" s="67">
        <f t="shared" si="4"/>
        <v>20596</v>
      </c>
      <c r="C255" s="68">
        <v>14686</v>
      </c>
      <c r="D255" s="68">
        <v>5910</v>
      </c>
      <c r="E255" s="68"/>
      <c r="F255" s="68"/>
      <c r="G255" s="68"/>
      <c r="H255" s="68"/>
      <c r="I255" s="68"/>
    </row>
    <row r="256" spans="1:9" ht="30" customHeight="1" x14ac:dyDescent="0.25">
      <c r="A256" s="71" t="s">
        <v>187</v>
      </c>
      <c r="B256" s="67">
        <f t="shared" si="4"/>
        <v>24098</v>
      </c>
      <c r="C256" s="68">
        <v>15493</v>
      </c>
      <c r="D256" s="68">
        <v>8455</v>
      </c>
      <c r="E256" s="68"/>
      <c r="F256" s="68"/>
      <c r="G256" s="68">
        <v>150</v>
      </c>
      <c r="H256" s="68"/>
      <c r="I256" s="68"/>
    </row>
    <row r="257" spans="1:9" ht="30" customHeight="1" x14ac:dyDescent="0.25">
      <c r="A257" s="71" t="s">
        <v>183</v>
      </c>
      <c r="B257" s="67">
        <f t="shared" si="4"/>
        <v>23863</v>
      </c>
      <c r="C257" s="68">
        <v>13324</v>
      </c>
      <c r="D257" s="68">
        <v>10539</v>
      </c>
      <c r="E257" s="68"/>
      <c r="F257" s="68"/>
      <c r="G257" s="68"/>
      <c r="H257" s="68"/>
      <c r="I257" s="68"/>
    </row>
    <row r="258" spans="1:9" ht="30" customHeight="1" x14ac:dyDescent="0.25">
      <c r="A258" s="71" t="s">
        <v>204</v>
      </c>
      <c r="B258" s="67">
        <f t="shared" si="4"/>
        <v>22060</v>
      </c>
      <c r="C258" s="68">
        <v>13580</v>
      </c>
      <c r="D258" s="68">
        <v>8480</v>
      </c>
      <c r="E258" s="68"/>
      <c r="F258" s="68"/>
      <c r="G258" s="68"/>
      <c r="H258" s="68"/>
      <c r="I258" s="68"/>
    </row>
    <row r="259" spans="1:9" ht="30" customHeight="1" x14ac:dyDescent="0.25">
      <c r="A259" s="71" t="s">
        <v>185</v>
      </c>
      <c r="B259" s="67">
        <f t="shared" si="4"/>
        <v>21883</v>
      </c>
      <c r="C259" s="68">
        <v>12658</v>
      </c>
      <c r="D259" s="68">
        <v>9225</v>
      </c>
      <c r="E259" s="68"/>
      <c r="F259" s="68"/>
      <c r="G259" s="68"/>
      <c r="H259" s="68"/>
      <c r="I259" s="68"/>
    </row>
    <row r="260" spans="1:9" ht="30" customHeight="1" x14ac:dyDescent="0.25">
      <c r="A260" s="72" t="s">
        <v>193</v>
      </c>
      <c r="B260" s="67">
        <f t="shared" si="4"/>
        <v>92220</v>
      </c>
      <c r="C260" s="75">
        <v>39665</v>
      </c>
      <c r="D260" s="68">
        <v>52555</v>
      </c>
      <c r="E260" s="77"/>
      <c r="F260" s="77"/>
      <c r="G260" s="77"/>
      <c r="H260" s="77"/>
      <c r="I260" s="77"/>
    </row>
    <row r="261" spans="1:9" ht="30" customHeight="1" x14ac:dyDescent="0.25">
      <c r="A261" s="71" t="s">
        <v>621</v>
      </c>
      <c r="B261" s="67">
        <f t="shared" si="4"/>
        <v>32014</v>
      </c>
      <c r="C261" s="68">
        <v>21673</v>
      </c>
      <c r="D261" s="68">
        <v>10341</v>
      </c>
      <c r="E261" s="68"/>
      <c r="F261" s="68"/>
      <c r="G261" s="68"/>
      <c r="H261" s="68"/>
      <c r="I261" s="68"/>
    </row>
    <row r="262" spans="1:9" ht="30" customHeight="1" x14ac:dyDescent="0.25">
      <c r="A262" s="71" t="s">
        <v>149</v>
      </c>
      <c r="B262" s="67">
        <f t="shared" si="4"/>
        <v>28061</v>
      </c>
      <c r="C262" s="68">
        <v>12622</v>
      </c>
      <c r="D262" s="68">
        <v>15439</v>
      </c>
      <c r="E262" s="68"/>
      <c r="F262" s="68"/>
      <c r="G262" s="68"/>
      <c r="H262" s="68"/>
      <c r="I262" s="68"/>
    </row>
    <row r="263" spans="1:9" ht="15" customHeight="1" x14ac:dyDescent="0.25">
      <c r="A263" s="71" t="s">
        <v>206</v>
      </c>
      <c r="B263" s="67">
        <f t="shared" si="4"/>
        <v>35185</v>
      </c>
      <c r="C263" s="68">
        <v>23489</v>
      </c>
      <c r="D263" s="68">
        <v>11696</v>
      </c>
      <c r="E263" s="68"/>
      <c r="F263" s="68"/>
      <c r="G263" s="68"/>
      <c r="H263" s="68"/>
      <c r="I263" s="68"/>
    </row>
    <row r="264" spans="1:9" ht="30" customHeight="1" x14ac:dyDescent="0.25">
      <c r="A264" s="71" t="s">
        <v>200</v>
      </c>
      <c r="B264" s="67">
        <f t="shared" si="4"/>
        <v>21535</v>
      </c>
      <c r="C264" s="68">
        <v>13224</v>
      </c>
      <c r="D264" s="68">
        <v>8311</v>
      </c>
      <c r="E264" s="68"/>
      <c r="F264" s="68"/>
      <c r="G264" s="68"/>
      <c r="H264" s="68"/>
      <c r="I264" s="68"/>
    </row>
    <row r="265" spans="1:9" ht="15" customHeight="1" x14ac:dyDescent="0.25">
      <c r="A265" s="71" t="s">
        <v>202</v>
      </c>
      <c r="B265" s="67">
        <f t="shared" si="4"/>
        <v>19842</v>
      </c>
      <c r="C265" s="68">
        <v>14015</v>
      </c>
      <c r="D265" s="68">
        <v>5827</v>
      </c>
      <c r="E265" s="68"/>
      <c r="F265" s="68"/>
      <c r="G265" s="68"/>
      <c r="H265" s="68"/>
      <c r="I265" s="68"/>
    </row>
    <row r="266" spans="1:9" ht="30" customHeight="1" x14ac:dyDescent="0.25">
      <c r="A266" s="71" t="s">
        <v>192</v>
      </c>
      <c r="B266" s="67">
        <f t="shared" si="4"/>
        <v>169104</v>
      </c>
      <c r="C266" s="68">
        <v>14104</v>
      </c>
      <c r="D266" s="68">
        <v>13597</v>
      </c>
      <c r="E266" s="68"/>
      <c r="F266" s="68"/>
      <c r="G266" s="68">
        <f>75+141328</f>
        <v>141403</v>
      </c>
      <c r="H266" s="68"/>
      <c r="I266" s="68"/>
    </row>
    <row r="267" spans="1:9" ht="30" customHeight="1" x14ac:dyDescent="0.25">
      <c r="A267" s="69" t="s">
        <v>46</v>
      </c>
      <c r="B267" s="67">
        <f t="shared" si="4"/>
        <v>8000</v>
      </c>
      <c r="C267" s="68"/>
      <c r="D267" s="68"/>
      <c r="E267" s="68"/>
      <c r="F267" s="68"/>
      <c r="G267" s="68"/>
      <c r="H267" s="68">
        <v>8000</v>
      </c>
      <c r="I267" s="68"/>
    </row>
    <row r="268" spans="1:9" ht="30" customHeight="1" x14ac:dyDescent="0.25">
      <c r="A268" s="70" t="s">
        <v>76</v>
      </c>
      <c r="B268" s="67">
        <f t="shared" si="4"/>
        <v>151350</v>
      </c>
      <c r="C268" s="68"/>
      <c r="D268" s="68">
        <v>1350</v>
      </c>
      <c r="E268" s="68"/>
      <c r="F268" s="68"/>
      <c r="G268" s="68"/>
      <c r="H268" s="68"/>
      <c r="I268" s="68">
        <v>150000</v>
      </c>
    </row>
    <row r="269" spans="1:9" ht="45" customHeight="1" x14ac:dyDescent="0.25">
      <c r="A269" s="70" t="s">
        <v>59</v>
      </c>
      <c r="B269" s="67">
        <f t="shared" si="4"/>
        <v>4999</v>
      </c>
      <c r="C269" s="68">
        <v>371</v>
      </c>
      <c r="D269" s="68">
        <v>2628</v>
      </c>
      <c r="E269" s="68"/>
      <c r="F269" s="68"/>
      <c r="G269" s="68">
        <v>2000</v>
      </c>
      <c r="H269" s="68"/>
      <c r="I269" s="68"/>
    </row>
    <row r="270" spans="1:9" ht="30" customHeight="1" x14ac:dyDescent="0.25">
      <c r="A270" s="70" t="s">
        <v>218</v>
      </c>
      <c r="B270" s="67">
        <f t="shared" si="4"/>
        <v>61459</v>
      </c>
      <c r="C270" s="68">
        <v>27699</v>
      </c>
      <c r="D270" s="68">
        <v>31000</v>
      </c>
      <c r="E270" s="68">
        <v>2760</v>
      </c>
      <c r="F270" s="68"/>
      <c r="G270" s="68"/>
      <c r="H270" s="68"/>
      <c r="I270" s="68"/>
    </row>
    <row r="271" spans="1:9" ht="30" customHeight="1" x14ac:dyDescent="0.25">
      <c r="A271" s="71" t="s">
        <v>153</v>
      </c>
      <c r="B271" s="67">
        <f t="shared" si="4"/>
        <v>76655</v>
      </c>
      <c r="C271" s="68">
        <v>43280</v>
      </c>
      <c r="D271" s="68">
        <v>30375</v>
      </c>
      <c r="E271" s="68"/>
      <c r="F271" s="68"/>
      <c r="G271" s="68">
        <v>3000</v>
      </c>
      <c r="H271" s="68"/>
      <c r="I271" s="68"/>
    </row>
    <row r="272" spans="1:9" ht="15" customHeight="1" x14ac:dyDescent="0.25">
      <c r="A272" s="70" t="s">
        <v>240</v>
      </c>
      <c r="B272" s="67">
        <f t="shared" si="4"/>
        <v>2150</v>
      </c>
      <c r="C272" s="68">
        <v>86</v>
      </c>
      <c r="D272" s="68">
        <v>2064</v>
      </c>
      <c r="E272" s="68"/>
      <c r="F272" s="68"/>
      <c r="G272" s="68"/>
      <c r="H272" s="68"/>
      <c r="I272" s="68"/>
    </row>
    <row r="273" spans="1:9" ht="45" customHeight="1" x14ac:dyDescent="0.25">
      <c r="A273" s="70" t="s">
        <v>628</v>
      </c>
      <c r="B273" s="67">
        <f t="shared" si="4"/>
        <v>4415</v>
      </c>
      <c r="C273" s="68">
        <v>2000</v>
      </c>
      <c r="D273" s="68">
        <v>2415</v>
      </c>
      <c r="E273" s="68"/>
      <c r="F273" s="68"/>
      <c r="G273" s="68"/>
      <c r="H273" s="68"/>
      <c r="I273" s="68"/>
    </row>
    <row r="274" spans="1:9" ht="62.1" customHeight="1" x14ac:dyDescent="0.25">
      <c r="A274" s="70" t="s">
        <v>632</v>
      </c>
      <c r="B274" s="67">
        <f t="shared" si="4"/>
        <v>8111</v>
      </c>
      <c r="C274" s="68"/>
      <c r="D274" s="68">
        <v>8111</v>
      </c>
      <c r="E274" s="68"/>
      <c r="F274" s="68"/>
      <c r="G274" s="68"/>
      <c r="H274" s="68"/>
      <c r="I274" s="68"/>
    </row>
    <row r="275" spans="1:9" ht="62.1" customHeight="1" x14ac:dyDescent="0.25">
      <c r="A275" s="70" t="s">
        <v>631</v>
      </c>
      <c r="B275" s="67">
        <f t="shared" si="4"/>
        <v>4370</v>
      </c>
      <c r="C275" s="68"/>
      <c r="D275" s="68">
        <v>4370</v>
      </c>
      <c r="E275" s="68"/>
      <c r="F275" s="68"/>
      <c r="G275" s="68"/>
      <c r="H275" s="68"/>
      <c r="I275" s="68"/>
    </row>
    <row r="276" spans="1:9" ht="45" customHeight="1" x14ac:dyDescent="0.25">
      <c r="A276" s="70" t="s">
        <v>253</v>
      </c>
      <c r="B276" s="67">
        <f t="shared" si="4"/>
        <v>15589</v>
      </c>
      <c r="C276" s="68"/>
      <c r="D276" s="68">
        <v>15589</v>
      </c>
      <c r="E276" s="68"/>
      <c r="F276" s="68"/>
      <c r="G276" s="68"/>
      <c r="H276" s="68"/>
      <c r="I276" s="68"/>
    </row>
    <row r="277" spans="1:9" ht="30" customHeight="1" x14ac:dyDescent="0.25">
      <c r="A277" s="66" t="s">
        <v>239</v>
      </c>
      <c r="B277" s="67">
        <f t="shared" ref="B277:B321" si="5">SUM(C277:I277)</f>
        <v>17793</v>
      </c>
      <c r="C277" s="68">
        <v>1213</v>
      </c>
      <c r="D277" s="68">
        <v>16580</v>
      </c>
      <c r="E277" s="68"/>
      <c r="F277" s="68"/>
      <c r="G277" s="68"/>
      <c r="H277" s="68"/>
      <c r="I277" s="68"/>
    </row>
    <row r="278" spans="1:9" ht="45" customHeight="1" x14ac:dyDescent="0.25">
      <c r="A278" s="72" t="s">
        <v>589</v>
      </c>
      <c r="B278" s="67">
        <f t="shared" si="5"/>
        <v>33496</v>
      </c>
      <c r="C278" s="77"/>
      <c r="D278" s="68">
        <v>33496</v>
      </c>
      <c r="E278" s="77"/>
      <c r="F278" s="77"/>
      <c r="G278" s="77"/>
      <c r="H278" s="77"/>
      <c r="I278" s="77"/>
    </row>
    <row r="279" spans="1:9" ht="45" customHeight="1" x14ac:dyDescent="0.25">
      <c r="A279" s="70" t="s">
        <v>254</v>
      </c>
      <c r="B279" s="67">
        <f t="shared" si="5"/>
        <v>11450</v>
      </c>
      <c r="C279" s="68">
        <v>3750</v>
      </c>
      <c r="D279" s="68">
        <v>7700</v>
      </c>
      <c r="E279" s="68"/>
      <c r="F279" s="68"/>
      <c r="G279" s="68"/>
      <c r="H279" s="68"/>
      <c r="I279" s="68"/>
    </row>
    <row r="280" spans="1:9" ht="15" customHeight="1" x14ac:dyDescent="0.25">
      <c r="A280" s="70" t="s">
        <v>245</v>
      </c>
      <c r="B280" s="67">
        <f t="shared" si="5"/>
        <v>51760</v>
      </c>
      <c r="C280" s="68"/>
      <c r="D280" s="68"/>
      <c r="E280" s="68"/>
      <c r="F280" s="68"/>
      <c r="G280" s="68">
        <v>51760</v>
      </c>
      <c r="H280" s="68"/>
      <c r="I280" s="68"/>
    </row>
    <row r="281" spans="1:9" ht="30" customHeight="1" x14ac:dyDescent="0.25">
      <c r="A281" s="70" t="s">
        <v>241</v>
      </c>
      <c r="B281" s="67">
        <f t="shared" si="5"/>
        <v>796001</v>
      </c>
      <c r="C281" s="68"/>
      <c r="D281" s="68"/>
      <c r="E281" s="68"/>
      <c r="F281" s="68"/>
      <c r="G281" s="68">
        <v>796001</v>
      </c>
      <c r="H281" s="68"/>
      <c r="I281" s="68"/>
    </row>
    <row r="282" spans="1:9" ht="30" customHeight="1" x14ac:dyDescent="0.25">
      <c r="A282" s="70" t="s">
        <v>244</v>
      </c>
      <c r="B282" s="67">
        <f t="shared" si="5"/>
        <v>380787</v>
      </c>
      <c r="C282" s="68"/>
      <c r="D282" s="68"/>
      <c r="E282" s="68"/>
      <c r="F282" s="68"/>
      <c r="G282" s="68">
        <v>380787</v>
      </c>
      <c r="H282" s="68"/>
      <c r="I282" s="68"/>
    </row>
    <row r="283" spans="1:9" ht="15" customHeight="1" x14ac:dyDescent="0.25">
      <c r="A283" s="69" t="s">
        <v>48</v>
      </c>
      <c r="B283" s="67">
        <f t="shared" si="5"/>
        <v>237717</v>
      </c>
      <c r="C283" s="68">
        <v>218584</v>
      </c>
      <c r="D283" s="68">
        <v>19133</v>
      </c>
      <c r="E283" s="68"/>
      <c r="F283" s="68"/>
      <c r="G283" s="68"/>
      <c r="H283" s="68"/>
      <c r="I283" s="68"/>
    </row>
    <row r="284" spans="1:9" ht="15" customHeight="1" x14ac:dyDescent="0.25">
      <c r="A284" s="69" t="s">
        <v>177</v>
      </c>
      <c r="B284" s="67">
        <f t="shared" si="5"/>
        <v>676779</v>
      </c>
      <c r="C284" s="68">
        <v>598528</v>
      </c>
      <c r="D284" s="68">
        <v>78251</v>
      </c>
      <c r="E284" s="68"/>
      <c r="F284" s="68"/>
      <c r="G284" s="68"/>
      <c r="H284" s="68"/>
      <c r="I284" s="68"/>
    </row>
    <row r="285" spans="1:9" ht="15" customHeight="1" x14ac:dyDescent="0.25">
      <c r="A285" s="69" t="s">
        <v>227</v>
      </c>
      <c r="B285" s="67">
        <f t="shared" si="5"/>
        <v>960073</v>
      </c>
      <c r="C285" s="68"/>
      <c r="D285" s="68"/>
      <c r="E285" s="68"/>
      <c r="F285" s="68"/>
      <c r="G285" s="68"/>
      <c r="H285" s="68">
        <v>960073</v>
      </c>
      <c r="I285" s="68"/>
    </row>
    <row r="286" spans="1:9" ht="15" customHeight="1" x14ac:dyDescent="0.25">
      <c r="A286" s="69" t="s">
        <v>171</v>
      </c>
      <c r="B286" s="67">
        <f t="shared" si="5"/>
        <v>19690</v>
      </c>
      <c r="C286" s="68"/>
      <c r="D286" s="68"/>
      <c r="E286" s="68"/>
      <c r="F286" s="68"/>
      <c r="G286" s="68"/>
      <c r="H286" s="68">
        <v>19690</v>
      </c>
      <c r="I286" s="68"/>
    </row>
    <row r="287" spans="1:9" ht="15" customHeight="1" x14ac:dyDescent="0.25">
      <c r="A287" s="69" t="s">
        <v>49</v>
      </c>
      <c r="B287" s="67">
        <f t="shared" si="5"/>
        <v>21813</v>
      </c>
      <c r="C287" s="68"/>
      <c r="D287" s="68">
        <v>21813</v>
      </c>
      <c r="E287" s="68"/>
      <c r="F287" s="68"/>
      <c r="G287" s="68"/>
      <c r="H287" s="68"/>
      <c r="I287" s="68"/>
    </row>
    <row r="288" spans="1:9" ht="15" customHeight="1" x14ac:dyDescent="0.25">
      <c r="A288" s="69" t="s">
        <v>61</v>
      </c>
      <c r="B288" s="67">
        <f t="shared" si="5"/>
        <v>146740</v>
      </c>
      <c r="C288" s="68">
        <v>45671</v>
      </c>
      <c r="D288" s="68">
        <v>5509</v>
      </c>
      <c r="E288" s="68"/>
      <c r="F288" s="68"/>
      <c r="G288" s="68">
        <v>680</v>
      </c>
      <c r="H288" s="68">
        <v>94880</v>
      </c>
      <c r="I288" s="68"/>
    </row>
    <row r="289" spans="1:9" ht="15" customHeight="1" x14ac:dyDescent="0.25">
      <c r="A289" s="69" t="s">
        <v>47</v>
      </c>
      <c r="B289" s="67">
        <f t="shared" si="5"/>
        <v>1619844</v>
      </c>
      <c r="C289" s="68">
        <v>934580</v>
      </c>
      <c r="D289" s="68">
        <v>683664</v>
      </c>
      <c r="E289" s="68"/>
      <c r="F289" s="68"/>
      <c r="G289" s="68"/>
      <c r="H289" s="68">
        <v>1600</v>
      </c>
      <c r="I289" s="68"/>
    </row>
    <row r="290" spans="1:9" ht="15" customHeight="1" x14ac:dyDescent="0.25">
      <c r="A290" s="69" t="s">
        <v>121</v>
      </c>
      <c r="B290" s="67">
        <f t="shared" si="5"/>
        <v>299672</v>
      </c>
      <c r="C290" s="68">
        <v>193546</v>
      </c>
      <c r="D290" s="68">
        <v>106126</v>
      </c>
      <c r="E290" s="68"/>
      <c r="F290" s="68"/>
      <c r="G290" s="68"/>
      <c r="H290" s="68"/>
      <c r="I290" s="68"/>
    </row>
    <row r="291" spans="1:9" ht="15" customHeight="1" x14ac:dyDescent="0.25">
      <c r="A291" s="66" t="s">
        <v>123</v>
      </c>
      <c r="B291" s="67">
        <f t="shared" si="5"/>
        <v>189478</v>
      </c>
      <c r="C291" s="68">
        <v>128124</v>
      </c>
      <c r="D291" s="68">
        <v>60554</v>
      </c>
      <c r="E291" s="68"/>
      <c r="F291" s="68"/>
      <c r="G291" s="68"/>
      <c r="H291" s="68">
        <v>800</v>
      </c>
      <c r="I291" s="68"/>
    </row>
    <row r="292" spans="1:9" ht="15" customHeight="1" x14ac:dyDescent="0.25">
      <c r="A292" s="66" t="s">
        <v>122</v>
      </c>
      <c r="B292" s="67">
        <f t="shared" si="5"/>
        <v>270642</v>
      </c>
      <c r="C292" s="68">
        <v>192908</v>
      </c>
      <c r="D292" s="68">
        <v>76694</v>
      </c>
      <c r="E292" s="68"/>
      <c r="F292" s="68"/>
      <c r="G292" s="68"/>
      <c r="H292" s="68">
        <v>1040</v>
      </c>
      <c r="I292" s="68"/>
    </row>
    <row r="293" spans="1:9" ht="30" customHeight="1" x14ac:dyDescent="0.25">
      <c r="A293" s="70" t="s">
        <v>79</v>
      </c>
      <c r="B293" s="67">
        <f t="shared" si="5"/>
        <v>311921</v>
      </c>
      <c r="C293" s="68">
        <v>225695</v>
      </c>
      <c r="D293" s="68">
        <v>78826</v>
      </c>
      <c r="E293" s="68"/>
      <c r="F293" s="68"/>
      <c r="G293" s="68"/>
      <c r="H293" s="68">
        <v>7400</v>
      </c>
      <c r="I293" s="68"/>
    </row>
    <row r="294" spans="1:9" ht="30" customHeight="1" x14ac:dyDescent="0.25">
      <c r="A294" s="72" t="s">
        <v>178</v>
      </c>
      <c r="B294" s="67">
        <f t="shared" si="5"/>
        <v>81177</v>
      </c>
      <c r="C294" s="85">
        <v>69999</v>
      </c>
      <c r="D294" s="68">
        <v>11178</v>
      </c>
      <c r="E294" s="86"/>
      <c r="F294" s="86"/>
      <c r="G294" s="86"/>
      <c r="H294" s="86"/>
      <c r="I294" s="86"/>
    </row>
    <row r="295" spans="1:9" ht="30" customHeight="1" x14ac:dyDescent="0.25">
      <c r="A295" s="71" t="s">
        <v>179</v>
      </c>
      <c r="B295" s="67">
        <f t="shared" si="5"/>
        <v>132055</v>
      </c>
      <c r="C295" s="68">
        <v>105188</v>
      </c>
      <c r="D295" s="68">
        <v>26867</v>
      </c>
      <c r="E295" s="68"/>
      <c r="F295" s="68"/>
      <c r="G295" s="68"/>
      <c r="H295" s="68"/>
      <c r="I295" s="68"/>
    </row>
    <row r="296" spans="1:9" ht="30" customHeight="1" x14ac:dyDescent="0.25">
      <c r="A296" s="87" t="s">
        <v>161</v>
      </c>
      <c r="B296" s="67">
        <f t="shared" si="5"/>
        <v>5535</v>
      </c>
      <c r="C296" s="88">
        <v>4790</v>
      </c>
      <c r="D296" s="68">
        <v>745</v>
      </c>
      <c r="E296" s="89"/>
      <c r="F296" s="89"/>
      <c r="G296" s="89"/>
      <c r="H296" s="89"/>
      <c r="I296" s="89"/>
    </row>
    <row r="297" spans="1:9" ht="30" customHeight="1" x14ac:dyDescent="0.25">
      <c r="A297" s="90" t="s">
        <v>588</v>
      </c>
      <c r="B297" s="67">
        <f t="shared" si="5"/>
        <v>620</v>
      </c>
      <c r="C297" s="81"/>
      <c r="D297" s="68">
        <v>620</v>
      </c>
      <c r="E297" s="82"/>
      <c r="F297" s="82"/>
      <c r="G297" s="82"/>
      <c r="H297" s="82"/>
      <c r="I297" s="82"/>
    </row>
    <row r="298" spans="1:9" ht="30" customHeight="1" x14ac:dyDescent="0.25">
      <c r="A298" s="69" t="s">
        <v>50</v>
      </c>
      <c r="B298" s="67">
        <f t="shared" si="5"/>
        <v>484637</v>
      </c>
      <c r="C298" s="68">
        <v>433127</v>
      </c>
      <c r="D298" s="68">
        <v>49510</v>
      </c>
      <c r="E298" s="68"/>
      <c r="F298" s="68"/>
      <c r="G298" s="68">
        <v>2000</v>
      </c>
      <c r="H298" s="68"/>
      <c r="I298" s="68"/>
    </row>
    <row r="299" spans="1:9" ht="30" customHeight="1" x14ac:dyDescent="0.25">
      <c r="A299" s="70" t="s">
        <v>56</v>
      </c>
      <c r="B299" s="67">
        <f t="shared" si="5"/>
        <v>462678</v>
      </c>
      <c r="C299" s="68">
        <v>128165</v>
      </c>
      <c r="D299" s="68">
        <v>7600</v>
      </c>
      <c r="E299" s="68"/>
      <c r="F299" s="68"/>
      <c r="G299" s="68">
        <v>37383</v>
      </c>
      <c r="H299" s="68">
        <v>289530</v>
      </c>
      <c r="I299" s="68"/>
    </row>
    <row r="300" spans="1:9" ht="30" customHeight="1" x14ac:dyDescent="0.25">
      <c r="A300" s="69" t="s">
        <v>55</v>
      </c>
      <c r="B300" s="67">
        <f t="shared" si="5"/>
        <v>58312</v>
      </c>
      <c r="C300" s="68">
        <v>35180</v>
      </c>
      <c r="D300" s="68">
        <v>21299</v>
      </c>
      <c r="E300" s="68"/>
      <c r="F300" s="68"/>
      <c r="G300" s="68">
        <v>1833</v>
      </c>
      <c r="H300" s="68"/>
      <c r="I300" s="68"/>
    </row>
    <row r="301" spans="1:9" ht="32.1" customHeight="1" x14ac:dyDescent="0.25">
      <c r="A301" s="70" t="s">
        <v>220</v>
      </c>
      <c r="B301" s="67">
        <f t="shared" si="5"/>
        <v>1450</v>
      </c>
      <c r="C301" s="68"/>
      <c r="D301" s="68"/>
      <c r="E301" s="68"/>
      <c r="F301" s="68">
        <v>1450</v>
      </c>
      <c r="G301" s="68"/>
      <c r="H301" s="68"/>
      <c r="I301" s="68"/>
    </row>
    <row r="302" spans="1:9" ht="15" customHeight="1" x14ac:dyDescent="0.25">
      <c r="A302" s="70" t="s">
        <v>221</v>
      </c>
      <c r="B302" s="67">
        <f t="shared" si="5"/>
        <v>1200</v>
      </c>
      <c r="C302" s="68"/>
      <c r="D302" s="68"/>
      <c r="E302" s="68"/>
      <c r="F302" s="68">
        <v>1200</v>
      </c>
      <c r="G302" s="68"/>
      <c r="H302" s="68"/>
      <c r="I302" s="68"/>
    </row>
    <row r="303" spans="1:9" ht="15" customHeight="1" x14ac:dyDescent="0.25">
      <c r="A303" s="70" t="s">
        <v>222</v>
      </c>
      <c r="B303" s="67">
        <f t="shared" si="5"/>
        <v>2000</v>
      </c>
      <c r="C303" s="68"/>
      <c r="D303" s="68"/>
      <c r="E303" s="68"/>
      <c r="F303" s="68">
        <v>2000</v>
      </c>
      <c r="G303" s="68"/>
      <c r="H303" s="68"/>
      <c r="I303" s="68"/>
    </row>
    <row r="304" spans="1:9" ht="30" customHeight="1" x14ac:dyDescent="0.25">
      <c r="A304" s="70" t="s">
        <v>230</v>
      </c>
      <c r="B304" s="67">
        <f t="shared" si="5"/>
        <v>516949</v>
      </c>
      <c r="C304" s="68"/>
      <c r="D304" s="68"/>
      <c r="E304" s="68"/>
      <c r="F304" s="68"/>
      <c r="G304" s="68">
        <v>516949</v>
      </c>
      <c r="H304" s="68"/>
      <c r="I304" s="68"/>
    </row>
    <row r="305" spans="1:9" ht="30" customHeight="1" x14ac:dyDescent="0.25">
      <c r="A305" s="70" t="s">
        <v>582</v>
      </c>
      <c r="B305" s="67">
        <f t="shared" si="5"/>
        <v>20812</v>
      </c>
      <c r="C305" s="68"/>
      <c r="D305" s="68"/>
      <c r="E305" s="68"/>
      <c r="F305" s="68"/>
      <c r="G305" s="68">
        <v>20812</v>
      </c>
      <c r="H305" s="68"/>
      <c r="I305" s="68"/>
    </row>
    <row r="306" spans="1:9" ht="30" customHeight="1" x14ac:dyDescent="0.25">
      <c r="A306" s="70" t="s">
        <v>618</v>
      </c>
      <c r="B306" s="67">
        <f t="shared" si="5"/>
        <v>10742</v>
      </c>
      <c r="C306" s="68"/>
      <c r="D306" s="68"/>
      <c r="E306" s="68"/>
      <c r="F306" s="68"/>
      <c r="G306" s="68">
        <v>10742</v>
      </c>
      <c r="H306" s="68"/>
      <c r="I306" s="68"/>
    </row>
    <row r="307" spans="1:9" ht="15" customHeight="1" x14ac:dyDescent="0.25">
      <c r="A307" s="70" t="s">
        <v>615</v>
      </c>
      <c r="B307" s="67">
        <f t="shared" si="5"/>
        <v>138837</v>
      </c>
      <c r="C307" s="68"/>
      <c r="D307" s="68"/>
      <c r="E307" s="68"/>
      <c r="F307" s="68"/>
      <c r="G307" s="68">
        <v>138837</v>
      </c>
      <c r="H307" s="68"/>
      <c r="I307" s="68"/>
    </row>
    <row r="308" spans="1:9" ht="15" customHeight="1" x14ac:dyDescent="0.25">
      <c r="A308" s="70" t="s">
        <v>639</v>
      </c>
      <c r="B308" s="67">
        <f t="shared" si="5"/>
        <v>257344</v>
      </c>
      <c r="C308" s="68"/>
      <c r="D308" s="68"/>
      <c r="E308" s="68"/>
      <c r="F308" s="68"/>
      <c r="G308" s="68">
        <v>257344</v>
      </c>
      <c r="H308" s="68"/>
      <c r="I308" s="68"/>
    </row>
    <row r="309" spans="1:9" ht="30" customHeight="1" x14ac:dyDescent="0.25">
      <c r="A309" s="70" t="s">
        <v>656</v>
      </c>
      <c r="B309" s="67">
        <f t="shared" si="5"/>
        <v>12510</v>
      </c>
      <c r="C309" s="68">
        <v>800</v>
      </c>
      <c r="D309" s="68">
        <v>11710</v>
      </c>
      <c r="E309" s="68"/>
      <c r="F309" s="68"/>
      <c r="G309" s="68"/>
      <c r="H309" s="68"/>
      <c r="I309" s="68"/>
    </row>
    <row r="310" spans="1:9" ht="30" customHeight="1" x14ac:dyDescent="0.25">
      <c r="A310" s="70" t="s">
        <v>165</v>
      </c>
      <c r="B310" s="67">
        <f t="shared" si="5"/>
        <v>604497</v>
      </c>
      <c r="C310" s="68"/>
      <c r="D310" s="68"/>
      <c r="E310" s="68"/>
      <c r="F310" s="68"/>
      <c r="G310" s="68">
        <v>604497</v>
      </c>
      <c r="H310" s="68"/>
      <c r="I310" s="68"/>
    </row>
    <row r="311" spans="1:9" ht="45" customHeight="1" x14ac:dyDescent="0.25">
      <c r="A311" s="70" t="s">
        <v>207</v>
      </c>
      <c r="B311" s="67">
        <f t="shared" si="5"/>
        <v>43230</v>
      </c>
      <c r="C311" s="68"/>
      <c r="D311" s="68"/>
      <c r="E311" s="68"/>
      <c r="F311" s="68"/>
      <c r="G311" s="68">
        <v>43230</v>
      </c>
      <c r="H311" s="68"/>
      <c r="I311" s="68"/>
    </row>
    <row r="312" spans="1:9" ht="45" customHeight="1" x14ac:dyDescent="0.25">
      <c r="A312" s="70" t="s">
        <v>641</v>
      </c>
      <c r="B312" s="67">
        <f t="shared" si="5"/>
        <v>14000</v>
      </c>
      <c r="C312" s="68"/>
      <c r="D312" s="68">
        <v>14000</v>
      </c>
      <c r="E312" s="68"/>
      <c r="F312" s="68"/>
      <c r="G312" s="68"/>
      <c r="H312" s="68"/>
      <c r="I312" s="68"/>
    </row>
    <row r="313" spans="1:9" ht="35.25" customHeight="1" x14ac:dyDescent="0.25">
      <c r="A313" s="70" t="s">
        <v>657</v>
      </c>
      <c r="B313" s="67">
        <f t="shared" si="5"/>
        <v>800</v>
      </c>
      <c r="C313" s="68">
        <v>800</v>
      </c>
      <c r="D313" s="68"/>
      <c r="E313" s="68"/>
      <c r="F313" s="68"/>
      <c r="G313" s="68"/>
      <c r="H313" s="68"/>
      <c r="I313" s="68"/>
    </row>
    <row r="314" spans="1:9" ht="35.25" customHeight="1" x14ac:dyDescent="0.25">
      <c r="A314" s="70" t="s">
        <v>658</v>
      </c>
      <c r="B314" s="67">
        <f t="shared" si="5"/>
        <v>2000</v>
      </c>
      <c r="C314" s="68"/>
      <c r="D314" s="68"/>
      <c r="E314" s="68"/>
      <c r="F314" s="68"/>
      <c r="G314" s="68">
        <v>2000</v>
      </c>
      <c r="H314" s="68"/>
      <c r="I314" s="68"/>
    </row>
    <row r="315" spans="1:9" ht="30" customHeight="1" x14ac:dyDescent="0.25">
      <c r="A315" s="90" t="s">
        <v>592</v>
      </c>
      <c r="B315" s="67">
        <f t="shared" si="5"/>
        <v>87736</v>
      </c>
      <c r="C315" s="68">
        <v>5096</v>
      </c>
      <c r="D315" s="68">
        <v>80258</v>
      </c>
      <c r="E315" s="68"/>
      <c r="F315" s="68"/>
      <c r="G315" s="68"/>
      <c r="H315" s="68">
        <v>2269</v>
      </c>
      <c r="I315" s="68">
        <v>113</v>
      </c>
    </row>
    <row r="316" spans="1:9" ht="15" customHeight="1" x14ac:dyDescent="0.25">
      <c r="A316" s="70" t="s">
        <v>176</v>
      </c>
      <c r="B316" s="67">
        <f t="shared" si="5"/>
        <v>100000</v>
      </c>
      <c r="C316" s="68"/>
      <c r="D316" s="68"/>
      <c r="E316" s="68"/>
      <c r="F316" s="68"/>
      <c r="G316" s="68">
        <v>100000</v>
      </c>
      <c r="H316" s="68"/>
      <c r="I316" s="68"/>
    </row>
    <row r="317" spans="1:9" ht="30" customHeight="1" x14ac:dyDescent="0.25">
      <c r="A317" s="70" t="s">
        <v>585</v>
      </c>
      <c r="B317" s="67">
        <f t="shared" si="5"/>
        <v>5000</v>
      </c>
      <c r="C317" s="68"/>
      <c r="D317" s="68">
        <v>5000</v>
      </c>
      <c r="E317" s="68"/>
      <c r="F317" s="68"/>
      <c r="G317" s="68"/>
      <c r="H317" s="68"/>
      <c r="I317" s="68"/>
    </row>
    <row r="318" spans="1:9" ht="30" customHeight="1" x14ac:dyDescent="0.25">
      <c r="A318" s="70" t="s">
        <v>590</v>
      </c>
      <c r="B318" s="67">
        <f t="shared" si="5"/>
        <v>48382</v>
      </c>
      <c r="C318" s="68">
        <v>1609</v>
      </c>
      <c r="D318" s="68">
        <v>1840</v>
      </c>
      <c r="E318" s="68"/>
      <c r="F318" s="68"/>
      <c r="G318" s="68">
        <v>1107</v>
      </c>
      <c r="H318" s="68">
        <v>8172</v>
      </c>
      <c r="I318" s="68">
        <v>35654</v>
      </c>
    </row>
    <row r="319" spans="1:9" ht="30" customHeight="1" x14ac:dyDescent="0.25">
      <c r="A319" s="70" t="s">
        <v>228</v>
      </c>
      <c r="B319" s="67">
        <f t="shared" si="5"/>
        <v>500772</v>
      </c>
      <c r="C319" s="68"/>
      <c r="D319" s="68"/>
      <c r="E319" s="68"/>
      <c r="F319" s="68"/>
      <c r="G319" s="68">
        <v>500772</v>
      </c>
      <c r="H319" s="68"/>
      <c r="I319" s="68"/>
    </row>
    <row r="320" spans="1:9" ht="30" customHeight="1" x14ac:dyDescent="0.25">
      <c r="A320" s="70" t="s">
        <v>229</v>
      </c>
      <c r="B320" s="67">
        <f t="shared" si="5"/>
        <v>353157</v>
      </c>
      <c r="C320" s="68"/>
      <c r="D320" s="68"/>
      <c r="E320" s="68"/>
      <c r="F320" s="68"/>
      <c r="G320" s="68">
        <v>353157</v>
      </c>
      <c r="H320" s="68"/>
      <c r="I320" s="68"/>
    </row>
    <row r="321" spans="1:9" ht="44.25" customHeight="1" x14ac:dyDescent="0.25">
      <c r="A321" s="70" t="s">
        <v>626</v>
      </c>
      <c r="B321" s="67">
        <f t="shared" si="5"/>
        <v>733744</v>
      </c>
      <c r="C321" s="68"/>
      <c r="D321" s="68"/>
      <c r="E321" s="68"/>
      <c r="F321" s="68"/>
      <c r="G321" s="68">
        <v>733744</v>
      </c>
      <c r="H321" s="68"/>
      <c r="I321" s="68"/>
    </row>
    <row r="322" spans="1:9" ht="15" customHeight="1" x14ac:dyDescent="0.25">
      <c r="A322" s="91" t="s">
        <v>51</v>
      </c>
      <c r="B322" s="92">
        <f>SUM(B18:B321)-B126-B23-B127</f>
        <v>36662779</v>
      </c>
      <c r="C322" s="92">
        <f t="shared" ref="C322:I322" si="6">SUM(C18:C321)-C126-C23-C127</f>
        <v>20147637</v>
      </c>
      <c r="D322" s="92">
        <f t="shared" si="6"/>
        <v>8577662</v>
      </c>
      <c r="E322" s="92">
        <f t="shared" si="6"/>
        <v>61169</v>
      </c>
      <c r="F322" s="92">
        <f t="shared" si="6"/>
        <v>422480</v>
      </c>
      <c r="G322" s="92">
        <f t="shared" si="6"/>
        <v>5625455</v>
      </c>
      <c r="H322" s="92">
        <f t="shared" si="6"/>
        <v>1620864</v>
      </c>
      <c r="I322" s="92">
        <f t="shared" si="6"/>
        <v>207512</v>
      </c>
    </row>
    <row r="323" spans="1:9" ht="15" customHeight="1" x14ac:dyDescent="0.25">
      <c r="A323" s="93"/>
      <c r="B323" s="93"/>
      <c r="C323" s="94"/>
      <c r="D323" s="94"/>
      <c r="E323" s="94"/>
      <c r="F323" s="94"/>
      <c r="G323" s="94"/>
      <c r="H323" s="94"/>
      <c r="I323" s="94"/>
    </row>
    <row r="324" spans="1:9" ht="15" customHeight="1" x14ac:dyDescent="0.25">
      <c r="A324" s="93"/>
      <c r="B324" s="95"/>
      <c r="C324" s="94"/>
      <c r="D324" s="94"/>
      <c r="E324" s="94"/>
      <c r="F324" s="94"/>
      <c r="G324" s="94"/>
      <c r="H324" s="94"/>
      <c r="I324" s="94"/>
    </row>
    <row r="325" spans="1:9" s="6" customFormat="1" ht="15" customHeight="1" x14ac:dyDescent="0.25">
      <c r="B325" s="6" t="s">
        <v>669</v>
      </c>
    </row>
    <row r="326" spans="1:9" ht="18.75" x14ac:dyDescent="0.3">
      <c r="A326" s="96"/>
      <c r="B326" s="96"/>
      <c r="D326" s="96"/>
      <c r="E326" s="96"/>
      <c r="F326" s="96"/>
      <c r="G326" s="96"/>
      <c r="H326" s="96"/>
      <c r="I326" s="96"/>
    </row>
    <row r="327" spans="1:9" x14ac:dyDescent="0.25">
      <c r="C327" s="97"/>
      <c r="D327" s="97"/>
      <c r="E327" s="97"/>
      <c r="F327" s="97"/>
      <c r="G327" s="97"/>
      <c r="H327" s="97"/>
      <c r="I327" s="97"/>
    </row>
    <row r="328" spans="1:9" x14ac:dyDescent="0.25">
      <c r="I328" s="97"/>
    </row>
    <row r="333" spans="1:9" x14ac:dyDescent="0.25">
      <c r="E333" s="97"/>
    </row>
  </sheetData>
  <mergeCells count="4">
    <mergeCell ref="A13:I13"/>
    <mergeCell ref="C15:I15"/>
    <mergeCell ref="A15:A17"/>
    <mergeCell ref="B15:B17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nemainās</vt:lpstr>
      <vt:lpstr>2.pielikums</vt:lpstr>
      <vt:lpstr>3.pielikums</vt:lpstr>
      <vt:lpstr>'3.pielikums'!Print_Area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Uldis Ervalds</cp:lastModifiedBy>
  <cp:lastPrinted>2023-04-28T11:09:19Z</cp:lastPrinted>
  <dcterms:created xsi:type="dcterms:W3CDTF">2014-01-31T18:56:56Z</dcterms:created>
  <dcterms:modified xsi:type="dcterms:W3CDTF">2023-05-09T07:21:25Z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