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3200" activeTab="3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Sheet1" sheetId="6" r:id="rId6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<sst xmlns="http://schemas.openxmlformats.org/spreadsheetml/2006/main" count="1814" uniqueCount="992">
  <si>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</si>
  <si>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</si>
  <si>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</si>
  <si>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</si>
  <si>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</si>
  <si>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</si>
  <si>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</si>
  <si>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</si>
  <si>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</si>
  <si>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</si>
  <si>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</si>
  <si>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</si>
  <si>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</si>
  <si>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</si>
  <si>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</si>
  <si>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</si>
  <si>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</si>
  <si>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</si>
  <si>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</si>
  <si>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</si>
  <si>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</si>
  <si>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</si>
  <si>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</si>
  <si>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</si>
  <si>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</si>
  <si>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</si>
  <si>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</si>
  <si>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</si>
  <si>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</si>
  <si>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</si>
  <si>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</si>
  <si>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</si>
  <si>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</si>
  <si>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</si>
  <si>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</si>
  <si>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</si>
  <si>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</si>
  <si>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</si>
  <si>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</si>
  <si>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</si>
  <si>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</si>
  <si>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</si>
  <si>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</si>
  <si>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</si>
  <si>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</si>
  <si>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</si>
  <si>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</si>
  <si>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</si>
  <si>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</si>
  <si>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</si>
  <si>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</si>
  <si>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</si>
  <si>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</si>
  <si>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</si>
  <si>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</si>
  <si>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</si>
  <si>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</si>
  <si>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</si>
  <si>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</si>
  <si>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</si>
  <si>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</si>
  <si>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</si>
  <si>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</si>
  <si>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</si>
  <si>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</si>
  <si>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</si>
  <si>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</si>
  <si>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</si>
  <si>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</si>
  <si>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</si>
  <si>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</si>
  <si>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</si>
  <si>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</si>
  <si>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</si>
  <si>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</si>
  <si>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</si>
  <si>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</si>
  <si>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</si>
  <si>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</si>
  <si>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</si>
  <si>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</si>
  <si>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</si>
  <si>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</si>
  <si>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</si>
  <si>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</si>
  <si>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</si>
  <si>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</si>
  <si>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</si>
  <si>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</si>
  <si>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</si>
  <si>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</si>
  <si>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</si>
  <si>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</si>
  <si>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</si>
  <si>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</si>
  <si>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</si>
  <si>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</si>
  <si>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</si>
  <si>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</si>
  <si>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</si>
  <si>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</si>
  <si>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</si>
  <si>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</si>
  <si>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</si>
  <si>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</si>
  <si>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</si>
  <si>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</si>
  <si>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</si>
  <si>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</si>
  <si>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</si>
  <si>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</si>
  <si>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</si>
  <si>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</si>
  <si>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</si>
  <si>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</si>
  <si>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</si>
  <si>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</si>
  <si>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</si>
  <si>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</si>
  <si>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</si>
  <si>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</si>
  <si>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</si>
  <si>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</si>
  <si>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</si>
  <si>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</si>
  <si>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</si>
  <si>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</si>
  <si>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</si>
  <si>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</si>
  <si>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</si>
  <si>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</si>
  <si>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</si>
  <si>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</si>
  <si>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</si>
  <si>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</si>
  <si>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</si>
  <si>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</si>
  <si>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</si>
  <si>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</si>
  <si>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</si>
  <si>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</si>
  <si>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</si>
  <si>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</si>
  <si>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</si>
  <si>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</si>
  <si>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</si>
  <si>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</si>
  <si>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</si>
  <si>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</si>
  <si>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</si>
  <si>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</si>
  <si>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</si>
  <si>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</si>
  <si>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</si>
  <si>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</si>
  <si>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</si>
  <si>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</si>
  <si>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</si>
  <si>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</si>
  <si>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</si>
  <si>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</si>
  <si>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</si>
  <si>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</si>
  <si>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</si>
  <si>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</si>
  <si>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</si>
  <si>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</si>
  <si>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</si>
  <si>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</si>
  <si>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</si>
  <si>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</si>
  <si>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</si>
  <si>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</si>
  <si>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</si>
  <si>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</si>
  <si>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</si>
  <si>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</si>
  <si>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</si>
  <si>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</si>
  <si>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</si>
  <si>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</si>
  <si>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</si>
  <si>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</si>
  <si>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</si>
  <si>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</si>
  <si>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</si>
  <si>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</si>
  <si>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</si>
  <si>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</si>
  <si>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</si>
  <si>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</si>
  <si>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</si>
  <si>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</si>
  <si>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</si>
  <si>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</si>
  <si>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</si>
  <si>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</si>
  <si>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</si>
  <si>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</si>
  <si>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</si>
  <si>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</si>
  <si>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</si>
  <si>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</si>
  <si>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</si>
  <si>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</si>
  <si>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</si>
  <si>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</si>
  <si>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</si>
  <si>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</si>
  <si>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</si>
  <si>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</si>
  <si>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</si>
  <si>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</si>
  <si>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</si>
  <si>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</si>
  <si>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</si>
  <si>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</si>
  <si>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</si>
  <si>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</si>
  <si>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</si>
  <si>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</si>
  <si>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</si>
  <si>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</si>
  <si>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</si>
  <si>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</si>
  <si>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</si>
  <si>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</si>
  <si>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</si>
  <si>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</si>
  <si>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</si>
  <si>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</si>
  <si>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</si>
  <si>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</si>
  <si>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</si>
  <si>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</si>
  <si>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</si>
  <si>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</si>
  <si>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</si>
  <si>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</si>
  <si>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</si>
  <si>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</si>
  <si>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</si>
  <si>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</si>
  <si>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</si>
  <si>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</si>
  <si>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</si>
  <si>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</si>
  <si>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</si>
  <si>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</si>
  <si>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</si>
  <si>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</si>
  <si>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</si>
  <si>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</si>
  <si>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</si>
  <si>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</si>
  <si>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</si>
  <si>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</si>
  <si>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</si>
  <si>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</si>
  <si>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</si>
  <si>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</si>
  <si>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</si>
  <si>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</si>
  <si>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</si>
  <si>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</si>
  <si>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</si>
  <si>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</si>
  <si>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</si>
  <si>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</si>
  <si>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</si>
  <si>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</si>
  <si>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</si>
  <si>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</si>
  <si>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</si>
  <si>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</si>
  <si>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</si>
  <si>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</si>
  <si>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</si>
  <si>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</si>
  <si>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</si>
  <si>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</si>
  <si>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</si>
  <si>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</si>
  <si>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</si>
  <si>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</si>
  <si>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</si>
  <si>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</si>
  <si>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</si>
  <si>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</si>
  <si>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</si>
  <si>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</si>
  <si>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</si>
  <si>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</si>
  <si>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</si>
  <si>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</si>
  <si>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</si>
  <si>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</si>
  <si>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</si>
  <si>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</si>
  <si>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</si>
  <si>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</si>
  <si>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</si>
  <si>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</si>
  <si>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</si>
  <si>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</si>
  <si>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</si>
  <si>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</si>
  <si>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</si>
  <si>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</si>
  <si>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</si>
  <si>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</si>
  <si>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</si>
  <si>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</si>
  <si>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</si>
  <si>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</si>
  <si>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</si>
  <si>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</si>
  <si>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</si>
  <si>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</si>
  <si>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</si>
  <si>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</si>
  <si>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</si>
  <si>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</si>
  <si>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</si>
  <si>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</si>
  <si>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</si>
  <si>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</si>
  <si>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</si>
  <si>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</si>
  <si>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</si>
  <si>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</si>
  <si>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</si>
  <si>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</si>
  <si>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</si>
  <si>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</si>
  <si>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</si>
  <si>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</si>
  <si>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</si>
  <si>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</si>
  <si>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</si>
  <si>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</si>
  <si>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</si>
  <si>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</si>
  <si>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</si>
  <si>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</si>
  <si>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</si>
  <si>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</si>
  <si>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</si>
  <si>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</si>
  <si>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</si>
  <si>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</si>
  <si>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</si>
  <si>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</si>
  <si>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</si>
  <si>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</si>
  <si>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</si>
  <si>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</si>
  <si>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</si>
  <si>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</si>
  <si>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</si>
  <si>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</si>
  <si>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</si>
  <si>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</si>
  <si>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</si>
  <si>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</si>
  <si>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</si>
  <si>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</si>
  <si>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</si>
  <si>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</si>
  <si>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</si>
  <si>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</si>
  <si>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</si>
  <si>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</si>
  <si>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</si>
  <si>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</si>
  <si>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</si>
  <si>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</si>
  <si>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</si>
  <si>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</si>
  <si>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</si>
  <si>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</si>
  <si>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</si>
  <si>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</si>
  <si>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</si>
  <si>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</si>
  <si>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</si>
  <si>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</si>
  <si>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</si>
  <si>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</si>
  <si>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</si>
  <si>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</si>
  <si>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</si>
  <si>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</si>
  <si>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</si>
  <si>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</si>
  <si>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</si>
  <si>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</si>
  <si>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</si>
  <si>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</si>
  <si>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</si>
  <si>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</si>
  <si>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</si>
  <si>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</si>
  <si>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</si>
  <si>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</si>
  <si>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</si>
  <si>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</si>
  <si>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</si>
  <si>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</si>
  <si>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</si>
  <si>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</si>
  <si>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</si>
  <si>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</si>
  <si>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</si>
  <si>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</si>
  <si>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</si>
  <si>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</si>
  <si>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</si>
  <si>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</si>
  <si>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</si>
  <si>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</si>
  <si>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</si>
  <si>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</si>
  <si>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</si>
  <si>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</si>
  <si>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</si>
  <si>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</si>
  <si>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</si>
  <si>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</si>
  <si>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</si>
  <si>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</si>
  <si>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</si>
  <si>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</si>
  <si>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</si>
  <si>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</si>
  <si>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</si>
  <si>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</si>
  <si>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</si>
  <si>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</si>
  <si>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</si>
  <si>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</si>
  <si>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</si>
  <si>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</si>
  <si>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</si>
  <si>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</si>
  <si>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</si>
  <si>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</si>
  <si>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</si>
  <si>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</si>
  <si>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</si>
  <si>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</si>
  <si>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</si>
  <si>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</si>
  <si>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</si>
  <si>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</si>
  <si>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</si>
  <si>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</si>
  <si>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</si>
  <si>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</si>
  <si>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</si>
  <si>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</si>
  <si>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ESF projekts "Veselības veicināšana Jelgavā"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</si>
  <si>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</si>
  <si>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</si>
  <si>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</si>
  <si>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</si>
  <si>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</si>
  <si>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</si>
  <si>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</si>
  <si>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</si>
  <si>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</si>
  <si>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</si>
  <si>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</si>
  <si>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</si>
  <si>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</si>
  <si>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</si>
  <si>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</si>
  <si>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</si>
  <si>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</si>
  <si>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</si>
  <si>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</si>
  <si>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</si>
  <si>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</si>
  <si>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</si>
  <si>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</si>
  <si>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</si>
  <si>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</si>
  <si>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</si>
  <si>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</si>
  <si>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</si>
  <si>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</si>
  <si>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</si>
  <si>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</si>
  <si>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</si>
  <si>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</si>
  <si>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</si>
  <si>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Grozījumi         + vai -, 
EUR</t>
  </si>
  <si>
    <t>Plāns 2023.gadam, 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</si>
  <si>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</si>
  <si>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</si>
  <si>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</si>
  <si>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</si>
  <si>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</si>
  <si>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</si>
  <si>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</si>
  <si>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</si>
  <si>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</si>
  <si>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</si>
  <si>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</si>
  <si>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</si>
  <si>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</si>
  <si>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</si>
  <si>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</si>
  <si>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</si>
  <si>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</si>
  <si>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</si>
  <si>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</si>
  <si>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</si>
  <si>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</si>
  <si>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</si>
  <si>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</si>
  <si>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</si>
  <si>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Jelgavas pirmsskolas izglītības iestāžu darbības nodrošināšana un speciālās pirmsskolas izglītības programma</t>
  </si>
  <si>
    <t>Jelgavas speciālo skolu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</si>
  <si>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</si>
  <si>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</si>
  <si>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</si>
  <si>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</si>
  <si>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</si>
  <si>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</si>
  <si>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</si>
  <si>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</si>
  <si>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</si>
  <si>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</si>
  <si>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</si>
  <si>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</si>
  <si>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</si>
  <si>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Līmeņos dedefinētā izglītība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</si>
  <si>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</si>
  <si>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</si>
  <si>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</si>
  <si>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</si>
  <si>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</si>
  <si>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</si>
  <si>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</si>
  <si>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</si>
  <si>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</si>
  <si>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</si>
  <si>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</si>
  <si>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</si>
  <si>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</si>
  <si>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</si>
  <si>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</si>
  <si>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</si>
  <si>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</si>
  <si>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</si>
  <si>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</si>
  <si>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</si>
  <si>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</si>
  <si>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</si>
  <si>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</si>
  <si>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</si>
  <si>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</si>
  <si>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</si>
  <si>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</si>
  <si>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</si>
  <si>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</si>
  <si>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</si>
  <si>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</si>
  <si>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</si>
  <si>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</si>
  <si>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</si>
  <si>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</si>
  <si>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</si>
  <si>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</si>
  <si>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</si>
  <si>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</si>
  <si>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</si>
  <si>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</si>
  <si>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</si>
  <si>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</si>
  <si>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</si>
  <si>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</si>
  <si>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</si>
  <si>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</si>
  <si>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</si>
  <si>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</si>
  <si>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</si>
  <si>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</si>
  <si>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</si>
  <si>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</si>
  <si>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</si>
  <si>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</si>
  <si>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</si>
  <si>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</si>
  <si>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</si>
  <si>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</si>
  <si>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</si>
  <si>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</si>
  <si>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</si>
  <si>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</si>
  <si>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</si>
  <si>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</si>
  <si>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</si>
  <si>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</si>
  <si>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</si>
  <si>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</si>
  <si>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</si>
  <si>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</si>
  <si>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</si>
  <si>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</si>
  <si>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</si>
  <si>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</si>
  <si>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</si>
  <si>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</si>
  <si>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</si>
  <si>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</si>
  <si>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</si>
  <si>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</si>
  <si>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</si>
  <si>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</si>
  <si>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</si>
  <si>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</si>
  <si>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</si>
  <si>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</si>
  <si>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</si>
  <si>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</si>
  <si>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</si>
  <si>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</si>
  <si>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</si>
  <si>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</si>
  <si>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</si>
  <si>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</si>
  <si>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</si>
  <si>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</si>
  <si>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</si>
  <si>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</si>
  <si>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</si>
  <si>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</si>
  <si>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</si>
  <si>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</si>
  <si>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</si>
  <si>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</si>
  <si>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</si>
  <si>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</si>
  <si>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</si>
  <si>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</si>
  <si>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</si>
  <si>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</si>
  <si>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</si>
  <si>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</si>
  <si>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</si>
  <si>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</si>
  <si>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</si>
  <si>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</si>
  <si>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</si>
  <si>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</si>
  <si>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</si>
  <si>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</si>
  <si>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</si>
  <si>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</si>
  <si>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</si>
  <si>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</si>
  <si>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</si>
  <si>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</si>
  <si>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</si>
  <si>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</si>
  <si>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</si>
  <si>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</si>
  <si>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</si>
  <si>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</si>
  <si>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</si>
  <si>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</si>
  <si>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</si>
  <si>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</si>
  <si>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</si>
  <si>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</si>
  <si>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</si>
  <si>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</si>
  <si>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</si>
  <si>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</si>
  <si>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</si>
  <si>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</si>
  <si>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</si>
  <si>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</si>
  <si>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</si>
  <si>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</si>
  <si>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</si>
  <si>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</si>
  <si>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</si>
  <si>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</si>
  <si>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A2/1/21/498</t>
  </si>
  <si>
    <t>26.08.2021.-20.06.2051.</t>
  </si>
  <si>
    <t>A2/1/21/499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</si>
  <si>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</si>
  <si>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</si>
  <si>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</si>
  <si>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</si>
  <si>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</si>
  <si>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</si>
  <si>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</si>
  <si>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</si>
  <si>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</si>
  <si>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</si>
  <si>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</si>
  <si>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</si>
  <si>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</si>
  <si>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</si>
  <si>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</si>
  <si>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</si>
  <si>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</si>
  <si>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</si>
  <si>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</si>
  <si>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</si>
  <si>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</si>
  <si>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</si>
  <si>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</si>
  <si>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</si>
  <si>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</si>
  <si>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</si>
  <si>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</si>
  <si>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</si>
  <si>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</si>
  <si>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</si>
  <si>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</si>
  <si>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</si>
  <si>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</si>
  <si>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</si>
  <si>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</si>
  <si>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</si>
  <si>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</si>
  <si>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</si>
  <si>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</si>
  <si>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</si>
  <si>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</si>
  <si>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</si>
  <si>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</si>
  <si>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</si>
  <si>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</si>
  <si>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</si>
  <si>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</si>
  <si>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</si>
  <si>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</si>
  <si>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</si>
  <si>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</si>
  <si>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</si>
  <si>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</si>
  <si>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</si>
  <si>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</si>
  <si>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</si>
  <si>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</si>
  <si>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</si>
  <si>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</si>
  <si>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</si>
  <si>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</si>
  <si>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</si>
  <si>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>ERAF projekts (Nr.4.2.2.0/21/A/039) "Ēkas daļas Svētes ielā 33, Jelgavā, energoefektivitātes paaugstināšana" (ZRKAC)</t>
  </si>
  <si>
    <t>projekts</t>
  </si>
  <si>
    <t>ERAF projekts "Sabiedrībā balstītu sociālo pakalpojumu infrastruktūras izveide Jelgavā" - Stacijas iela 13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</si>
  <si>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</si>
  <si>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</si>
  <si>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</si>
  <si>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</si>
  <si>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</si>
  <si>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</si>
  <si>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</si>
  <si>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</si>
  <si>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</si>
  <si>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</si>
  <si>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</si>
  <si>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</si>
  <si>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</si>
  <si>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</si>
  <si>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</si>
  <si>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</si>
  <si>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</si>
  <si>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</si>
  <si>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</si>
  <si>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</si>
  <si>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</si>
  <si>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</si>
  <si>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</si>
  <si>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</si>
  <si>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</si>
  <si>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</si>
  <si>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SIA "Jelgavas komunālie pakalpojumi"</t>
  </si>
  <si>
    <t>Projekts</t>
  </si>
  <si>
    <t>Galvojumu saistības kopā</t>
  </si>
  <si>
    <t>PAVISAM KOPĀ</t>
  </si>
  <si>
    <t>SAISTĪBAS KOPĀ:</t>
  </si>
  <si>
    <t>Priekšfinansējuma atmaksas uz 27.04.2023.</t>
  </si>
  <si>
    <t>Plānotās priekšfinansējuma atmaksas uz 27.04.2023.</t>
  </si>
  <si>
    <t>KF projekts "Videi draudzīgas sabiedriskā transporta inrastruktūras attīstība Jelgavā" - Riska likme</t>
  </si>
  <si>
    <t xml:space="preserve">ERAF projekts "Mācību vides uzlabošana Jelgavas Valsts ģimnāzijā un Jelgavas Tehnoloģiju vidusskolā" </t>
  </si>
  <si>
    <t>28.03.2023.-20.03.2053.</t>
  </si>
  <si>
    <t>A2/1/23/44</t>
  </si>
  <si>
    <t>Precizētais plāns uz 27.04.2023., EUR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</si>
  <si>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</si>
  <si>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</si>
  <si>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</si>
  <si>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</si>
  <si>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</si>
  <si>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</si>
  <si>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</si>
  <si>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</si>
  <si>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</si>
  <si>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</si>
  <si>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</si>
  <si>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</si>
  <si>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</si>
  <si>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</si>
  <si>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</si>
  <si>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</si>
  <si>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</si>
  <si>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</si>
  <si>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</si>
  <si>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</si>
  <si>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</si>
  <si>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</si>
  <si>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</si>
  <si>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</si>
  <si>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</si>
  <si>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</si>
  <si>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</si>
  <si>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</si>
  <si>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</si>
  <si>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</si>
  <si>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10.911. JVPI 'Jelgavas sociālo lietu pārvalde' darbības nodrošināšana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</si>
  <si>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</si>
  <si>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</si>
  <si>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</si>
  <si>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</si>
  <si>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</si>
  <si>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</si>
  <si>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</si>
  <si>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</si>
  <si>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</si>
  <si>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</si>
  <si>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</si>
  <si>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</si>
  <si>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</si>
  <si>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10.124. Dienas centrs 'Atbalsts'</t>
  </si>
  <si>
    <t>10.123. Dienas centrs 'Integra'</t>
  </si>
  <si>
    <t>10.122. Dienas centrs 'Harmonija'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</si>
  <si>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</si>
  <si>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</si>
  <si>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</si>
  <si>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</si>
  <si>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</si>
  <si>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17. JELGAVAS VALSTSPILSĒTAS PAŠVALDĪBAS IESTĀDE 'JELGAVAS SOCIĀLO LIETU PĀRVALDE'</t>
  </si>
  <si>
    <t>10.403. JVPI 'Jelgavas bāriņtiesa' darbības nodrošināšana</t>
  </si>
  <si>
    <t>16. JELGAVAS VALSTSPILSĒTAS PAŠVALDIBAS IESTĀDE 'JELGAVAS BĀRIŅTIESA'</t>
  </si>
  <si>
    <t>10.922. Braukšanas maksas atvieglojumi skolēniem sabiedriskajā transportā</t>
  </si>
  <si>
    <t>09.812.3. JVPI 'Jelgavas izglītības pārvalde' iekļaujošas izglītības atbalsta centrs</t>
  </si>
  <si>
    <t>09.812. JVPI 'Jelgavas izglītības pārvalde' projektu īstenošana</t>
  </si>
  <si>
    <t>09.811. JVPI 'Jelgavas izglītības pārvalde' darbības nodrošināšana</t>
  </si>
  <si>
    <t>09.640.2.Pārējo papildu pakalpojumu nodrošināšana izglītojamajiem Jelgavas Pārlielupes pamatskolas baseinā</t>
  </si>
  <si>
    <t>09.640.1. Asistentu pakalpojumu nodrošināšana</t>
  </si>
  <si>
    <t>09.630.1. Izglītojamo izmitināšanas pakalpojumu nodrošināšana Jelgavas pamatskolas 'Valdeka' - attīstības centra dienesta viesnīcā</t>
  </si>
  <si>
    <t>09.620.1. Izglītojamo ēdināšanas pakalpojumu nodrošināšana</t>
  </si>
  <si>
    <t>09.512. Jelgavas Mākslas skolas darbības nodrošināšana</t>
  </si>
  <si>
    <t>09.511. Pārējie interešu izglītības pasākumi, t.sk. Jaunrades nama 'Junda' darbības nodrošināšana</t>
  </si>
  <si>
    <t>09.222.3. Jelgavas Amatu vidusskolas projektu īstenošana - kopsavilkums</t>
  </si>
  <si>
    <t>09.222.2. Jelgavas Amatu vidusskolas darbības nodrošināšana</t>
  </si>
  <si>
    <t>09.219.10. Projekts 'Jelgavas valstspilsētas pašvaldības iestādes 'Jelgavas Centra pamatskola' stadiona pārbūve'</t>
  </si>
  <si>
    <t>09.219.3. Jelgavas vispārizglītojošo skolu projektu īstenošana</t>
  </si>
  <si>
    <t>09.219.2. Jelgavas speciālo skolu darbības nodrošināšana</t>
  </si>
  <si>
    <t>09.219.1. Jelgavas vispārizglītojošo skolu darbības nodrošināšana</t>
  </si>
  <si>
    <t>09.101. Jelgavas pirmsskolas izglītības iestāžu darbības nodrošināšana un speciālās pirmsskolas izglītības programma</t>
  </si>
  <si>
    <t>01.831. Transferti citām pašvaldībām izglītības funkciju nodrošināšanai</t>
  </si>
  <si>
    <t>15. JELGAVAS VALSTSPILSĒTAS PAŠVALDĪBAS IESTĀDE 'JELGAVAS IZGLĪTĪBAS PĀRVALDE'</t>
  </si>
  <si>
    <t>09.532. JVPI 'Zemgales reģiona kompetenču attīstības centrs' projektu īstenošana</t>
  </si>
  <si>
    <t>09.531. JVPI 'Zemgales reģiona kompetenču attīstības centrs' darbības nodrošināšana</t>
  </si>
  <si>
    <t>14. JELGAVAS VALSTSPILSĒTAS PAŠVALDĪBAS PROFESIONĀLĀS TĀLĀKIZGLĪTĪBAS IESTĀDE 'ZEMGALES REĢIONA KOMPETENČU ATTĪSTĪBAS CENTRS'</t>
  </si>
  <si>
    <t>08.621. JVPI 'Sabiedriskais centrs' darbības nodrošināšana</t>
  </si>
  <si>
    <t>13. JELGAVAS VALSTSPILSĒTAS PAŠVALDĪBAS IESTĀDE 'SABIEDRISKAIS CENTRS'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</si>
  <si>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</si>
  <si>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</si>
  <si>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</si>
  <si>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</si>
  <si>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08.232. JVPI 'Kultūra' pasākumi</t>
  </si>
  <si>
    <t>08.231. JVPI 'Kultūra' darbības nodrošināšana</t>
  </si>
  <si>
    <t>12. JELGAVAS VALSTSPILSĒTAS PAŠVALDĪBAS IESTĀDE 'KULTŪRA'</t>
  </si>
  <si>
    <t>08.221. JVPI 'Ģ.Eliasa Jelgavas Vēstures un mākslas muzejs' darbības nodrošināšana</t>
  </si>
  <si>
    <t>11. JELGAVAS VALSTSPILSĒTAS PAŠVALDĪBAS IESTĀDE 'Ģ.ELIASA JELGAVAS VĒSTURES UN MĀKSLAS MUZEJS'</t>
  </si>
  <si>
    <t>08.211. JVPI 'Jelgavas Pilsētas bibliotēka' darbības nodrošināšana</t>
  </si>
  <si>
    <t>10. JELGAVAS VALSTSPILSĒTAS PAŠVALDĪBAS IESTĀDE 'JELGAVAS PILSĒTAS BIBLIOTĒKA'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</si>
  <si>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</si>
  <si>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</si>
  <si>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</si>
  <si>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</si>
  <si>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</si>
  <si>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08.101. JVPI 'Sporta servisa centrs' darbības nodrošināšana</t>
  </si>
  <si>
    <t>09. JELGAVAS VALSTSPILSĒTAS PAŠVALDĪBAS IESTĀDE 'SPORTA SERVISA CENTRS'</t>
  </si>
  <si>
    <t>10.504. Atbalsts Bezdarba gadījumā</t>
  </si>
  <si>
    <t>06.602. Pašvaldības teritorijas, mežu un kapsētu apsaimniekošana</t>
  </si>
  <si>
    <t>06.601. JVPI 'Pilsētsaimniecība' darbības nodrošināšana</t>
  </si>
  <si>
    <t>06.404. 06.403. Emisijas kvotu izsolīšanas instrumenta projekts - 'Situmnīcefekta gāzu emisiju samazināšana Jelgavas valstspilsētas pašvaldības publisko teritoriju apgaismojuma infrastruktūrā'</t>
  </si>
  <si>
    <t>06.401. Ielu apgaismošana</t>
  </si>
  <si>
    <t>05.202. Notekūdeņu apsaimniekošana</t>
  </si>
  <si>
    <t>05.101. Ielu, laukumu, publisko dārzu un parku tīrīšana, atkritumu savākšana</t>
  </si>
  <si>
    <t>04.510.534 Projekts 'Aizsargu ielas seguma atjaunošana'</t>
  </si>
  <si>
    <t>04.511. Ceļu un ielu infrastruktūras funkcionēšana, būvniecība un uzturēšana</t>
  </si>
  <si>
    <t>08. JELGAVAS VALSTSPILSĒTAS PAŠVALDĪBAS IESTĀDE 'PILSĒTSAIMNIECĪBA'</t>
  </si>
  <si>
    <t>04.733. JVPI 'Jelgavas reģionālais tūrisma centrs' darbības nodrošināšana</t>
  </si>
  <si>
    <t>07. JELGAVAS VALSTSPILSĒTAS PAŠVALDĪBAS IESTĀDE 'JELGAVAS REĢIONĀLAIS TŪRISMA CENTRS'</t>
  </si>
  <si>
    <t>04.746. 'Apvārsnis 2020' programmas projekts 'Impetus'</t>
  </si>
  <si>
    <t>04.745. 'Apvārsnis 2020' programmas projekts 'Wellbased'</t>
  </si>
  <si>
    <t>03.202. Pašvaldības operatīvais informācijas centrs un civilā aizsardzība</t>
  </si>
  <si>
    <t>01.333. JVPI 'Jelgavas digitālais centrs' darbības nodrošināšana</t>
  </si>
  <si>
    <t>01.331. Centralizēto datoru un datortīklu uzturēšana</t>
  </si>
  <si>
    <t>06. JELGAVAS VALSTSPILSĒTAS PAŠVALDĪBAS IESTĀDE 'JELGAVAS DIGITĀLAIS CENTRS'</t>
  </si>
  <si>
    <t>03.111. JVPI 'Jelgavas pašvaldības policija' darbības nodrošināšana</t>
  </si>
  <si>
    <t>05. JELGAVAS VALSTSPILSĒTAS PAŠVALDĪBAS IESTĀDE 'JELGAVAS PAŠVALDĪBAS POLICIJA'</t>
  </si>
  <si>
    <t>01.123. JVPI 'Pašvaldības iestāžu centralizētā grāmatvedība' darbības nodrošināšana</t>
  </si>
  <si>
    <t>04. JELGAVAS VALSTSPILSĒTAS PAŠVALDĪBAS IESTĀDE 'PAŠVALDĪBAS IESTĀŽU CENTRALIZĒTĀ GRĀMATVEDĪBA'</t>
  </si>
  <si>
    <t>10.924. Atbalsts mājsaimniecībām energoresursu izdevumu kompensēšanai</t>
  </si>
  <si>
    <t>09.522. Nodibinājums 'J.Bisenieka atbalsta fonds'</t>
  </si>
  <si>
    <t>09.521. Nodibinājums 'Izglītības atbalsta fonds'</t>
  </si>
  <si>
    <t>08.405. Dotācijas biedrībām un nodibinājumiem</t>
  </si>
  <si>
    <t>08.403. Nodibinājums 'Atbalsts kultūrai Jelgavā'</t>
  </si>
  <si>
    <t>08.401. Dotācijas projektu realizācijai NVO</t>
  </si>
  <si>
    <t>08.105. Nodibinājums 'Sporta tālākizglītības atbalsta fonds'</t>
  </si>
  <si>
    <t>07.623. Fonds 'Jelgavnieku veselības veicināšanas fonds'</t>
  </si>
  <si>
    <t>06.603. Pašvaldības īpašumu apsaimniekošana - finansējums SIA 'Jelgavas nekustamā īpašuma pārvalde'</t>
  </si>
  <si>
    <t>05.303. Finansējums pašvaldības kapitālsabiedrībām vides aizsardzības pasākumu īstenošanai</t>
  </si>
  <si>
    <t>05.102.  Pilsētas sanitārā tīrīšana - SIA 'Zemgales EKO' funkcija</t>
  </si>
  <si>
    <t>04.917. Jelgavas valstspilsētas pašvaldības grantu programma 'Atbalsts komersantiem un saimnieciskās darbības veicējiem'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</si>
  <si>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</si>
  <si>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</si>
  <si>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</si>
  <si>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</si>
  <si>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</si>
  <si>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03. JELGAVAS VALSTSPILSĒTAS PAŠVALDĪBAS IESTĀDES 'CENTRĀLĀ PĀRVALDE' FINANŠU DEPARTAMENTS</t>
  </si>
  <si>
    <t>01.117. Jelgavas valstspilsētas pašvaldības un Jelgavas novada pašvaldības kopīgās iestādes 'Jelgavas valstspilsētas un novada Dzimtsarakstu nodaļa'</t>
  </si>
  <si>
    <t>02. JELGAVAS VALSTSPILSĒTAS PAŠVALDĪBAS UN JELGAVAS NOVADA PAŠVALDĪBAS KOPĪGĀ IESTĀDE 'JELGAVAS VALSTSPILSĒTAS UN NOVADA DZIMTSARAKSTU NODAĻA'</t>
  </si>
  <si>
    <t>10.712. ERAF projekts 'Daudzfunkcionālā sociālo pakalpojumu centra ēkas Zirgu ielā 47a, Jelgavā, energoefektivitātes paaugstināšana'</t>
  </si>
  <si>
    <t>10.711. Projekts - 'Sabiedrībā balstītu sociālo pakalpojumu infrastruktūras izveide Jelgavā'</t>
  </si>
  <si>
    <t>10.127. ESF projekts - 'Atver sirdi Zemgalē'</t>
  </si>
  <si>
    <t>09.823. Projekts 'Uzņēmējdarbības atbalsta pasākumi Zemgales plānošanas reģionā'</t>
  </si>
  <si>
    <t>09.535. ERAF projekts 'Ēkas daļas Svētes ielā 33, Jelgavā energoefektivitātes paaugstināšana'</t>
  </si>
  <si>
    <t>09.534. ESF projekts - 'Nodarbināto personu profesionālās kompetences pilnveide'</t>
  </si>
  <si>
    <t>09.533. ESF projekts - 'Proti un dari'</t>
  </si>
  <si>
    <t>09.519.05. Pašvaldības investīciju projekts 'Jelgavas Bērnu un jaunatnes sporta skolas infrastruktūras attīstība'</t>
  </si>
  <si>
    <t>09.519.04. Latvijas - Lietuvas pārrobežu sadarbības programmas projekts 'Sociālajam riskam pakļauto bērnu un jauniešu integrācija Jelgavas un Šauļu pilsētas pašvaldībās'</t>
  </si>
  <si>
    <t>09.219.9. ERAF projekts - 'Jelgavas pamatskolas 'Valdeka'-attīstības centra skolas ēkas energoefektivitātes paaugstināšana'</t>
  </si>
  <si>
    <t>09.219.8. ERAF projekts - 'Jelgavas pilsētas pašvaldības izglītības iestādes 'Jelgavas Tehnoloģiju vidusskola' energoefektivitātes paaugstināšana'</t>
  </si>
  <si>
    <t>09.219.5. ERAF projekts - 'Mācību vides uzlabošana Jelgavas Valsts ģimnāzijā un Jelgavas Tehnoloģiju vidusskolā'</t>
  </si>
  <si>
    <t>09.111. Projekts - 'Ēkas pārbūve par pirmskolas izglītības iestādi Brīvības bulvārī 31 A, Jelgavā'</t>
  </si>
  <si>
    <t>08.292. Pilsētas nozīmes pasākumi</t>
  </si>
  <si>
    <t>07.452. ESF projekts - 'Veselības veicināša Jelgavā'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</si>
  <si>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</si>
  <si>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</si>
  <si>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</si>
  <si>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</si>
  <si>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</si>
  <si>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04.744. ERAF projekts 'Pilssalas ielas degradētās teritorijas sakārtošana'</t>
  </si>
  <si>
    <t>04.739. ERAF projekts 'Kultūras mantojuma saglabāšana un attīstība Jelgavas pilsētā'</t>
  </si>
  <si>
    <t>04.738. Latvijas - Lietuvas pārrobežu sadarbības programmas projekts 'Kopīga pārrobežu tūrisma piedāvājuma 'Saules ceļš' izveide'</t>
  </si>
  <si>
    <t>04.737. ERAF projekts - 'Nozīmīga kultūrvēsturiskā mantojuma saglabāšana un attīstība kultūras tūrisma piedāvājuma pilnveidošanai Zemgales reģionā'</t>
  </si>
  <si>
    <t>04.510.533. ERAF projekts 'Tehniskās infrastruktūras sakārtošana uzņēmējdarbības attīstībai Rubeņu ceļa rūpnieciskajā teritorijā'</t>
  </si>
  <si>
    <t>01.116. Projekts - 'Ēkas Pasta ielā 32, Jelgavā, pārbūve par dzimtsarakstu nodaļu'</t>
  </si>
  <si>
    <t>01.113. Projekts - 'Komunikācija ar sabiedrību tās iesaistei pašvaldības lēmumu pieņemšanā'</t>
  </si>
  <si>
    <t>01.111. Izpildvaras institūcija</t>
  </si>
  <si>
    <t>01. JELGAVAS VALSTSPILSĒTAS PAŠVALDĪBAS IESTĀDE 'CENTRĀLĀ PĀRVALDE'</t>
  </si>
  <si>
    <t>Nosaukums</t>
  </si>
  <si>
    <t>Grozījumi 
+ vai -</t>
  </si>
  <si>
    <t>Precizētais plāns uz 27.04.2023.</t>
  </si>
  <si>
    <t>2023.gada plāns</t>
  </si>
  <si>
    <t>FINANSĒŠANA</t>
  </si>
  <si>
    <t>1. pielikums</t>
  </si>
  <si>
    <t>27.04.2023. prot. Nr. 4/2</t>
  </si>
  <si>
    <t>saistošajiem noteikumiem Nr. 23-5</t>
  </si>
  <si>
    <t>JELGAVAS VALSTSPILSĒTAS PAŠVALDĪBAS 
2023. GADA BUDŽETS</t>
  </si>
  <si>
    <r>
      <t xml:space="preserve">Jelgavas valstspilsētas domes priekšsēdētājs </t>
    </r>
    <r>
      <rPr>
        <i/>
        <sz val="11"/>
        <rFont val="Times New Roman"/>
        <family val="1"/>
      </rPr>
      <t>A. Rāviņš</t>
    </r>
  </si>
  <si>
    <t>2. pielikums</t>
  </si>
  <si>
    <t>JELGAVAS VALSTSPILSĒTAS PAŠVALDĪBAS 2023. GADA BUDŽETS</t>
  </si>
  <si>
    <r>
      <t xml:space="preserve">Jelgavas valstspilsētas domes priekšsēdētājs </t>
    </r>
    <r>
      <rPr>
        <i/>
        <sz val="14"/>
        <rFont val="Times New Roman"/>
        <family val="1"/>
      </rPr>
      <t>A. Rāviņš</t>
    </r>
  </si>
  <si>
    <t>3. pielikums</t>
  </si>
  <si>
    <t>4. pielikums</t>
  </si>
  <si>
    <t>JELGAVAS VALSTSPILSĒTAS PAŠVALDĪBAS 2023. GADA PAMATBUDŽETS ATŠIFRĒJUMĀ PA PROGRAMMĀM UN EKONOMISKĀS KLASIFIKĀCIJAS KODIEM</t>
  </si>
  <si>
    <r>
      <t xml:space="preserve">Jelgavas valstspilsētas domes priekšsēdētājs </t>
    </r>
    <r>
      <rPr>
        <i/>
        <sz val="10"/>
        <rFont val="Arial"/>
        <family val="2"/>
      </rPr>
      <t>A. Rāviņš</t>
    </r>
  </si>
  <si>
    <t>Projekts "Satiksmes ielas posma no Meiju ceļa līdz Ganību ielai braucamās daļas seguma atjaunošana"</t>
  </si>
  <si>
    <t>ERAF projekts "Jelgavas pilsētas pašvaldības policijas ēkas energoefektivitātes paaugstināšana"</t>
  </si>
  <si>
    <t>ERAF projekts "Jelgavas pašvaldības operatīvās informācijas centra ēkas Sarmas ielā 4 energoefektivitātes paaugstināšana"</t>
  </si>
  <si>
    <t xml:space="preserve">ERAF projekts Jelgavas pilsētas pašvaldības izglītības iestādes  "Jelgavas Tehnoloģiju vidusskola" energoefektivitātes paaugstināšana" </t>
  </si>
  <si>
    <t>ERAF projekts "Tehniskās infrastruktūras sakārtošana uzņēmējdarbības attīstībai degradētajā teritorijā, 3.kārta"</t>
  </si>
  <si>
    <t>ERAF projekts"Jelgavas pašvaldības operatīvās informācijas centra ēkas Sarmas ielā 4 energoefektivitātes paaugstināšana"</t>
  </si>
  <si>
    <t xml:space="preserve">ERAF Projekts "Pilssalas ielas degradētās teritorijas sakārtošana"  </t>
  </si>
  <si>
    <t xml:space="preserve">Projekts "Jelgavas valstspilsētas pašvaldības izglītības iestādes "Jelgavas Centra pamatskolas" stadiona pārbūve" </t>
  </si>
  <si>
    <t>Būvprojektu "Miera ielas un esošā Miera ielas, Aizsargu ielas un Bauskas ielas rotācijas apļa pārbūve, Jelgavā", "Aizsargu ielas pārbūve, Jelgavā" un "Bauskas ielas pārbūve, Jelgavā" izstrāde (COVID)</t>
  </si>
  <si>
    <t>ERAF projekts (Nr.4.2.2.0/21/A/040) "Jelgavas pamatskolas "Valdeka" - attīstības centra skolas ēkas energoefektivitātes paaugstināšana"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</si>
</sst>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double"/>
      <bottom style="thin"/>
    </border>
    <border>
      <left style="hair"/>
      <right/>
      <top style="hair"/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>
        <color theme="0" tint="-0.24993999302387238"/>
      </left>
      <right style="hair"/>
      <top style="thin"/>
      <bottom style="hair"/>
    </border>
    <border>
      <left style="thin">
        <color theme="0" tint="-0.24993999302387238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hair"/>
      <top style="hair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9" fillId="0" borderId="0" xfId="0" applyFont="1" applyAlignment="1">
      <alignment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79" fillId="0" borderId="0" xfId="0" applyFont="1" applyAlignment="1">
      <alignment/>
    </xf>
    <xf numFmtId="3" fontId="79" fillId="0" borderId="0" xfId="0" applyNumberFormat="1" applyFont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80" fillId="0" borderId="0" xfId="0" applyFont="1" applyAlignment="1">
      <alignment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0" fontId="79" fillId="0" borderId="0" xfId="0" applyFont="1" applyAlignment="1">
      <alignment wrapText="1"/>
    </xf>
    <xf numFmtId="0" fontId="81" fillId="0" borderId="0" xfId="0" applyFont="1" applyAlignment="1">
      <alignment/>
    </xf>
    <xf numFmtId="0" fontId="82" fillId="7" borderId="10" xfId="0" applyFont="1" applyFill="1" applyBorder="1" applyAlignment="1">
      <alignment horizontal="right" vertical="center"/>
    </xf>
    <xf numFmtId="0" fontId="82" fillId="7" borderId="10" xfId="0" applyFont="1" applyFill="1" applyBorder="1" applyAlignment="1">
      <alignment horizontal="left" vertical="center" wrapText="1" indent="2"/>
    </xf>
    <xf numFmtId="3" fontId="83" fillId="7" borderId="10" xfId="0" applyNumberFormat="1" applyFont="1" applyFill="1" applyBorder="1" applyAlignment="1">
      <alignment vertical="center"/>
    </xf>
    <xf numFmtId="3" fontId="84" fillId="7" borderId="10" xfId="0" applyNumberFormat="1" applyFont="1" applyFill="1" applyBorder="1" applyAlignment="1">
      <alignment vertical="center"/>
    </xf>
    <xf numFmtId="3" fontId="82" fillId="7" borderId="10" xfId="0" applyNumberFormat="1" applyFont="1" applyFill="1" applyBorder="1" applyAlignment="1">
      <alignment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vertical="center" wrapText="1"/>
    </xf>
    <xf numFmtId="3" fontId="85" fillId="7" borderId="10" xfId="0" applyNumberFormat="1" applyFont="1" applyFill="1" applyBorder="1" applyAlignment="1">
      <alignment vertical="center"/>
    </xf>
    <xf numFmtId="3" fontId="84" fillId="7" borderId="10" xfId="0" applyNumberFormat="1" applyFont="1" applyFill="1" applyBorder="1" applyAlignment="1">
      <alignment horizontal="right" vertical="center"/>
    </xf>
    <xf numFmtId="3" fontId="82" fillId="7" borderId="10" xfId="0" applyNumberFormat="1" applyFont="1" applyFill="1" applyBorder="1" applyAlignment="1">
      <alignment horizontal="right" vertical="center"/>
    </xf>
    <xf numFmtId="0" fontId="84" fillId="0" borderId="0" xfId="0" applyFont="1" applyAlignment="1">
      <alignment/>
    </xf>
    <xf numFmtId="0" fontId="84" fillId="0" borderId="0" xfId="0" applyFont="1" applyAlignment="1">
      <alignment wrapText="1"/>
    </xf>
    <xf numFmtId="0" fontId="8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0" borderId="0" xfId="0" applyFont="1" applyAlignment="1">
      <alignment vertical="center" wrapText="1"/>
    </xf>
    <xf numFmtId="0" fontId="79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0" fillId="0" borderId="0" xfId="0" applyNumberFormat="1" applyFont="1" applyAlignment="1">
      <alignment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 wrapText="1"/>
    </xf>
    <xf numFmtId="0" fontId="82" fillId="7" borderId="10" xfId="0" applyFont="1" applyFill="1" applyBorder="1" applyAlignment="1">
      <alignment horizontal="right" vertical="center" wrapText="1"/>
    </xf>
    <xf numFmtId="0" fontId="86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2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0" fontId="15" fillId="0" borderId="0" xfId="59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9" fillId="0" borderId="0" xfId="59" applyFont="1">
      <alignment/>
      <protection/>
    </xf>
    <xf numFmtId="0" fontId="6" fillId="0" borderId="0" xfId="59" applyFont="1" applyFill="1" applyAlignment="1">
      <alignment horizontal="right"/>
      <protection/>
    </xf>
    <xf numFmtId="0" fontId="15" fillId="0" borderId="0" xfId="59" applyFont="1">
      <alignment/>
      <protection/>
    </xf>
    <xf numFmtId="0" fontId="2" fillId="0" borderId="0" xfId="59" applyFont="1" applyFill="1" applyBorder="1" applyAlignment="1">
      <alignment horizontal="right"/>
      <protection/>
    </xf>
    <xf numFmtId="3" fontId="19" fillId="0" borderId="0" xfId="59" applyNumberFormat="1" applyFont="1">
      <alignment/>
      <protection/>
    </xf>
    <xf numFmtId="0" fontId="19" fillId="0" borderId="0" xfId="59" applyFont="1">
      <alignment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13" xfId="59" applyFont="1" applyFill="1" applyBorder="1" applyAlignment="1">
      <alignment vertical="center"/>
      <protection/>
    </xf>
    <xf numFmtId="9" fontId="20" fillId="33" borderId="13" xfId="59" applyNumberFormat="1" applyFont="1" applyFill="1" applyBorder="1" applyAlignment="1">
      <alignment horizontal="center" vertical="center"/>
      <protection/>
    </xf>
    <xf numFmtId="0" fontId="20" fillId="33" borderId="14" xfId="59" applyFont="1" applyFill="1" applyBorder="1" applyAlignment="1">
      <alignment vertical="center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/>
      <protection/>
    </xf>
    <xf numFmtId="0" fontId="20" fillId="33" borderId="18" xfId="59" applyFont="1" applyFill="1" applyBorder="1" applyAlignment="1">
      <alignment horizontal="center" vertical="center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19" fillId="0" borderId="19" xfId="65" applyNumberFormat="1" applyFont="1" applyFill="1" applyBorder="1">
      <alignment/>
      <protection/>
    </xf>
    <xf numFmtId="4" fontId="19" fillId="7" borderId="20" xfId="59" applyNumberFormat="1" applyFont="1" applyFill="1" applyBorder="1">
      <alignment/>
      <protection/>
    </xf>
    <xf numFmtId="0" fontId="15" fillId="0" borderId="0" xfId="59" applyFill="1">
      <alignment/>
      <protection/>
    </xf>
    <xf numFmtId="0" fontId="19" fillId="0" borderId="21" xfId="63" applyFont="1" applyFill="1" applyBorder="1" applyAlignment="1">
      <alignment horizontal="center" vertical="center"/>
      <protection/>
    </xf>
    <xf numFmtId="173" fontId="19" fillId="0" borderId="22" xfId="59" applyNumberFormat="1" applyFont="1" applyFill="1" applyBorder="1" applyAlignment="1">
      <alignment horizontal="center" vertical="center"/>
      <protection/>
    </xf>
    <xf numFmtId="3" fontId="19" fillId="0" borderId="21" xfId="65" applyNumberFormat="1" applyFont="1" applyFill="1" applyBorder="1">
      <alignment/>
      <protection/>
    </xf>
    <xf numFmtId="4" fontId="19" fillId="7" borderId="23" xfId="59" applyNumberFormat="1" applyFont="1" applyFill="1" applyBorder="1">
      <alignment/>
      <protection/>
    </xf>
    <xf numFmtId="3" fontId="19" fillId="0" borderId="19" xfId="59" applyNumberFormat="1" applyFont="1" applyFill="1" applyBorder="1">
      <alignment/>
      <protection/>
    </xf>
    <xf numFmtId="3" fontId="19" fillId="0" borderId="24" xfId="59" applyNumberFormat="1" applyFont="1" applyFill="1" applyBorder="1">
      <alignment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3" fontId="19" fillId="0" borderId="21" xfId="59" applyNumberFormat="1" applyFont="1" applyFill="1" applyBorder="1">
      <alignment/>
      <protection/>
    </xf>
    <xf numFmtId="3" fontId="19" fillId="0" borderId="22" xfId="59" applyNumberFormat="1" applyFont="1" applyFill="1" applyBorder="1">
      <alignment/>
      <protection/>
    </xf>
    <xf numFmtId="4" fontId="19" fillId="0" borderId="19" xfId="59" applyNumberFormat="1" applyFont="1" applyFill="1" applyBorder="1">
      <alignment/>
      <protection/>
    </xf>
    <xf numFmtId="3" fontId="19" fillId="0" borderId="25" xfId="44" applyNumberFormat="1" applyFont="1" applyFill="1" applyBorder="1" applyAlignment="1">
      <alignment horizontal="right" vertical="center"/>
    </xf>
    <xf numFmtId="3" fontId="19" fillId="0" borderId="19" xfId="44" applyNumberFormat="1" applyFont="1" applyFill="1" applyBorder="1" applyAlignment="1">
      <alignment horizontal="right" vertical="center"/>
    </xf>
    <xf numFmtId="3" fontId="19" fillId="0" borderId="24" xfId="44" applyNumberFormat="1" applyFont="1" applyFill="1" applyBorder="1" applyAlignment="1">
      <alignment horizontal="right" vertical="center"/>
    </xf>
    <xf numFmtId="0" fontId="15" fillId="34" borderId="0" xfId="59" applyFill="1">
      <alignment/>
      <protection/>
    </xf>
    <xf numFmtId="3" fontId="19" fillId="0" borderId="26" xfId="44" applyNumberFormat="1" applyFont="1" applyFill="1" applyBorder="1" applyAlignment="1">
      <alignment horizontal="right" vertical="center"/>
    </xf>
    <xf numFmtId="3" fontId="19" fillId="0" borderId="21" xfId="44" applyNumberFormat="1" applyFont="1" applyFill="1" applyBorder="1" applyAlignment="1">
      <alignment horizontal="right" vertical="center"/>
    </xf>
    <xf numFmtId="3" fontId="19" fillId="0" borderId="22" xfId="44" applyNumberFormat="1" applyFont="1" applyFill="1" applyBorder="1" applyAlignment="1">
      <alignment horizontal="right" vertical="center"/>
    </xf>
    <xf numFmtId="4" fontId="19" fillId="0" borderId="25" xfId="44" applyNumberFormat="1" applyFont="1" applyFill="1" applyBorder="1" applyAlignment="1">
      <alignment horizontal="right" vertical="center"/>
    </xf>
    <xf numFmtId="4" fontId="19" fillId="0" borderId="19" xfId="44" applyNumberFormat="1" applyFont="1" applyFill="1" applyBorder="1" applyAlignment="1">
      <alignment horizontal="right" vertical="center"/>
    </xf>
    <xf numFmtId="4" fontId="19" fillId="0" borderId="24" xfId="44" applyNumberFormat="1" applyFont="1" applyFill="1" applyBorder="1" applyAlignment="1">
      <alignment horizontal="right" vertical="center"/>
    </xf>
    <xf numFmtId="3" fontId="19" fillId="0" borderId="25" xfId="63" applyNumberFormat="1" applyFont="1" applyFill="1" applyBorder="1">
      <alignment/>
      <protection/>
    </xf>
    <xf numFmtId="3" fontId="19" fillId="0" borderId="19" xfId="63" applyNumberFormat="1" applyFont="1" applyFill="1" applyBorder="1">
      <alignment/>
      <protection/>
    </xf>
    <xf numFmtId="4" fontId="19" fillId="0" borderId="19" xfId="63" applyNumberFormat="1" applyFont="1" applyFill="1" applyBorder="1">
      <alignment/>
      <protection/>
    </xf>
    <xf numFmtId="4" fontId="19" fillId="0" borderId="24" xfId="63" applyNumberFormat="1" applyFont="1" applyFill="1" applyBorder="1">
      <alignment/>
      <protection/>
    </xf>
    <xf numFmtId="3" fontId="19" fillId="0" borderId="26" xfId="63" applyNumberFormat="1" applyFont="1" applyFill="1" applyBorder="1">
      <alignment/>
      <protection/>
    </xf>
    <xf numFmtId="3" fontId="19" fillId="0" borderId="21" xfId="63" applyNumberFormat="1" applyFont="1" applyFill="1" applyBorder="1">
      <alignment/>
      <protection/>
    </xf>
    <xf numFmtId="3" fontId="19" fillId="0" borderId="22" xfId="63" applyNumberFormat="1" applyFont="1" applyFill="1" applyBorder="1">
      <alignment/>
      <protection/>
    </xf>
    <xf numFmtId="0" fontId="15" fillId="0" borderId="0" xfId="59" applyFont="1" applyFill="1">
      <alignment/>
      <protection/>
    </xf>
    <xf numFmtId="10" fontId="19" fillId="0" borderId="21" xfId="59" applyNumberFormat="1" applyFont="1" applyFill="1" applyBorder="1" applyAlignment="1">
      <alignment horizontal="center" vertical="center"/>
      <protection/>
    </xf>
    <xf numFmtId="173" fontId="19" fillId="0" borderId="21" xfId="59" applyNumberFormat="1" applyFont="1" applyFill="1" applyBorder="1" applyAlignment="1">
      <alignment horizontal="center" vertical="center"/>
      <protection/>
    </xf>
    <xf numFmtId="0" fontId="19" fillId="0" borderId="27" xfId="63" applyFont="1" applyFill="1" applyBorder="1" applyAlignment="1">
      <alignment horizontal="center" vertical="center"/>
      <protection/>
    </xf>
    <xf numFmtId="173" fontId="19" fillId="0" borderId="27" xfId="59" applyNumberFormat="1" applyFont="1" applyFill="1" applyBorder="1" applyAlignment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21" xfId="63" applyFont="1" applyFill="1" applyBorder="1" applyAlignment="1">
      <alignment vertical="center"/>
      <protection/>
    </xf>
    <xf numFmtId="0" fontId="19" fillId="0" borderId="19" xfId="59" applyFont="1" applyFill="1" applyBorder="1" applyAlignment="1">
      <alignment horizontal="center" wrapText="1"/>
      <protection/>
    </xf>
    <xf numFmtId="0" fontId="19" fillId="0" borderId="21" xfId="63" applyFont="1" applyFill="1" applyBorder="1" applyAlignment="1">
      <alignment horizontal="center"/>
      <protection/>
    </xf>
    <xf numFmtId="0" fontId="19" fillId="0" borderId="21" xfId="63" applyFont="1" applyFill="1" applyBorder="1">
      <alignment/>
      <protection/>
    </xf>
    <xf numFmtId="0" fontId="19" fillId="0" borderId="0" xfId="59" applyFont="1" applyFill="1" applyAlignment="1">
      <alignment vertical="center"/>
      <protection/>
    </xf>
    <xf numFmtId="4" fontId="19" fillId="7" borderId="20" xfId="59" applyNumberFormat="1" applyFont="1" applyFill="1" applyBorder="1" applyAlignment="1">
      <alignment vertical="center"/>
      <protection/>
    </xf>
    <xf numFmtId="10" fontId="21" fillId="0" borderId="19" xfId="65" applyNumberFormat="1" applyFont="1" applyFill="1" applyBorder="1" applyAlignment="1">
      <alignment horizontal="center" vertical="center"/>
      <protection/>
    </xf>
    <xf numFmtId="3" fontId="21" fillId="0" borderId="19" xfId="65" applyNumberFormat="1" applyFont="1" applyFill="1" applyBorder="1">
      <alignment/>
      <protection/>
    </xf>
    <xf numFmtId="3" fontId="21" fillId="0" borderId="24" xfId="65" applyNumberFormat="1" applyFont="1" applyFill="1" applyBorder="1">
      <alignment/>
      <protection/>
    </xf>
    <xf numFmtId="173" fontId="21" fillId="0" borderId="21" xfId="59" applyNumberFormat="1" applyFont="1" applyFill="1" applyBorder="1" applyAlignment="1">
      <alignment horizontal="center" vertical="center"/>
      <protection/>
    </xf>
    <xf numFmtId="3" fontId="21" fillId="0" borderId="21" xfId="65" applyNumberFormat="1" applyFont="1" applyFill="1" applyBorder="1">
      <alignment/>
      <protection/>
    </xf>
    <xf numFmtId="3" fontId="21" fillId="0" borderId="22" xfId="65" applyNumberFormat="1" applyFont="1" applyFill="1" applyBorder="1">
      <alignment/>
      <protection/>
    </xf>
    <xf numFmtId="0" fontId="21" fillId="0" borderId="21" xfId="63" applyFont="1" applyFill="1" applyBorder="1" applyAlignment="1">
      <alignment horizontal="center" vertical="center"/>
      <protection/>
    </xf>
    <xf numFmtId="4" fontId="21" fillId="0" borderId="19" xfId="65" applyNumberFormat="1" applyFont="1" applyFill="1" applyBorder="1">
      <alignment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10" fontId="87" fillId="0" borderId="19" xfId="65" applyNumberFormat="1" applyFont="1" applyFill="1" applyBorder="1" applyAlignment="1">
      <alignment horizontal="center" vertical="center"/>
      <protection/>
    </xf>
    <xf numFmtId="173" fontId="87" fillId="0" borderId="21" xfId="59" applyNumberFormat="1" applyFont="1" applyFill="1" applyBorder="1" applyAlignment="1">
      <alignment horizontal="center" vertical="center"/>
      <protection/>
    </xf>
    <xf numFmtId="0" fontId="21" fillId="0" borderId="21" xfId="59" applyFont="1" applyFill="1" applyBorder="1" applyAlignment="1">
      <alignment horizontal="center" vertical="center" wrapText="1"/>
      <protection/>
    </xf>
    <xf numFmtId="0" fontId="19" fillId="35" borderId="28" xfId="59" applyFont="1" applyFill="1" applyBorder="1" applyAlignment="1">
      <alignment/>
      <protection/>
    </xf>
    <xf numFmtId="4" fontId="11" fillId="35" borderId="29" xfId="59" applyNumberFormat="1" applyFont="1" applyFill="1" applyBorder="1" applyAlignment="1">
      <alignment horizontal="center"/>
      <protection/>
    </xf>
    <xf numFmtId="4" fontId="11" fillId="13" borderId="30" xfId="59" applyNumberFormat="1" applyFont="1" applyFill="1" applyBorder="1" applyAlignment="1">
      <alignment horizontal="center"/>
      <protection/>
    </xf>
    <xf numFmtId="0" fontId="19" fillId="35" borderId="31" xfId="59" applyFont="1" applyFill="1" applyBorder="1" applyAlignment="1">
      <alignment horizontal="left"/>
      <protection/>
    </xf>
    <xf numFmtId="4" fontId="11" fillId="35" borderId="32" xfId="59" applyNumberFormat="1" applyFont="1" applyFill="1" applyBorder="1" applyAlignment="1">
      <alignment horizontal="center"/>
      <protection/>
    </xf>
    <xf numFmtId="4" fontId="11" fillId="13" borderId="33" xfId="59" applyNumberFormat="1" applyFont="1" applyFill="1" applyBorder="1" applyAlignment="1">
      <alignment horizontal="center"/>
      <protection/>
    </xf>
    <xf numFmtId="0" fontId="11" fillId="13" borderId="34" xfId="59" applyFont="1" applyFill="1" applyBorder="1" applyAlignment="1">
      <alignment horizontal="left"/>
      <protection/>
    </xf>
    <xf numFmtId="4" fontId="11" fillId="13" borderId="35" xfId="59" applyNumberFormat="1" applyFont="1" applyFill="1" applyBorder="1" applyAlignment="1">
      <alignment horizontal="center" vertical="center"/>
      <protection/>
    </xf>
    <xf numFmtId="4" fontId="11" fillId="13" borderId="36" xfId="59" applyNumberFormat="1" applyFont="1" applyFill="1" applyBorder="1" applyAlignment="1">
      <alignment horizontal="center" vertical="center"/>
      <protection/>
    </xf>
    <xf numFmtId="0" fontId="5" fillId="36" borderId="37" xfId="59" applyFont="1" applyFill="1" applyBorder="1" applyAlignment="1">
      <alignment/>
      <protection/>
    </xf>
    <xf numFmtId="10" fontId="11" fillId="35" borderId="38" xfId="72" applyNumberFormat="1" applyFont="1" applyFill="1" applyBorder="1" applyAlignment="1">
      <alignment horizontal="center"/>
    </xf>
    <xf numFmtId="10" fontId="11" fillId="35" borderId="12" xfId="72" applyNumberFormat="1" applyFont="1" applyFill="1" applyBorder="1" applyAlignment="1">
      <alignment horizontal="center"/>
    </xf>
    <xf numFmtId="10" fontId="11" fillId="36" borderId="39" xfId="72" applyNumberFormat="1" applyFont="1" applyFill="1" applyBorder="1" applyAlignment="1">
      <alignment horizontal="center"/>
    </xf>
    <xf numFmtId="0" fontId="22" fillId="0" borderId="0" xfId="59" applyFont="1">
      <alignment/>
      <protection/>
    </xf>
    <xf numFmtId="0" fontId="9" fillId="36" borderId="40" xfId="59" applyFont="1" applyFill="1" applyBorder="1" applyAlignment="1">
      <alignment/>
      <protection/>
    </xf>
    <xf numFmtId="10" fontId="11" fillId="35" borderId="41" xfId="72" applyNumberFormat="1" applyFont="1" applyFill="1" applyBorder="1" applyAlignment="1">
      <alignment horizontal="center"/>
    </xf>
    <xf numFmtId="10" fontId="23" fillId="36" borderId="42" xfId="72" applyNumberFormat="1" applyFont="1" applyFill="1" applyBorder="1" applyAlignment="1">
      <alignment horizontal="center"/>
    </xf>
    <xf numFmtId="4" fontId="5" fillId="35" borderId="10" xfId="59" applyNumberFormat="1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left"/>
      <protection/>
    </xf>
    <xf numFmtId="0" fontId="21" fillId="0" borderId="0" xfId="59" applyFont="1" applyAlignment="1">
      <alignment horizontal="center"/>
      <protection/>
    </xf>
    <xf numFmtId="4" fontId="19" fillId="0" borderId="0" xfId="59" applyNumberFormat="1" applyFont="1" applyBorder="1">
      <alignment/>
      <protection/>
    </xf>
    <xf numFmtId="3" fontId="5" fillId="36" borderId="10" xfId="59" applyNumberFormat="1" applyFont="1" applyFill="1" applyBorder="1" applyAlignment="1">
      <alignment horizontal="center" vertical="center"/>
      <protection/>
    </xf>
    <xf numFmtId="3" fontId="8" fillId="0" borderId="0" xfId="59" applyNumberFormat="1" applyFont="1" applyAlignment="1">
      <alignment horizontal="left"/>
      <protection/>
    </xf>
    <xf numFmtId="4" fontId="21" fillId="0" borderId="0" xfId="59" applyNumberFormat="1" applyFont="1" applyAlignment="1">
      <alignment horizontal="center"/>
      <protection/>
    </xf>
    <xf numFmtId="4" fontId="23" fillId="0" borderId="10" xfId="59" applyNumberFormat="1" applyFont="1" applyBorder="1" applyAlignment="1">
      <alignment vertical="center"/>
      <protection/>
    </xf>
    <xf numFmtId="4" fontId="24" fillId="0" borderId="0" xfId="59" applyNumberFormat="1" applyFont="1">
      <alignment/>
      <protection/>
    </xf>
    <xf numFmtId="0" fontId="21" fillId="0" borderId="0" xfId="59" applyFont="1" applyAlignment="1">
      <alignment vertical="center"/>
      <protection/>
    </xf>
    <xf numFmtId="0" fontId="21" fillId="0" borderId="0" xfId="59" applyFont="1" applyAlignment="1">
      <alignment vertical="top"/>
      <protection/>
    </xf>
    <xf numFmtId="4" fontId="25" fillId="0" borderId="0" xfId="59" applyNumberFormat="1" applyFont="1">
      <alignment/>
      <protection/>
    </xf>
    <xf numFmtId="171" fontId="19" fillId="0" borderId="0" xfId="59" applyNumberFormat="1" applyFont="1">
      <alignment/>
      <protection/>
    </xf>
    <xf numFmtId="4" fontId="20" fillId="0" borderId="10" xfId="59" applyNumberFormat="1" applyFont="1" applyBorder="1">
      <alignment/>
      <protection/>
    </xf>
    <xf numFmtId="4" fontId="20" fillId="0" borderId="43" xfId="59" applyNumberFormat="1" applyFont="1" applyBorder="1">
      <alignment/>
      <protection/>
    </xf>
    <xf numFmtId="4" fontId="20" fillId="0" borderId="0" xfId="59" applyNumberFormat="1" applyFont="1" applyBorder="1">
      <alignment/>
      <protection/>
    </xf>
    <xf numFmtId="0" fontId="15" fillId="0" borderId="0" xfId="59" applyFill="1" applyBorder="1">
      <alignment/>
      <protection/>
    </xf>
    <xf numFmtId="0" fontId="15" fillId="0" borderId="0" xfId="59" applyAlignment="1">
      <alignment/>
      <protection/>
    </xf>
    <xf numFmtId="0" fontId="22" fillId="0" borderId="0" xfId="59" applyFont="1" applyAlignment="1">
      <alignment/>
      <protection/>
    </xf>
    <xf numFmtId="0" fontId="24" fillId="0" borderId="0" xfId="59" applyFont="1">
      <alignment/>
      <protection/>
    </xf>
    <xf numFmtId="174" fontId="2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19" fillId="0" borderId="21" xfId="59" applyFont="1" applyFill="1" applyBorder="1" applyAlignment="1">
      <alignment horizontal="center" wrapText="1"/>
      <protection/>
    </xf>
    <xf numFmtId="4" fontId="19" fillId="0" borderId="21" xfId="59" applyNumberFormat="1" applyFont="1" applyFill="1" applyBorder="1">
      <alignment/>
      <protection/>
    </xf>
    <xf numFmtId="0" fontId="21" fillId="0" borderId="19" xfId="59" applyFont="1" applyFill="1" applyBorder="1" applyAlignment="1">
      <alignment horizontal="center" wrapText="1"/>
      <protection/>
    </xf>
    <xf numFmtId="4" fontId="21" fillId="0" borderId="19" xfId="59" applyNumberFormat="1" applyFont="1" applyFill="1" applyBorder="1">
      <alignment/>
      <protection/>
    </xf>
    <xf numFmtId="0" fontId="26" fillId="0" borderId="0" xfId="59" applyFont="1" applyFill="1" applyBorder="1">
      <alignment/>
      <protection/>
    </xf>
    <xf numFmtId="0" fontId="21" fillId="0" borderId="21" xfId="59" applyFont="1" applyFill="1" applyBorder="1" applyAlignment="1">
      <alignment horizontal="center" wrapText="1"/>
      <protection/>
    </xf>
    <xf numFmtId="4" fontId="21" fillId="0" borderId="21" xfId="59" applyNumberFormat="1" applyFont="1" applyFill="1" applyBorder="1">
      <alignment/>
      <protection/>
    </xf>
    <xf numFmtId="4" fontId="11" fillId="35" borderId="44" xfId="59" applyNumberFormat="1" applyFont="1" applyFill="1" applyBorder="1" applyAlignment="1">
      <alignment horizontal="center" vertical="center"/>
      <protection/>
    </xf>
    <xf numFmtId="4" fontId="11" fillId="13" borderId="30" xfId="59" applyNumberFormat="1" applyFont="1" applyFill="1" applyBorder="1" applyAlignment="1">
      <alignment horizontal="center" vertical="center"/>
      <protection/>
    </xf>
    <xf numFmtId="0" fontId="19" fillId="35" borderId="45" xfId="59" applyFont="1" applyFill="1" applyBorder="1" applyAlignment="1">
      <alignment horizontal="center"/>
      <protection/>
    </xf>
    <xf numFmtId="4" fontId="11" fillId="13" borderId="46" xfId="59" applyNumberFormat="1" applyFont="1" applyFill="1" applyBorder="1" applyAlignment="1">
      <alignment horizontal="center" vertical="center"/>
      <protection/>
    </xf>
    <xf numFmtId="0" fontId="11" fillId="13" borderId="34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6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6" borderId="10" xfId="59" applyNumberFormat="1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174" fontId="11" fillId="0" borderId="0" xfId="59" applyNumberFormat="1" applyFont="1" applyFill="1" applyBorder="1" applyAlignment="1">
      <alignment horizontal="left"/>
      <protection/>
    </xf>
    <xf numFmtId="4" fontId="15" fillId="0" borderId="0" xfId="59" applyNumberFormat="1">
      <alignment/>
      <protection/>
    </xf>
    <xf numFmtId="4" fontId="15" fillId="0" borderId="0" xfId="59" applyNumberFormat="1" applyFont="1">
      <alignment/>
      <protection/>
    </xf>
    <xf numFmtId="0" fontId="22" fillId="0" borderId="0" xfId="59" applyFont="1" applyAlignment="1">
      <alignment vertical="center"/>
      <protection/>
    </xf>
    <xf numFmtId="0" fontId="19" fillId="35" borderId="10" xfId="59" applyFont="1" applyFill="1" applyBorder="1" applyAlignment="1">
      <alignment/>
      <protection/>
    </xf>
    <xf numFmtId="4" fontId="11" fillId="35" borderId="10" xfId="59" applyNumberFormat="1" applyFont="1" applyFill="1" applyBorder="1" applyAlignment="1">
      <alignment horizontal="center" vertical="center"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0" fontId="19" fillId="35" borderId="11" xfId="59" applyFont="1" applyFill="1" applyBorder="1" applyAlignment="1">
      <alignment horizontal="center"/>
      <protection/>
    </xf>
    <xf numFmtId="4" fontId="11" fillId="35" borderId="11" xfId="59" applyNumberFormat="1" applyFont="1" applyFill="1" applyBorder="1" applyAlignment="1">
      <alignment horizontal="center" vertical="center"/>
      <protection/>
    </xf>
    <xf numFmtId="4" fontId="11" fillId="13" borderId="11" xfId="59" applyNumberFormat="1" applyFont="1" applyFill="1" applyBorder="1" applyAlignment="1">
      <alignment horizontal="center" vertical="center"/>
      <protection/>
    </xf>
    <xf numFmtId="0" fontId="11" fillId="13" borderId="47" xfId="59" applyFont="1" applyFill="1" applyBorder="1" applyAlignment="1">
      <alignment horizontal="center"/>
      <protection/>
    </xf>
    <xf numFmtId="4" fontId="11" fillId="13" borderId="47" xfId="59" applyNumberFormat="1" applyFont="1" applyFill="1" applyBorder="1" applyAlignment="1">
      <alignment horizontal="center" vertical="center"/>
      <protection/>
    </xf>
    <xf numFmtId="0" fontId="9" fillId="36" borderId="10" xfId="59" applyFont="1" applyFill="1" applyBorder="1" applyAlignment="1">
      <alignment/>
      <protection/>
    </xf>
    <xf numFmtId="10" fontId="23" fillId="35" borderId="10" xfId="72" applyNumberFormat="1" applyFont="1" applyFill="1" applyBorder="1" applyAlignment="1">
      <alignment horizontal="center"/>
    </xf>
    <xf numFmtId="10" fontId="11" fillId="36" borderId="10" xfId="70" applyNumberFormat="1" applyFont="1" applyFill="1" applyBorder="1" applyAlignment="1">
      <alignment horizontal="center" vertical="center"/>
    </xf>
    <xf numFmtId="0" fontId="11" fillId="36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10" fillId="0" borderId="0" xfId="59" applyFont="1" applyAlignment="1">
      <alignment horizontal="right"/>
      <protection/>
    </xf>
    <xf numFmtId="0" fontId="6" fillId="0" borderId="0" xfId="67" applyFont="1" applyProtection="1">
      <alignment/>
      <protection locked="0"/>
    </xf>
    <xf numFmtId="0" fontId="6" fillId="0" borderId="0" xfId="67" applyFont="1" applyBorder="1" applyProtection="1">
      <alignment/>
      <protection locked="0"/>
    </xf>
    <xf numFmtId="3" fontId="2" fillId="0" borderId="0" xfId="59" applyNumberFormat="1" applyFont="1">
      <alignment/>
      <protection/>
    </xf>
    <xf numFmtId="0" fontId="2" fillId="0" borderId="0" xfId="59" applyFont="1">
      <alignment/>
      <protection/>
    </xf>
    <xf numFmtId="4" fontId="88" fillId="0" borderId="10" xfId="0" applyNumberFormat="1" applyFont="1" applyBorder="1" applyAlignment="1">
      <alignment vertical="top"/>
    </xf>
    <xf numFmtId="10" fontId="19" fillId="0" borderId="24" xfId="64" applyNumberFormat="1" applyFont="1" applyFill="1" applyBorder="1" applyAlignment="1">
      <alignment horizontal="center" vertical="center"/>
      <protection/>
    </xf>
    <xf numFmtId="3" fontId="19" fillId="0" borderId="25" xfId="64" applyNumberFormat="1" applyFont="1" applyFill="1" applyBorder="1">
      <alignment/>
      <protection/>
    </xf>
    <xf numFmtId="3" fontId="19" fillId="0" borderId="19" xfId="64" applyNumberFormat="1" applyFont="1" applyFill="1" applyBorder="1">
      <alignment/>
      <protection/>
    </xf>
    <xf numFmtId="3" fontId="19" fillId="0" borderId="24" xfId="64" applyNumberFormat="1" applyFont="1" applyFill="1" applyBorder="1">
      <alignment/>
      <protection/>
    </xf>
    <xf numFmtId="3" fontId="19" fillId="0" borderId="26" xfId="64" applyNumberFormat="1" applyFont="1" applyFill="1" applyBorder="1">
      <alignment/>
      <protection/>
    </xf>
    <xf numFmtId="3" fontId="19" fillId="0" borderId="21" xfId="64" applyNumberFormat="1" applyFont="1" applyFill="1" applyBorder="1">
      <alignment/>
      <protection/>
    </xf>
    <xf numFmtId="3" fontId="19" fillId="0" borderId="22" xfId="64" applyNumberFormat="1" applyFont="1" applyFill="1" applyBorder="1">
      <alignment/>
      <protection/>
    </xf>
    <xf numFmtId="3" fontId="19" fillId="0" borderId="25" xfId="58" applyNumberFormat="1" applyFont="1" applyFill="1" applyBorder="1">
      <alignment/>
      <protection/>
    </xf>
    <xf numFmtId="3" fontId="19" fillId="0" borderId="19" xfId="58" applyNumberFormat="1" applyFont="1" applyFill="1" applyBorder="1">
      <alignment/>
      <protection/>
    </xf>
    <xf numFmtId="3" fontId="19" fillId="0" borderId="24" xfId="58" applyNumberFormat="1" applyFont="1" applyFill="1" applyBorder="1">
      <alignment/>
      <protection/>
    </xf>
    <xf numFmtId="3" fontId="19" fillId="0" borderId="26" xfId="58" applyNumberFormat="1" applyFont="1" applyFill="1" applyBorder="1">
      <alignment/>
      <protection/>
    </xf>
    <xf numFmtId="3" fontId="19" fillId="0" borderId="21" xfId="58" applyNumberFormat="1" applyFont="1" applyFill="1" applyBorder="1">
      <alignment/>
      <protection/>
    </xf>
    <xf numFmtId="3" fontId="19" fillId="0" borderId="22" xfId="58" applyNumberFormat="1" applyFont="1" applyFill="1" applyBorder="1">
      <alignment/>
      <protection/>
    </xf>
    <xf numFmtId="4" fontId="19" fillId="0" borderId="25" xfId="58" applyNumberFormat="1" applyFont="1" applyFill="1" applyBorder="1">
      <alignment/>
      <protection/>
    </xf>
    <xf numFmtId="4" fontId="19" fillId="0" borderId="19" xfId="58" applyNumberFormat="1" applyFont="1" applyFill="1" applyBorder="1">
      <alignment/>
      <protection/>
    </xf>
    <xf numFmtId="4" fontId="19" fillId="0" borderId="24" xfId="58" applyNumberFormat="1" applyFont="1" applyFill="1" applyBorder="1">
      <alignment/>
      <protection/>
    </xf>
    <xf numFmtId="10" fontId="19" fillId="0" borderId="19" xfId="64" applyNumberFormat="1" applyFont="1" applyFill="1" applyBorder="1" applyAlignment="1">
      <alignment horizontal="center" vertical="center"/>
      <protection/>
    </xf>
    <xf numFmtId="4" fontId="19" fillId="0" borderId="19" xfId="64" applyNumberFormat="1" applyFont="1" applyFill="1" applyBorder="1">
      <alignment/>
      <protection/>
    </xf>
    <xf numFmtId="4" fontId="19" fillId="0" borderId="24" xfId="64" applyNumberFormat="1" applyFont="1" applyFill="1" applyBorder="1">
      <alignment/>
      <protection/>
    </xf>
    <xf numFmtId="3" fontId="19" fillId="0" borderId="27" xfId="64" applyNumberFormat="1" applyFont="1" applyFill="1" applyBorder="1">
      <alignment/>
      <protection/>
    </xf>
    <xf numFmtId="3" fontId="19" fillId="0" borderId="48" xfId="64" applyNumberFormat="1" applyFont="1" applyFill="1" applyBorder="1">
      <alignment/>
      <protection/>
    </xf>
    <xf numFmtId="173" fontId="19" fillId="0" borderId="19" xfId="64" applyNumberFormat="1" applyFont="1" applyFill="1" applyBorder="1" applyAlignment="1">
      <alignment horizontal="center" vertical="center"/>
      <protection/>
    </xf>
    <xf numFmtId="4" fontId="19" fillId="37" borderId="19" xfId="64" applyNumberFormat="1" applyFont="1" applyFill="1" applyBorder="1">
      <alignment/>
      <protection/>
    </xf>
    <xf numFmtId="3" fontId="19" fillId="0" borderId="49" xfId="64" applyNumberFormat="1" applyFont="1" applyFill="1" applyBorder="1">
      <alignment/>
      <protection/>
    </xf>
    <xf numFmtId="3" fontId="19" fillId="0" borderId="50" xfId="64" applyNumberFormat="1" applyFont="1" applyFill="1" applyBorder="1">
      <alignment/>
      <protection/>
    </xf>
    <xf numFmtId="3" fontId="19" fillId="0" borderId="51" xfId="64" applyNumberFormat="1" applyFont="1" applyFill="1" applyBorder="1">
      <alignment/>
      <protection/>
    </xf>
    <xf numFmtId="3" fontId="19" fillId="0" borderId="19" xfId="64" applyNumberFormat="1" applyFont="1" applyFill="1" applyBorder="1" applyAlignment="1">
      <alignment vertical="center"/>
      <protection/>
    </xf>
    <xf numFmtId="4" fontId="19" fillId="0" borderId="19" xfId="64" applyNumberFormat="1" applyFont="1" applyFill="1" applyBorder="1" applyAlignment="1">
      <alignment vertical="center"/>
      <protection/>
    </xf>
    <xf numFmtId="3" fontId="19" fillId="0" borderId="24" xfId="64" applyNumberFormat="1" applyFont="1" applyFill="1" applyBorder="1" applyAlignment="1">
      <alignment vertical="center"/>
      <protection/>
    </xf>
    <xf numFmtId="3" fontId="19" fillId="0" borderId="21" xfId="64" applyNumberFormat="1" applyFont="1" applyFill="1" applyBorder="1" applyAlignment="1">
      <alignment vertical="center"/>
      <protection/>
    </xf>
    <xf numFmtId="3" fontId="19" fillId="0" borderId="22" xfId="64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89" fillId="0" borderId="0" xfId="59" applyFont="1" applyFill="1">
      <alignment/>
      <protection/>
    </xf>
    <xf numFmtId="10" fontId="19" fillId="0" borderId="19" xfId="65" applyNumberFormat="1" applyFont="1" applyFill="1" applyBorder="1" applyAlignment="1">
      <alignment horizontal="center" vertical="center"/>
      <protection/>
    </xf>
    <xf numFmtId="3" fontId="19" fillId="0" borderId="24" xfId="65" applyNumberFormat="1" applyFont="1" applyFill="1" applyBorder="1">
      <alignment/>
      <protection/>
    </xf>
    <xf numFmtId="3" fontId="19" fillId="0" borderId="22" xfId="65" applyNumberFormat="1" applyFont="1" applyFill="1" applyBorder="1">
      <alignment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3" fontId="21" fillId="0" borderId="19" xfId="64" applyNumberFormat="1" applyFont="1" applyFill="1" applyBorder="1">
      <alignment/>
      <protection/>
    </xf>
    <xf numFmtId="4" fontId="21" fillId="0" borderId="19" xfId="64" applyNumberFormat="1" applyFont="1" applyFill="1" applyBorder="1">
      <alignment/>
      <protection/>
    </xf>
    <xf numFmtId="3" fontId="21" fillId="0" borderId="21" xfId="64" applyNumberFormat="1" applyFont="1" applyFill="1" applyBorder="1">
      <alignment/>
      <protection/>
    </xf>
    <xf numFmtId="0" fontId="84" fillId="0" borderId="0" xfId="59" applyFont="1">
      <alignment/>
      <protection/>
    </xf>
    <xf numFmtId="174" fontId="90" fillId="35" borderId="44" xfId="59" applyNumberFormat="1" applyFont="1" applyFill="1" applyBorder="1" applyAlignment="1">
      <alignment horizontal="center"/>
      <protection/>
    </xf>
    <xf numFmtId="0" fontId="83" fillId="35" borderId="52" xfId="59" applyFont="1" applyFill="1" applyBorder="1" applyAlignment="1">
      <alignment horizontal="right"/>
      <protection/>
    </xf>
    <xf numFmtId="0" fontId="90" fillId="13" borderId="35" xfId="59" applyFont="1" applyFill="1" applyBorder="1" applyAlignment="1">
      <alignment horizontal="center"/>
      <protection/>
    </xf>
    <xf numFmtId="0" fontId="87" fillId="0" borderId="0" xfId="59" applyFont="1" applyAlignment="1">
      <alignment horizontal="center"/>
      <protection/>
    </xf>
    <xf numFmtId="3" fontId="87" fillId="0" borderId="0" xfId="59" applyNumberFormat="1" applyFont="1" applyAlignment="1">
      <alignment horizontal="center"/>
      <protection/>
    </xf>
    <xf numFmtId="0" fontId="87" fillId="0" borderId="0" xfId="59" applyFont="1" applyAlignment="1">
      <alignment vertical="top"/>
      <protection/>
    </xf>
    <xf numFmtId="0" fontId="91" fillId="0" borderId="0" xfId="59" applyFont="1">
      <alignment/>
      <protection/>
    </xf>
    <xf numFmtId="10" fontId="89" fillId="0" borderId="19" xfId="59" applyNumberFormat="1" applyFont="1" applyFill="1" applyBorder="1" applyAlignment="1">
      <alignment horizontal="center"/>
      <protection/>
    </xf>
    <xf numFmtId="173" fontId="89" fillId="0" borderId="21" xfId="59" applyNumberFormat="1" applyFont="1" applyFill="1" applyBorder="1" applyAlignment="1">
      <alignment horizontal="center"/>
      <protection/>
    </xf>
    <xf numFmtId="0" fontId="83" fillId="35" borderId="32" xfId="59" applyFont="1" applyFill="1" applyBorder="1" applyAlignment="1">
      <alignment horizontal="center"/>
      <protection/>
    </xf>
    <xf numFmtId="0" fontId="90" fillId="0" borderId="0" xfId="59" applyFont="1" applyFill="1" applyBorder="1" applyAlignment="1">
      <alignment horizontal="center"/>
      <protection/>
    </xf>
    <xf numFmtId="0" fontId="92" fillId="0" borderId="0" xfId="59" applyFont="1" applyAlignment="1">
      <alignment/>
      <protection/>
    </xf>
    <xf numFmtId="0" fontId="93" fillId="0" borderId="0" xfId="59" applyFont="1">
      <alignment/>
      <protection/>
    </xf>
    <xf numFmtId="3" fontId="79" fillId="0" borderId="0" xfId="59" applyNumberFormat="1" applyFont="1">
      <alignment/>
      <protection/>
    </xf>
    <xf numFmtId="0" fontId="15" fillId="0" borderId="0" xfId="58" applyFont="1">
      <alignment/>
      <protection/>
    </xf>
    <xf numFmtId="3" fontId="2" fillId="38" borderId="0" xfId="58" applyNumberFormat="1" applyFont="1" applyFill="1" applyAlignment="1">
      <alignment horizontal="right" vertical="top" wrapText="1"/>
      <protection/>
    </xf>
    <xf numFmtId="0" fontId="9" fillId="38" borderId="0" xfId="58" applyFont="1" applyFill="1" applyAlignment="1">
      <alignment horizontal="right" vertical="top" wrapText="1"/>
      <protection/>
    </xf>
    <xf numFmtId="0" fontId="2" fillId="38" borderId="0" xfId="58" applyFont="1" applyFill="1" applyAlignment="1">
      <alignment horizontal="left" vertical="top" wrapText="1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4" fillId="38" borderId="10" xfId="58" applyFont="1" applyFill="1" applyBorder="1" applyAlignment="1">
      <alignment horizontal="center" vertical="center" wrapText="1"/>
      <protection/>
    </xf>
    <xf numFmtId="0" fontId="15" fillId="3" borderId="0" xfId="58" applyFont="1" applyFill="1">
      <alignment/>
      <protection/>
    </xf>
    <xf numFmtId="0" fontId="2" fillId="3" borderId="0" xfId="58" applyFont="1" applyFill="1" applyAlignment="1">
      <alignment horizontal="left" vertical="top" wrapText="1"/>
      <protection/>
    </xf>
    <xf numFmtId="3" fontId="2" fillId="3" borderId="0" xfId="58" applyNumberFormat="1" applyFont="1" applyFill="1" applyAlignment="1">
      <alignment horizontal="right" vertical="top" wrapText="1"/>
      <protection/>
    </xf>
    <xf numFmtId="0" fontId="22" fillId="3" borderId="0" xfId="58" applyFont="1" applyFill="1">
      <alignment/>
      <protection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22" fillId="0" borderId="0" xfId="58" applyFont="1">
      <alignment/>
      <protection/>
    </xf>
    <xf numFmtId="0" fontId="4" fillId="38" borderId="0" xfId="58" applyFont="1" applyFill="1" applyAlignment="1">
      <alignment horizontal="left" vertical="top" wrapText="1"/>
      <protection/>
    </xf>
    <xf numFmtId="3" fontId="4" fillId="38" borderId="0" xfId="58" applyNumberFormat="1" applyFont="1" applyFill="1" applyAlignment="1">
      <alignment horizontal="right" vertical="top" wrapText="1"/>
      <protection/>
    </xf>
    <xf numFmtId="4" fontId="19" fillId="7" borderId="53" xfId="59" applyNumberFormat="1" applyFont="1" applyFill="1" applyBorder="1">
      <alignment/>
      <protection/>
    </xf>
    <xf numFmtId="0" fontId="19" fillId="0" borderId="54" xfId="59" applyFont="1" applyFill="1" applyBorder="1" applyAlignment="1">
      <alignment horizontal="center" vertical="center" wrapText="1"/>
      <protection/>
    </xf>
    <xf numFmtId="10" fontId="19" fillId="0" borderId="54" xfId="64" applyNumberFormat="1" applyFont="1" applyFill="1" applyBorder="1" applyAlignment="1">
      <alignment horizontal="center" vertical="center"/>
      <protection/>
    </xf>
    <xf numFmtId="3" fontId="19" fillId="0" borderId="54" xfId="64" applyNumberFormat="1" applyFont="1" applyFill="1" applyBorder="1">
      <alignment/>
      <protection/>
    </xf>
    <xf numFmtId="3" fontId="19" fillId="0" borderId="55" xfId="64" applyNumberFormat="1" applyFont="1" applyFill="1" applyBorder="1">
      <alignment/>
      <protection/>
    </xf>
    <xf numFmtId="4" fontId="19" fillId="7" borderId="56" xfId="59" applyNumberFormat="1" applyFont="1" applyFill="1" applyBorder="1">
      <alignment/>
      <protection/>
    </xf>
    <xf numFmtId="0" fontId="19" fillId="0" borderId="0" xfId="59" applyFont="1" applyFill="1" applyBorder="1" applyAlignment="1">
      <alignment/>
      <protection/>
    </xf>
    <xf numFmtId="4" fontId="19" fillId="7" borderId="20" xfId="59" applyNumberFormat="1" applyFont="1" applyFill="1" applyBorder="1">
      <alignment/>
      <protection/>
    </xf>
    <xf numFmtId="0" fontId="5" fillId="35" borderId="38" xfId="59" applyFont="1" applyFill="1" applyBorder="1" applyAlignment="1">
      <alignment horizontal="center"/>
      <protection/>
    </xf>
    <xf numFmtId="0" fontId="5" fillId="35" borderId="57" xfId="59" applyFont="1" applyFill="1" applyBorder="1" applyAlignment="1">
      <alignment horizontal="center"/>
      <protection/>
    </xf>
    <xf numFmtId="10" fontId="19" fillId="0" borderId="19" xfId="59" applyNumberFormat="1" applyFont="1" applyFill="1" applyBorder="1" applyAlignment="1">
      <alignment horizontal="center"/>
      <protection/>
    </xf>
    <xf numFmtId="173" fontId="19" fillId="0" borderId="21" xfId="59" applyNumberFormat="1" applyFont="1" applyFill="1" applyBorder="1" applyAlignment="1">
      <alignment horizontal="center"/>
      <protection/>
    </xf>
    <xf numFmtId="10" fontId="21" fillId="0" borderId="19" xfId="59" applyNumberFormat="1" applyFont="1" applyFill="1" applyBorder="1" applyAlignment="1">
      <alignment horizontal="center"/>
      <protection/>
    </xf>
    <xf numFmtId="173" fontId="21" fillId="0" borderId="21" xfId="59" applyNumberFormat="1" applyFont="1" applyFill="1" applyBorder="1" applyAlignment="1">
      <alignment horizontal="center"/>
      <protection/>
    </xf>
    <xf numFmtId="0" fontId="5" fillId="35" borderId="10" xfId="59" applyFont="1" applyFill="1" applyBorder="1" applyAlignment="1">
      <alignment horizontal="center"/>
      <protection/>
    </xf>
    <xf numFmtId="10" fontId="19" fillId="0" borderId="58" xfId="64" applyNumberFormat="1" applyFont="1" applyFill="1" applyBorder="1" applyAlignment="1">
      <alignment horizontal="center" vertical="center"/>
      <protection/>
    </xf>
    <xf numFmtId="173" fontId="19" fillId="0" borderId="59" xfId="59" applyNumberFormat="1" applyFont="1" applyFill="1" applyBorder="1" applyAlignment="1">
      <alignment horizontal="center" vertical="center"/>
      <protection/>
    </xf>
    <xf numFmtId="10" fontId="19" fillId="0" borderId="58" xfId="5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7" fillId="38" borderId="0" xfId="58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7" fillId="3" borderId="0" xfId="58" applyFont="1" applyFill="1" applyAlignment="1">
      <alignment horizontal="left" vertical="top" wrapText="1"/>
      <protection/>
    </xf>
    <xf numFmtId="0" fontId="77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38" borderId="61" xfId="58" applyFont="1" applyFill="1" applyBorder="1" applyAlignment="1">
      <alignment horizontal="center" vertical="top" wrapText="1"/>
      <protection/>
    </xf>
    <xf numFmtId="0" fontId="0" fillId="0" borderId="61" xfId="0" applyBorder="1" applyAlignment="1">
      <alignment horizontal="center" vertical="top" wrapText="1"/>
    </xf>
    <xf numFmtId="0" fontId="7" fillId="38" borderId="40" xfId="58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15" fillId="0" borderId="0" xfId="59" applyFill="1" applyAlignment="1">
      <alignment horizontal="right"/>
      <protection/>
    </xf>
    <xf numFmtId="0" fontId="7" fillId="0" borderId="0" xfId="63" applyFont="1" applyBorder="1" applyAlignment="1">
      <alignment horizontal="center"/>
      <protection/>
    </xf>
    <xf numFmtId="0" fontId="20" fillId="33" borderId="62" xfId="59" applyFont="1" applyFill="1" applyBorder="1" applyAlignment="1">
      <alignment horizontal="center" vertical="center" wrapText="1"/>
      <protection/>
    </xf>
    <xf numFmtId="0" fontId="20" fillId="33" borderId="63" xfId="59" applyFont="1" applyFill="1" applyBorder="1" applyAlignment="1">
      <alignment horizontal="center" vertical="center" wrapText="1"/>
      <protection/>
    </xf>
    <xf numFmtId="0" fontId="20" fillId="33" borderId="64" xfId="59" applyFont="1" applyFill="1" applyBorder="1" applyAlignment="1">
      <alignment horizontal="center" vertical="center" wrapText="1"/>
      <protection/>
    </xf>
    <xf numFmtId="0" fontId="20" fillId="33" borderId="65" xfId="59" applyFont="1" applyFill="1" applyBorder="1" applyAlignment="1">
      <alignment horizontal="center" vertical="center" wrapText="1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19" fillId="0" borderId="66" xfId="59" applyFont="1" applyFill="1" applyBorder="1" applyAlignment="1">
      <alignment horizontal="center" vertical="center"/>
      <protection/>
    </xf>
    <xf numFmtId="0" fontId="19" fillId="0" borderId="67" xfId="59" applyFont="1" applyFill="1" applyBorder="1" applyAlignment="1">
      <alignment horizontal="center" vertical="center"/>
      <protection/>
    </xf>
    <xf numFmtId="0" fontId="19" fillId="0" borderId="19" xfId="63" applyFont="1" applyFill="1" applyBorder="1" applyAlignment="1">
      <alignment horizontal="center" vertical="center" wrapText="1"/>
      <protection/>
    </xf>
    <xf numFmtId="0" fontId="19" fillId="0" borderId="21" xfId="63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/>
    </xf>
    <xf numFmtId="4" fontId="19" fillId="0" borderId="21" xfId="44" applyNumberFormat="1" applyFont="1" applyFill="1" applyBorder="1" applyAlignment="1">
      <alignment horizontal="center" vertical="center"/>
    </xf>
    <xf numFmtId="0" fontId="19" fillId="0" borderId="29" xfId="58" applyFont="1" applyFill="1" applyBorder="1" applyAlignment="1">
      <alignment horizontal="center" wrapText="1"/>
      <protection/>
    </xf>
    <xf numFmtId="0" fontId="19" fillId="0" borderId="50" xfId="58" applyFont="1" applyFill="1" applyBorder="1" applyAlignment="1">
      <alignment horizont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0" fontId="19" fillId="0" borderId="21" xfId="59" applyFont="1" applyFill="1" applyBorder="1" applyAlignment="1">
      <alignment horizontal="center" vertical="center" wrapText="1"/>
      <protection/>
    </xf>
    <xf numFmtId="14" fontId="19" fillId="0" borderId="44" xfId="58" applyNumberFormat="1" applyFont="1" applyFill="1" applyBorder="1" applyAlignment="1">
      <alignment horizontal="center" vertical="center" wrapText="1"/>
      <protection/>
    </xf>
    <xf numFmtId="0" fontId="19" fillId="0" borderId="52" xfId="58" applyFont="1" applyFill="1" applyBorder="1" applyAlignment="1">
      <alignment horizontal="center" vertical="center" wrapText="1"/>
      <protection/>
    </xf>
    <xf numFmtId="0" fontId="19" fillId="0" borderId="19" xfId="58" applyFont="1" applyFill="1" applyBorder="1" applyAlignment="1">
      <alignment horizontal="center" vertical="center" wrapText="1"/>
      <protection/>
    </xf>
    <xf numFmtId="0" fontId="19" fillId="0" borderId="21" xfId="58" applyFont="1" applyFill="1" applyBorder="1" applyAlignment="1">
      <alignment horizontal="center" vertical="center" wrapText="1"/>
      <protection/>
    </xf>
    <xf numFmtId="0" fontId="19" fillId="0" borderId="44" xfId="59" applyFont="1" applyFill="1" applyBorder="1" applyAlignment="1">
      <alignment horizontal="center" wrapText="1"/>
      <protection/>
    </xf>
    <xf numFmtId="0" fontId="19" fillId="0" borderId="52" xfId="59" applyFont="1" applyFill="1" applyBorder="1" applyAlignment="1">
      <alignment horizontal="center" wrapText="1"/>
      <protection/>
    </xf>
    <xf numFmtId="0" fontId="19" fillId="0" borderId="29" xfId="59" applyFont="1" applyFill="1" applyBorder="1" applyAlignment="1">
      <alignment horizontal="center" wrapText="1"/>
      <protection/>
    </xf>
    <xf numFmtId="0" fontId="19" fillId="0" borderId="50" xfId="59" applyFont="1" applyFill="1" applyBorder="1" applyAlignment="1">
      <alignment horizontal="center" wrapText="1"/>
      <protection/>
    </xf>
    <xf numFmtId="0" fontId="19" fillId="0" borderId="29" xfId="58" applyFont="1" applyFill="1" applyBorder="1" applyAlignment="1">
      <alignment horizontal="center" vertical="center" wrapText="1"/>
      <protection/>
    </xf>
    <xf numFmtId="0" fontId="19" fillId="0" borderId="50" xfId="58" applyFont="1" applyFill="1" applyBorder="1" applyAlignment="1">
      <alignment horizontal="center" vertical="center" wrapText="1"/>
      <protection/>
    </xf>
    <xf numFmtId="3" fontId="19" fillId="0" borderId="19" xfId="63" applyNumberFormat="1" applyFont="1" applyFill="1" applyBorder="1" applyAlignment="1">
      <alignment horizontal="center" vertical="center" wrapText="1"/>
      <protection/>
    </xf>
    <xf numFmtId="4" fontId="19" fillId="0" borderId="19" xfId="44" applyNumberFormat="1" applyFont="1" applyFill="1" applyBorder="1" applyAlignment="1">
      <alignment horizontal="center" vertical="center" wrapText="1"/>
    </xf>
    <xf numFmtId="4" fontId="19" fillId="0" borderId="21" xfId="44" applyNumberFormat="1" applyFont="1" applyFill="1" applyBorder="1" applyAlignment="1">
      <alignment horizontal="center" vertical="center" wrapText="1"/>
    </xf>
    <xf numFmtId="0" fontId="19" fillId="0" borderId="29" xfId="59" applyFont="1" applyFill="1" applyBorder="1" applyAlignment="1">
      <alignment horizontal="center" vertical="center" wrapText="1"/>
      <protection/>
    </xf>
    <xf numFmtId="0" fontId="19" fillId="0" borderId="50" xfId="59" applyFont="1" applyFill="1" applyBorder="1" applyAlignment="1">
      <alignment horizontal="center" vertical="center" wrapText="1"/>
      <protection/>
    </xf>
    <xf numFmtId="0" fontId="19" fillId="0" borderId="68" xfId="58" applyFont="1" applyFill="1" applyBorder="1" applyAlignment="1">
      <alignment horizontal="center" wrapText="1"/>
      <protection/>
    </xf>
    <xf numFmtId="0" fontId="19" fillId="0" borderId="69" xfId="58" applyFont="1" applyFill="1" applyBorder="1" applyAlignment="1">
      <alignment horizontal="center" wrapText="1"/>
      <protection/>
    </xf>
    <xf numFmtId="0" fontId="19" fillId="0" borderId="68" xfId="58" applyFont="1" applyFill="1" applyBorder="1" applyAlignment="1">
      <alignment horizontal="center" vertical="center" wrapText="1"/>
      <protection/>
    </xf>
    <xf numFmtId="0" fontId="19" fillId="0" borderId="69" xfId="58" applyFont="1" applyFill="1" applyBorder="1" applyAlignment="1">
      <alignment horizontal="center" vertical="center" wrapText="1"/>
      <protection/>
    </xf>
    <xf numFmtId="0" fontId="19" fillId="0" borderId="70" xfId="59" applyFont="1" applyFill="1" applyBorder="1" applyAlignment="1">
      <alignment horizontal="center" vertical="center"/>
      <protection/>
    </xf>
    <xf numFmtId="0" fontId="19" fillId="0" borderId="27" xfId="63" applyFont="1" applyFill="1" applyBorder="1" applyAlignment="1">
      <alignment horizontal="center" vertical="center" wrapText="1"/>
      <protection/>
    </xf>
    <xf numFmtId="4" fontId="19" fillId="0" borderId="27" xfId="44" applyNumberFormat="1" applyFont="1" applyFill="1" applyBorder="1" applyAlignment="1">
      <alignment horizontal="center" vertical="center"/>
    </xf>
    <xf numFmtId="0" fontId="19" fillId="0" borderId="71" xfId="58" applyFont="1" applyFill="1" applyBorder="1" applyAlignment="1">
      <alignment horizontal="center" vertical="center" wrapText="1"/>
      <protection/>
    </xf>
    <xf numFmtId="0" fontId="19" fillId="0" borderId="72" xfId="59" applyFont="1" applyFill="1" applyBorder="1" applyAlignment="1">
      <alignment horizontal="center" vertical="center"/>
      <protection/>
    </xf>
    <xf numFmtId="0" fontId="19" fillId="0" borderId="54" xfId="63" applyFont="1" applyFill="1" applyBorder="1" applyAlignment="1">
      <alignment horizontal="center" vertical="center" wrapText="1"/>
      <protection/>
    </xf>
    <xf numFmtId="4" fontId="19" fillId="0" borderId="54" xfId="44" applyNumberFormat="1" applyFont="1" applyFill="1" applyBorder="1" applyAlignment="1">
      <alignment horizontal="center" vertical="center"/>
    </xf>
    <xf numFmtId="0" fontId="19" fillId="0" borderId="73" xfId="63" applyFont="1" applyFill="1" applyBorder="1" applyAlignment="1">
      <alignment horizontal="center" vertical="center" wrapText="1"/>
      <protection/>
    </xf>
    <xf numFmtId="0" fontId="19" fillId="0" borderId="74" xfId="63" applyFont="1" applyFill="1" applyBorder="1" applyAlignment="1">
      <alignment horizontal="center" vertical="center" wrapText="1"/>
      <protection/>
    </xf>
    <xf numFmtId="0" fontId="19" fillId="0" borderId="68" xfId="59" applyFont="1" applyFill="1" applyBorder="1" applyAlignment="1">
      <alignment horizontal="center" vertical="center" wrapText="1"/>
      <protection/>
    </xf>
    <xf numFmtId="0" fontId="19" fillId="0" borderId="69" xfId="59" applyFont="1" applyFill="1" applyBorder="1" applyAlignment="1">
      <alignment horizontal="center" vertical="center" wrapText="1"/>
      <protection/>
    </xf>
    <xf numFmtId="4" fontId="19" fillId="0" borderId="73" xfId="44" applyNumberFormat="1" applyFont="1" applyFill="1" applyBorder="1" applyAlignment="1">
      <alignment horizontal="center" vertical="center"/>
    </xf>
    <xf numFmtId="4" fontId="19" fillId="0" borderId="74" xfId="44" applyNumberFormat="1" applyFont="1" applyFill="1" applyBorder="1" applyAlignment="1">
      <alignment horizontal="center" vertical="center"/>
    </xf>
    <xf numFmtId="0" fontId="19" fillId="0" borderId="73" xfId="59" applyFont="1" applyFill="1" applyBorder="1" applyAlignment="1">
      <alignment horizontal="center" vertical="center" wrapText="1"/>
      <protection/>
    </xf>
    <xf numFmtId="0" fontId="19" fillId="0" borderId="74" xfId="59" applyFont="1" applyFill="1" applyBorder="1" applyAlignment="1">
      <alignment horizontal="center" vertical="center" wrapText="1"/>
      <protection/>
    </xf>
    <xf numFmtId="0" fontId="19" fillId="0" borderId="75" xfId="59" applyFont="1" applyFill="1" applyBorder="1" applyAlignment="1">
      <alignment horizontal="center" vertical="center"/>
      <protection/>
    </xf>
    <xf numFmtId="0" fontId="19" fillId="0" borderId="76" xfId="59" applyFont="1" applyFill="1" applyBorder="1" applyAlignment="1">
      <alignment horizontal="center" vertical="center"/>
      <protection/>
    </xf>
    <xf numFmtId="0" fontId="21" fillId="0" borderId="75" xfId="59" applyFont="1" applyFill="1" applyBorder="1" applyAlignment="1">
      <alignment horizontal="center" vertical="center"/>
      <protection/>
    </xf>
    <xf numFmtId="0" fontId="21" fillId="0" borderId="76" xfId="59" applyFont="1" applyFill="1" applyBorder="1" applyAlignment="1">
      <alignment horizontal="center" vertical="center"/>
      <protection/>
    </xf>
    <xf numFmtId="0" fontId="21" fillId="0" borderId="73" xfId="63" applyFont="1" applyFill="1" applyBorder="1" applyAlignment="1">
      <alignment horizontal="center" vertical="center" wrapText="1"/>
      <protection/>
    </xf>
    <xf numFmtId="0" fontId="21" fillId="0" borderId="74" xfId="63" applyFont="1" applyFill="1" applyBorder="1" applyAlignment="1">
      <alignment horizontal="center" vertical="center" wrapText="1"/>
      <protection/>
    </xf>
    <xf numFmtId="4" fontId="21" fillId="0" borderId="73" xfId="44" applyNumberFormat="1" applyFont="1" applyFill="1" applyBorder="1" applyAlignment="1">
      <alignment horizontal="center" vertical="center"/>
    </xf>
    <xf numFmtId="4" fontId="21" fillId="0" borderId="74" xfId="44" applyNumberFormat="1" applyFont="1" applyFill="1" applyBorder="1" applyAlignment="1">
      <alignment horizontal="center" vertical="center"/>
    </xf>
    <xf numFmtId="0" fontId="21" fillId="0" borderId="73" xfId="59" applyFont="1" applyFill="1" applyBorder="1" applyAlignment="1">
      <alignment horizontal="center" vertical="center" wrapText="1"/>
      <protection/>
    </xf>
    <xf numFmtId="0" fontId="21" fillId="0" borderId="74" xfId="59" applyFont="1" applyFill="1" applyBorder="1" applyAlignment="1">
      <alignment horizontal="center" vertical="center" wrapText="1"/>
      <protection/>
    </xf>
    <xf numFmtId="4" fontId="21" fillId="0" borderId="73" xfId="63" applyNumberFormat="1" applyFont="1" applyFill="1" applyBorder="1" applyAlignment="1">
      <alignment horizontal="center" vertical="center" wrapText="1"/>
      <protection/>
    </xf>
    <xf numFmtId="4" fontId="21" fillId="0" borderId="74" xfId="63" applyNumberFormat="1" applyFont="1" applyFill="1" applyBorder="1" applyAlignment="1">
      <alignment horizontal="center" vertical="center" wrapText="1"/>
      <protection/>
    </xf>
    <xf numFmtId="0" fontId="21" fillId="0" borderId="19" xfId="63" applyFont="1" applyFill="1" applyBorder="1" applyAlignment="1">
      <alignment horizontal="center" vertical="center" wrapText="1"/>
      <protection/>
    </xf>
    <xf numFmtId="0" fontId="21" fillId="0" borderId="21" xfId="63" applyFont="1" applyFill="1" applyBorder="1" applyAlignment="1">
      <alignment horizontal="center" vertical="center" wrapText="1"/>
      <protection/>
    </xf>
    <xf numFmtId="4" fontId="21" fillId="0" borderId="19" xfId="44" applyNumberFormat="1" applyFont="1" applyFill="1" applyBorder="1" applyAlignment="1">
      <alignment horizontal="center" vertical="center"/>
    </xf>
    <xf numFmtId="4" fontId="21" fillId="0" borderId="21" xfId="44" applyNumberFormat="1" applyFont="1" applyFill="1" applyBorder="1" applyAlignment="1">
      <alignment horizontal="center" vertical="center"/>
    </xf>
    <xf numFmtId="174" fontId="5" fillId="36" borderId="49" xfId="59" applyNumberFormat="1" applyFont="1" applyFill="1" applyBorder="1" applyAlignment="1">
      <alignment horizontal="left"/>
      <protection/>
    </xf>
    <xf numFmtId="174" fontId="5" fillId="36" borderId="77" xfId="59" applyNumberFormat="1" applyFont="1" applyFill="1" applyBorder="1" applyAlignment="1">
      <alignment horizontal="left"/>
      <protection/>
    </xf>
    <xf numFmtId="174" fontId="5" fillId="36" borderId="78" xfId="59" applyNumberFormat="1" applyFont="1" applyFill="1" applyBorder="1" applyAlignment="1">
      <alignment horizontal="left"/>
      <protection/>
    </xf>
    <xf numFmtId="174" fontId="5" fillId="36" borderId="79" xfId="59" applyNumberFormat="1" applyFont="1" applyFill="1" applyBorder="1" applyAlignment="1">
      <alignment horizontal="left"/>
      <protection/>
    </xf>
    <xf numFmtId="174" fontId="5" fillId="36" borderId="80" xfId="59" applyNumberFormat="1" applyFont="1" applyFill="1" applyBorder="1" applyAlignment="1">
      <alignment horizontal="left"/>
      <protection/>
    </xf>
    <xf numFmtId="174" fontId="5" fillId="36" borderId="81" xfId="59" applyNumberFormat="1" applyFont="1" applyFill="1" applyBorder="1" applyAlignment="1">
      <alignment horizontal="left"/>
      <protection/>
    </xf>
    <xf numFmtId="174" fontId="5" fillId="13" borderId="82" xfId="59" applyNumberFormat="1" applyFont="1" applyFill="1" applyBorder="1" applyAlignment="1">
      <alignment horizontal="left"/>
      <protection/>
    </xf>
    <xf numFmtId="174" fontId="5" fillId="13" borderId="83" xfId="59" applyNumberFormat="1" applyFont="1" applyFill="1" applyBorder="1" applyAlignment="1">
      <alignment horizontal="left"/>
      <protection/>
    </xf>
    <xf numFmtId="174" fontId="5" fillId="13" borderId="84" xfId="59" applyNumberFormat="1" applyFont="1" applyFill="1" applyBorder="1" applyAlignment="1">
      <alignment horizontal="left"/>
      <protection/>
    </xf>
    <xf numFmtId="0" fontId="5" fillId="36" borderId="85" xfId="59" applyFont="1" applyFill="1" applyBorder="1" applyAlignment="1">
      <alignment horizontal="left"/>
      <protection/>
    </xf>
    <xf numFmtId="0" fontId="5" fillId="36" borderId="12" xfId="59" applyFont="1" applyFill="1" applyBorder="1" applyAlignment="1">
      <alignment horizontal="left"/>
      <protection/>
    </xf>
    <xf numFmtId="0" fontId="5" fillId="36" borderId="86" xfId="59" applyFont="1" applyFill="1" applyBorder="1" applyAlignment="1">
      <alignment horizontal="left"/>
      <protection/>
    </xf>
    <xf numFmtId="0" fontId="5" fillId="36" borderId="40" xfId="59" applyFont="1" applyFill="1" applyBorder="1" applyAlignment="1">
      <alignment horizontal="left" vertical="center"/>
      <protection/>
    </xf>
    <xf numFmtId="0" fontId="5" fillId="36" borderId="12" xfId="59" applyFont="1" applyFill="1" applyBorder="1" applyAlignment="1">
      <alignment horizontal="left" vertical="center"/>
      <protection/>
    </xf>
    <xf numFmtId="0" fontId="5" fillId="36" borderId="57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0" fontId="5" fillId="0" borderId="40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57" xfId="59" applyFont="1" applyBorder="1" applyAlignment="1">
      <alignment horizontal="right" vertical="center"/>
      <protection/>
    </xf>
    <xf numFmtId="0" fontId="20" fillId="0" borderId="0" xfId="59" applyFont="1" applyAlignment="1">
      <alignment horizontal="right"/>
      <protection/>
    </xf>
    <xf numFmtId="175" fontId="19" fillId="0" borderId="19" xfId="44" applyNumberFormat="1" applyFont="1" applyFill="1" applyBorder="1" applyAlignment="1">
      <alignment horizontal="center" vertical="center"/>
    </xf>
    <xf numFmtId="175" fontId="19" fillId="0" borderId="21" xfId="44" applyNumberFormat="1" applyFont="1" applyFill="1" applyBorder="1" applyAlignment="1">
      <alignment horizontal="center" vertical="center"/>
    </xf>
    <xf numFmtId="0" fontId="19" fillId="0" borderId="19" xfId="59" applyFont="1" applyFill="1" applyBorder="1" applyAlignment="1">
      <alignment horizontal="center" wrapText="1"/>
      <protection/>
    </xf>
    <xf numFmtId="0" fontId="19" fillId="0" borderId="21" xfId="59" applyFont="1" applyFill="1" applyBorder="1" applyAlignment="1">
      <alignment horizontal="center" wrapText="1"/>
      <protection/>
    </xf>
    <xf numFmtId="3" fontId="19" fillId="0" borderId="19" xfId="59" applyNumberFormat="1" applyFont="1" applyFill="1" applyBorder="1" applyAlignment="1">
      <alignment horizontal="center" vertical="center" wrapText="1"/>
      <protection/>
    </xf>
    <xf numFmtId="0" fontId="21" fillId="0" borderId="66" xfId="59" applyFont="1" applyFill="1" applyBorder="1" applyAlignment="1">
      <alignment horizontal="center" vertical="center"/>
      <protection/>
    </xf>
    <xf numFmtId="0" fontId="21" fillId="0" borderId="67" xfId="59" applyFont="1" applyFill="1" applyBorder="1" applyAlignment="1">
      <alignment horizontal="center" vertical="center"/>
      <protection/>
    </xf>
    <xf numFmtId="3" fontId="21" fillId="0" borderId="19" xfId="59" applyNumberFormat="1" applyFont="1" applyFill="1" applyBorder="1" applyAlignment="1">
      <alignment horizontal="center" vertical="center" wrapText="1"/>
      <protection/>
    </xf>
    <xf numFmtId="0" fontId="21" fillId="0" borderId="21" xfId="59" applyFont="1" applyFill="1" applyBorder="1" applyAlignment="1">
      <alignment horizontal="center" vertical="center" wrapText="1"/>
      <protection/>
    </xf>
    <xf numFmtId="175" fontId="21" fillId="0" borderId="19" xfId="44" applyNumberFormat="1" applyFont="1" applyFill="1" applyBorder="1" applyAlignment="1">
      <alignment horizontal="center" vertical="center"/>
    </xf>
    <xf numFmtId="175" fontId="21" fillId="0" borderId="21" xfId="44" applyNumberFormat="1" applyFont="1" applyFill="1" applyBorder="1" applyAlignment="1">
      <alignment horizontal="center" vertical="center"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0" borderId="66" xfId="59" applyFont="1" applyFill="1" applyBorder="1" applyAlignment="1">
      <alignment horizontal="center"/>
      <protection/>
    </xf>
    <xf numFmtId="0" fontId="19" fillId="0" borderId="67" xfId="59" applyFont="1" applyFill="1" applyBorder="1" applyAlignment="1">
      <alignment horizontal="center"/>
      <protection/>
    </xf>
    <xf numFmtId="174" fontId="5" fillId="36" borderId="87" xfId="59" applyNumberFormat="1" applyFont="1" applyFill="1" applyBorder="1" applyAlignment="1">
      <alignment horizontal="left"/>
      <protection/>
    </xf>
    <xf numFmtId="174" fontId="5" fillId="36" borderId="88" xfId="59" applyNumberFormat="1" applyFont="1" applyFill="1" applyBorder="1" applyAlignment="1">
      <alignment horizontal="left"/>
      <protection/>
    </xf>
    <xf numFmtId="174" fontId="5" fillId="36" borderId="89" xfId="59" applyNumberFormat="1" applyFont="1" applyFill="1" applyBorder="1" applyAlignment="1">
      <alignment horizontal="left"/>
      <protection/>
    </xf>
    <xf numFmtId="0" fontId="5" fillId="36" borderId="40" xfId="59" applyFont="1" applyFill="1" applyBorder="1" applyAlignment="1">
      <alignment horizontal="left"/>
      <protection/>
    </xf>
    <xf numFmtId="0" fontId="5" fillId="36" borderId="57" xfId="59" applyFont="1" applyFill="1" applyBorder="1" applyAlignment="1">
      <alignment horizontal="left"/>
      <protection/>
    </xf>
    <xf numFmtId="174" fontId="5" fillId="13" borderId="35" xfId="59" applyNumberFormat="1" applyFont="1" applyFill="1" applyBorder="1" applyAlignment="1">
      <alignment horizontal="left"/>
      <protection/>
    </xf>
    <xf numFmtId="0" fontId="5" fillId="13" borderId="35" xfId="59" applyFont="1" applyFill="1" applyBorder="1" applyAlignment="1">
      <alignment horizontal="left"/>
      <protection/>
    </xf>
    <xf numFmtId="174" fontId="5" fillId="36" borderId="40" xfId="59" applyNumberFormat="1" applyFont="1" applyFill="1" applyBorder="1" applyAlignment="1">
      <alignment horizontal="left"/>
      <protection/>
    </xf>
    <xf numFmtId="174" fontId="5" fillId="36" borderId="12" xfId="59" applyNumberFormat="1" applyFont="1" applyFill="1" applyBorder="1" applyAlignment="1">
      <alignment horizontal="left"/>
      <protection/>
    </xf>
    <xf numFmtId="174" fontId="5" fillId="36" borderId="57" xfId="59" applyNumberFormat="1" applyFont="1" applyFill="1" applyBorder="1" applyAlignment="1">
      <alignment horizontal="left"/>
      <protection/>
    </xf>
    <xf numFmtId="174" fontId="5" fillId="35" borderId="90" xfId="59" applyNumberFormat="1" applyFont="1" applyFill="1" applyBorder="1" applyAlignment="1">
      <alignment horizontal="left"/>
      <protection/>
    </xf>
    <xf numFmtId="174" fontId="5" fillId="35" borderId="91" xfId="59" applyNumberFormat="1" applyFont="1" applyFill="1" applyBorder="1" applyAlignment="1">
      <alignment horizontal="left"/>
      <protection/>
    </xf>
    <xf numFmtId="174" fontId="5" fillId="35" borderId="92" xfId="59" applyNumberFormat="1" applyFont="1" applyFill="1" applyBorder="1" applyAlignment="1">
      <alignment horizontal="left"/>
      <protection/>
    </xf>
    <xf numFmtId="174" fontId="11" fillId="13" borderId="93" xfId="59" applyNumberFormat="1" applyFont="1" applyFill="1" applyBorder="1" applyAlignment="1">
      <alignment horizontal="left"/>
      <protection/>
    </xf>
    <xf numFmtId="174" fontId="11" fillId="13" borderId="83" xfId="59" applyNumberFormat="1" applyFont="1" applyFill="1" applyBorder="1" applyAlignment="1">
      <alignment horizontal="left"/>
      <protection/>
    </xf>
    <xf numFmtId="174" fontId="11" fillId="13" borderId="94" xfId="59" applyNumberFormat="1" applyFont="1" applyFill="1" applyBorder="1" applyAlignment="1">
      <alignment horizontal="left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 2 2" xfId="63"/>
    <cellStyle name="Normal 6 2" xfId="64"/>
    <cellStyle name="Normal 6 2 3" xfId="65"/>
    <cellStyle name="Normal 7" xfId="66"/>
    <cellStyle name="Normal_Pamatformas 2" xfId="67"/>
    <cellStyle name="Note" xfId="68"/>
    <cellStyle name="Output" xfId="69"/>
    <cellStyle name="Percent" xfId="70"/>
    <cellStyle name="Percent 2 3" xfId="71"/>
    <cellStyle name="Percent 4 2" xfId="72"/>
    <cellStyle name="Percent 6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A95" sqref="A95:IV95"/>
    </sheetView>
  </sheetViews>
  <sheetFormatPr defaultColWidth="9.140625" defaultRowHeight="15"/>
  <cols>
    <col min="1" max="1" width="9.8515625" style="99" customWidth="1"/>
    <col min="2" max="2" width="41.57421875" style="100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1:7" ht="15">
      <c r="A1" s="1"/>
      <c r="D1" s="382" t="s">
        <v>970</v>
      </c>
      <c r="E1" s="382"/>
      <c r="G1" s="63"/>
    </row>
    <row r="2" spans="2:5" ht="15">
      <c r="B2" s="382" t="s">
        <v>972</v>
      </c>
      <c r="C2" s="382"/>
      <c r="D2" s="382"/>
      <c r="E2" s="382"/>
    </row>
    <row r="3" spans="3:5" ht="15">
      <c r="C3" s="383" t="s">
        <v>971</v>
      </c>
      <c r="D3" s="383"/>
      <c r="E3" s="383"/>
    </row>
    <row r="5" spans="1:5" ht="39.75" customHeight="1">
      <c r="A5" s="384" t="s">
        <v>973</v>
      </c>
      <c r="B5" s="385"/>
      <c r="C5" s="385"/>
      <c r="D5" s="385"/>
      <c r="E5" s="385"/>
    </row>
    <row r="6" spans="1:5" ht="23.25" customHeight="1">
      <c r="A6" s="386" t="s">
        <v>0</v>
      </c>
      <c r="B6" s="386"/>
      <c r="C6" s="386"/>
      <c r="D6" s="386"/>
      <c r="E6" s="386"/>
    </row>
    <row r="7" ht="15">
      <c r="E7" s="101"/>
    </row>
    <row r="8" spans="1:5" ht="38.25">
      <c r="A8" s="98" t="s">
        <v>1</v>
      </c>
      <c r="B8" s="98" t="s">
        <v>2</v>
      </c>
      <c r="C8" s="98" t="s">
        <v>497</v>
      </c>
      <c r="D8" s="98" t="s">
        <v>496</v>
      </c>
      <c r="E8" s="316" t="s">
        <v>796</v>
      </c>
    </row>
    <row r="9" spans="1:5" ht="21.75" customHeight="1">
      <c r="A9" s="4"/>
      <c r="B9" s="5" t="s">
        <v>3</v>
      </c>
      <c r="C9" s="6">
        <f>C10+C20+C50+C60</f>
        <v>87790230</v>
      </c>
      <c r="D9" s="6">
        <f>D10+D20+D50+D60</f>
        <v>980844</v>
      </c>
      <c r="E9" s="6">
        <f>E10+E20+E50+E60</f>
        <v>88771074</v>
      </c>
    </row>
    <row r="10" spans="1:5" ht="15">
      <c r="A10" s="7"/>
      <c r="B10" s="8" t="s">
        <v>4</v>
      </c>
      <c r="C10" s="9">
        <f>C11+C13+C17</f>
        <v>52104903</v>
      </c>
      <c r="D10" s="9">
        <f>D11+D13+D17</f>
        <v>283809</v>
      </c>
      <c r="E10" s="9">
        <f>E11+E13+E17</f>
        <v>52388712</v>
      </c>
    </row>
    <row r="11" spans="1:5" ht="17.25" customHeight="1">
      <c r="A11" s="10" t="s">
        <v>5</v>
      </c>
      <c r="B11" s="11" t="s">
        <v>6</v>
      </c>
      <c r="C11" s="12">
        <f>C12</f>
        <v>48220903</v>
      </c>
      <c r="D11" s="12">
        <f>D12</f>
        <v>283809</v>
      </c>
      <c r="E11" s="12">
        <f>E12</f>
        <v>48504712</v>
      </c>
    </row>
    <row r="12" spans="1:5" ht="38.25">
      <c r="A12" s="16" t="s">
        <v>8</v>
      </c>
      <c r="B12" s="17" t="s">
        <v>430</v>
      </c>
      <c r="C12" s="18">
        <v>48220903</v>
      </c>
      <c r="D12" s="15">
        <v>283809</v>
      </c>
      <c r="E12" s="18">
        <f>C12+D12</f>
        <v>48504712</v>
      </c>
    </row>
    <row r="13" spans="1:5" ht="15">
      <c r="A13" s="10" t="s">
        <v>9</v>
      </c>
      <c r="B13" s="11" t="s">
        <v>10</v>
      </c>
      <c r="C13" s="12">
        <f>C14+C15+C16</f>
        <v>3794000</v>
      </c>
      <c r="D13" s="12">
        <f>D14+D15+D16</f>
        <v>0</v>
      </c>
      <c r="E13" s="12">
        <f>E14+E15+E16</f>
        <v>3794000</v>
      </c>
    </row>
    <row r="14" spans="1:5" ht="15">
      <c r="A14" s="16" t="s">
        <v>11</v>
      </c>
      <c r="B14" s="17" t="s">
        <v>12</v>
      </c>
      <c r="C14" s="18">
        <v>1438561</v>
      </c>
      <c r="D14" s="18">
        <v>0</v>
      </c>
      <c r="E14" s="18">
        <f>C14+D14</f>
        <v>1438561</v>
      </c>
    </row>
    <row r="15" spans="1:5" ht="15">
      <c r="A15" s="16" t="s">
        <v>13</v>
      </c>
      <c r="B15" s="17" t="s">
        <v>14</v>
      </c>
      <c r="C15" s="18">
        <v>1499393</v>
      </c>
      <c r="D15" s="18">
        <v>0</v>
      </c>
      <c r="E15" s="18">
        <f>C15+D15</f>
        <v>1499393</v>
      </c>
    </row>
    <row r="16" spans="1:5" ht="15">
      <c r="A16" s="16" t="s">
        <v>15</v>
      </c>
      <c r="B16" s="17" t="s">
        <v>16</v>
      </c>
      <c r="C16" s="18">
        <v>856046</v>
      </c>
      <c r="D16" s="18">
        <v>0</v>
      </c>
      <c r="E16" s="18">
        <f>C16+D16</f>
        <v>856046</v>
      </c>
    </row>
    <row r="17" spans="1:5" ht="15">
      <c r="A17" s="10" t="s">
        <v>156</v>
      </c>
      <c r="B17" s="11" t="s">
        <v>431</v>
      </c>
      <c r="C17" s="12">
        <f>C18+C19</f>
        <v>90000</v>
      </c>
      <c r="D17" s="12">
        <f>D18+D19</f>
        <v>0</v>
      </c>
      <c r="E17" s="12">
        <f>E18+E19</f>
        <v>90000</v>
      </c>
    </row>
    <row r="18" spans="1:5" ht="15">
      <c r="A18" s="16" t="s">
        <v>17</v>
      </c>
      <c r="B18" s="17" t="s">
        <v>18</v>
      </c>
      <c r="C18" s="18">
        <v>60000</v>
      </c>
      <c r="D18" s="18">
        <v>0</v>
      </c>
      <c r="E18" s="18">
        <f>C18+D18</f>
        <v>60000</v>
      </c>
    </row>
    <row r="19" spans="1:5" ht="15">
      <c r="A19" s="16" t="s">
        <v>19</v>
      </c>
      <c r="B19" s="20" t="s">
        <v>20</v>
      </c>
      <c r="C19" s="18">
        <v>30000</v>
      </c>
      <c r="D19" s="18">
        <v>0</v>
      </c>
      <c r="E19" s="18">
        <f>C19+D19</f>
        <v>30000</v>
      </c>
    </row>
    <row r="20" spans="1:7" ht="15">
      <c r="A20" s="7"/>
      <c r="B20" s="8" t="s">
        <v>21</v>
      </c>
      <c r="C20" s="9">
        <f>C21+C35+C39+C46</f>
        <v>345617</v>
      </c>
      <c r="D20" s="9">
        <f>D21+D35+D39+D46</f>
        <v>275385</v>
      </c>
      <c r="E20" s="9">
        <f>E21+E35+E39+E46</f>
        <v>621002</v>
      </c>
      <c r="G20" s="64"/>
    </row>
    <row r="21" spans="1:7" ht="15">
      <c r="A21" s="10" t="s">
        <v>22</v>
      </c>
      <c r="B21" s="11" t="s">
        <v>23</v>
      </c>
      <c r="C21" s="12">
        <f>C22+C27</f>
        <v>68600</v>
      </c>
      <c r="D21" s="12">
        <f>D22+D27</f>
        <v>0</v>
      </c>
      <c r="E21" s="12">
        <f>E22+E27</f>
        <v>68600</v>
      </c>
      <c r="G21" s="64"/>
    </row>
    <row r="22" spans="1:5" ht="15">
      <c r="A22" s="19" t="s">
        <v>24</v>
      </c>
      <c r="B22" s="11" t="s">
        <v>25</v>
      </c>
      <c r="C22" s="12">
        <f>SUM(C23:C26)</f>
        <v>16000</v>
      </c>
      <c r="D22" s="12">
        <f>SUM(D23:D26)</f>
        <v>0</v>
      </c>
      <c r="E22" s="12">
        <f>SUM(E23:E26)</f>
        <v>16000</v>
      </c>
    </row>
    <row r="23" spans="1:5" ht="38.25">
      <c r="A23" s="16" t="s">
        <v>26</v>
      </c>
      <c r="B23" s="17" t="s">
        <v>27</v>
      </c>
      <c r="C23" s="18">
        <v>3000</v>
      </c>
      <c r="D23" s="18">
        <v>0</v>
      </c>
      <c r="E23" s="18">
        <f>C23+D23</f>
        <v>3000</v>
      </c>
    </row>
    <row r="24" spans="1:5" ht="63.75">
      <c r="A24" s="16" t="s">
        <v>28</v>
      </c>
      <c r="B24" s="17" t="s">
        <v>29</v>
      </c>
      <c r="C24" s="18">
        <v>10000</v>
      </c>
      <c r="D24" s="18">
        <v>0</v>
      </c>
      <c r="E24" s="18">
        <f aca="true" t="shared" si="0" ref="E24:E34">C24+D24</f>
        <v>10000</v>
      </c>
    </row>
    <row r="25" spans="1:5" ht="25.5">
      <c r="A25" s="16" t="s">
        <v>498</v>
      </c>
      <c r="B25" s="17" t="s">
        <v>499</v>
      </c>
      <c r="C25" s="18">
        <v>500</v>
      </c>
      <c r="D25" s="18">
        <v>0</v>
      </c>
      <c r="E25" s="18">
        <f t="shared" si="0"/>
        <v>500</v>
      </c>
    </row>
    <row r="26" spans="1:5" ht="25.5">
      <c r="A26" s="16" t="s">
        <v>30</v>
      </c>
      <c r="B26" s="17" t="s">
        <v>31</v>
      </c>
      <c r="C26" s="18">
        <v>2500</v>
      </c>
      <c r="D26" s="18">
        <v>0</v>
      </c>
      <c r="E26" s="18">
        <f t="shared" si="0"/>
        <v>2500</v>
      </c>
    </row>
    <row r="27" spans="1:5" ht="15">
      <c r="A27" s="19" t="s">
        <v>32</v>
      </c>
      <c r="B27" s="11" t="s">
        <v>33</v>
      </c>
      <c r="C27" s="12">
        <f>SUM(C28:C34)</f>
        <v>52600</v>
      </c>
      <c r="D27" s="12">
        <f>SUM(D28:D34)</f>
        <v>0</v>
      </c>
      <c r="E27" s="12">
        <f>SUM(E28:E34)</f>
        <v>52600</v>
      </c>
    </row>
    <row r="28" spans="1:5" ht="39">
      <c r="A28" s="16" t="s">
        <v>34</v>
      </c>
      <c r="B28" s="20" t="s">
        <v>35</v>
      </c>
      <c r="C28" s="18">
        <v>11000</v>
      </c>
      <c r="D28" s="15">
        <v>0</v>
      </c>
      <c r="E28" s="18">
        <f t="shared" si="0"/>
        <v>11000</v>
      </c>
    </row>
    <row r="29" spans="1:5" ht="26.25">
      <c r="A29" s="16" t="s">
        <v>36</v>
      </c>
      <c r="B29" s="20" t="s">
        <v>37</v>
      </c>
      <c r="C29" s="18">
        <v>500</v>
      </c>
      <c r="D29" s="15">
        <v>0</v>
      </c>
      <c r="E29" s="18">
        <f t="shared" si="0"/>
        <v>500</v>
      </c>
    </row>
    <row r="30" spans="1:5" ht="26.25">
      <c r="A30" s="16" t="s">
        <v>38</v>
      </c>
      <c r="B30" s="20" t="s">
        <v>39</v>
      </c>
      <c r="C30" s="18">
        <v>2900</v>
      </c>
      <c r="D30" s="15">
        <v>0</v>
      </c>
      <c r="E30" s="18">
        <f t="shared" si="0"/>
        <v>2900</v>
      </c>
    </row>
    <row r="31" spans="1:5" ht="15">
      <c r="A31" s="16" t="s">
        <v>40</v>
      </c>
      <c r="B31" s="20" t="s">
        <v>41</v>
      </c>
      <c r="C31" s="18">
        <v>3700</v>
      </c>
      <c r="D31" s="15">
        <v>0</v>
      </c>
      <c r="E31" s="18">
        <f t="shared" si="0"/>
        <v>3700</v>
      </c>
    </row>
    <row r="32" spans="1:5" ht="28.5" customHeight="1">
      <c r="A32" s="16" t="s">
        <v>42</v>
      </c>
      <c r="B32" s="20" t="s">
        <v>43</v>
      </c>
      <c r="C32" s="18">
        <v>10000</v>
      </c>
      <c r="D32" s="18">
        <v>0</v>
      </c>
      <c r="E32" s="18">
        <f t="shared" si="0"/>
        <v>10000</v>
      </c>
    </row>
    <row r="33" spans="1:5" ht="26.25">
      <c r="A33" s="16" t="s">
        <v>44</v>
      </c>
      <c r="B33" s="20" t="s">
        <v>45</v>
      </c>
      <c r="C33" s="18">
        <v>20000</v>
      </c>
      <c r="D33" s="18">
        <v>0</v>
      </c>
      <c r="E33" s="18">
        <f t="shared" si="0"/>
        <v>20000</v>
      </c>
    </row>
    <row r="34" spans="1:5" ht="15">
      <c r="A34" s="16" t="s">
        <v>46</v>
      </c>
      <c r="B34" s="20" t="s">
        <v>47</v>
      </c>
      <c r="C34" s="18">
        <v>4500</v>
      </c>
      <c r="D34" s="18">
        <v>0</v>
      </c>
      <c r="E34" s="18">
        <f t="shared" si="0"/>
        <v>4500</v>
      </c>
    </row>
    <row r="35" spans="1:5" ht="15">
      <c r="A35" s="10" t="s">
        <v>48</v>
      </c>
      <c r="B35" s="11" t="s">
        <v>49</v>
      </c>
      <c r="C35" s="12">
        <f>C36</f>
        <v>142000</v>
      </c>
      <c r="D35" s="12">
        <f>D36</f>
        <v>0</v>
      </c>
      <c r="E35" s="12">
        <f>E36</f>
        <v>142000</v>
      </c>
    </row>
    <row r="36" spans="1:5" ht="15">
      <c r="A36" s="19" t="s">
        <v>50</v>
      </c>
      <c r="B36" s="11" t="s">
        <v>51</v>
      </c>
      <c r="C36" s="12">
        <f>SUM(C37:C38)</f>
        <v>142000</v>
      </c>
      <c r="D36" s="12">
        <f>SUM(D37:D38)</f>
        <v>0</v>
      </c>
      <c r="E36" s="12">
        <f>SUM(E37:E38)</f>
        <v>142000</v>
      </c>
    </row>
    <row r="37" spans="1:5" ht="15">
      <c r="A37" s="16" t="s">
        <v>52</v>
      </c>
      <c r="B37" s="17" t="s">
        <v>53</v>
      </c>
      <c r="C37" s="18">
        <v>57000</v>
      </c>
      <c r="D37" s="18">
        <v>0</v>
      </c>
      <c r="E37" s="18">
        <f>C37+D37</f>
        <v>57000</v>
      </c>
    </row>
    <row r="38" spans="1:5" ht="24.75" customHeight="1">
      <c r="A38" s="16" t="s">
        <v>54</v>
      </c>
      <c r="B38" s="17" t="s">
        <v>55</v>
      </c>
      <c r="C38" s="18">
        <v>85000</v>
      </c>
      <c r="D38" s="18">
        <v>0</v>
      </c>
      <c r="E38" s="18">
        <f>C38+D38</f>
        <v>85000</v>
      </c>
    </row>
    <row r="39" spans="1:5" ht="15">
      <c r="A39" s="21" t="s">
        <v>56</v>
      </c>
      <c r="B39" s="22" t="s">
        <v>57</v>
      </c>
      <c r="C39" s="23">
        <f>C40+C42</f>
        <v>0</v>
      </c>
      <c r="D39" s="23">
        <f>D40+D42</f>
        <v>9415</v>
      </c>
      <c r="E39" s="23">
        <f>E40+E42</f>
        <v>9415</v>
      </c>
    </row>
    <row r="40" spans="1:5" ht="38.25" hidden="1">
      <c r="A40" s="24" t="s">
        <v>58</v>
      </c>
      <c r="B40" s="22" t="s">
        <v>59</v>
      </c>
      <c r="C40" s="23">
        <f>C41</f>
        <v>0</v>
      </c>
      <c r="D40" s="23">
        <f>D41</f>
        <v>0</v>
      </c>
      <c r="E40" s="23">
        <f>E41</f>
        <v>0</v>
      </c>
    </row>
    <row r="41" spans="1:5" ht="59.25" customHeight="1" hidden="1">
      <c r="A41" s="13" t="s">
        <v>494</v>
      </c>
      <c r="B41" s="14" t="s">
        <v>495</v>
      </c>
      <c r="C41" s="15">
        <v>0</v>
      </c>
      <c r="D41" s="15">
        <v>0</v>
      </c>
      <c r="E41" s="15">
        <f>C41+D41</f>
        <v>0</v>
      </c>
    </row>
    <row r="42" spans="1:5" ht="15">
      <c r="A42" s="24" t="s">
        <v>60</v>
      </c>
      <c r="B42" s="22" t="s">
        <v>61</v>
      </c>
      <c r="C42" s="23">
        <f>C45+C43+C44</f>
        <v>0</v>
      </c>
      <c r="D42" s="23">
        <f>D45+D43+D44</f>
        <v>9415</v>
      </c>
      <c r="E42" s="23">
        <f>E45+E43+E44</f>
        <v>9415</v>
      </c>
    </row>
    <row r="43" spans="1:5" ht="15.75" customHeight="1">
      <c r="A43" s="13" t="s">
        <v>62</v>
      </c>
      <c r="B43" s="14" t="s">
        <v>63</v>
      </c>
      <c r="C43" s="15">
        <v>0</v>
      </c>
      <c r="D43" s="15">
        <v>9415</v>
      </c>
      <c r="E43" s="15">
        <f>C43+D43</f>
        <v>9415</v>
      </c>
    </row>
    <row r="44" spans="1:5" ht="25.5" hidden="1">
      <c r="A44" s="25" t="s">
        <v>64</v>
      </c>
      <c r="B44" s="26" t="s">
        <v>65</v>
      </c>
      <c r="C44" s="27">
        <v>0</v>
      </c>
      <c r="D44" s="27">
        <v>0</v>
      </c>
      <c r="E44" s="27">
        <f>C44+D44</f>
        <v>0</v>
      </c>
    </row>
    <row r="45" spans="1:5" ht="31.5" customHeight="1" hidden="1">
      <c r="A45" s="25" t="s">
        <v>66</v>
      </c>
      <c r="B45" s="26" t="s">
        <v>67</v>
      </c>
      <c r="C45" s="27">
        <v>0</v>
      </c>
      <c r="D45" s="27">
        <v>0</v>
      </c>
      <c r="E45" s="27">
        <f>C45+D45</f>
        <v>0</v>
      </c>
    </row>
    <row r="46" spans="1:5" ht="42.75" customHeight="1">
      <c r="A46" s="10" t="s">
        <v>68</v>
      </c>
      <c r="B46" s="11" t="s">
        <v>69</v>
      </c>
      <c r="C46" s="12">
        <f>SUM(C47:C49)</f>
        <v>135017</v>
      </c>
      <c r="D46" s="12">
        <f>SUM(D47:D49)</f>
        <v>265970</v>
      </c>
      <c r="E46" s="12">
        <f>SUM(E47:E49)</f>
        <v>400987</v>
      </c>
    </row>
    <row r="47" spans="1:5" ht="15" customHeight="1">
      <c r="A47" s="16" t="s">
        <v>70</v>
      </c>
      <c r="B47" s="17" t="s">
        <v>71</v>
      </c>
      <c r="C47" s="18">
        <v>110218</v>
      </c>
      <c r="D47" s="18">
        <v>0</v>
      </c>
      <c r="E47" s="18">
        <f>C47+D47</f>
        <v>110218</v>
      </c>
    </row>
    <row r="48" spans="1:5" ht="15">
      <c r="A48" s="16" t="s">
        <v>72</v>
      </c>
      <c r="B48" s="17" t="s">
        <v>73</v>
      </c>
      <c r="C48" s="18">
        <v>24799</v>
      </c>
      <c r="D48" s="18">
        <v>0</v>
      </c>
      <c r="E48" s="18">
        <f>C48+D48</f>
        <v>24799</v>
      </c>
    </row>
    <row r="49" spans="1:5" ht="30" customHeight="1">
      <c r="A49" s="13" t="s">
        <v>74</v>
      </c>
      <c r="B49" s="14" t="s">
        <v>75</v>
      </c>
      <c r="C49" s="15">
        <v>0</v>
      </c>
      <c r="D49" s="15">
        <v>265970</v>
      </c>
      <c r="E49" s="15">
        <f>C49+D49</f>
        <v>265970</v>
      </c>
    </row>
    <row r="50" spans="1:5" ht="15">
      <c r="A50" s="28"/>
      <c r="B50" s="8" t="s">
        <v>76</v>
      </c>
      <c r="C50" s="29">
        <f>C53+C58+C51</f>
        <v>33639865</v>
      </c>
      <c r="D50" s="29">
        <f>D53+D58+D51</f>
        <v>133498</v>
      </c>
      <c r="E50" s="29">
        <f>E53+E58+E51</f>
        <v>33773363</v>
      </c>
    </row>
    <row r="51" spans="1:5" s="65" customFormat="1" ht="26.25" customHeight="1">
      <c r="A51" s="30" t="s">
        <v>77</v>
      </c>
      <c r="B51" s="31" t="s">
        <v>78</v>
      </c>
      <c r="C51" s="32">
        <f>C52</f>
        <v>880616</v>
      </c>
      <c r="D51" s="23">
        <f>D52</f>
        <v>0</v>
      </c>
      <c r="E51" s="23">
        <f>E52</f>
        <v>880616</v>
      </c>
    </row>
    <row r="52" spans="1:5" s="65" customFormat="1" ht="39" customHeight="1">
      <c r="A52" s="33" t="s">
        <v>79</v>
      </c>
      <c r="B52" s="34" t="s">
        <v>80</v>
      </c>
      <c r="C52" s="35">
        <v>880616</v>
      </c>
      <c r="D52" s="15">
        <v>0</v>
      </c>
      <c r="E52" s="15">
        <f>C52+D52</f>
        <v>880616</v>
      </c>
    </row>
    <row r="53" spans="1:5" ht="15">
      <c r="A53" s="10" t="s">
        <v>81</v>
      </c>
      <c r="B53" s="11" t="s">
        <v>82</v>
      </c>
      <c r="C53" s="12">
        <f>C54</f>
        <v>31910421</v>
      </c>
      <c r="D53" s="12">
        <f>D54</f>
        <v>133498</v>
      </c>
      <c r="E53" s="12">
        <f>E54</f>
        <v>32043919</v>
      </c>
    </row>
    <row r="54" spans="1:5" ht="15">
      <c r="A54" s="19" t="s">
        <v>83</v>
      </c>
      <c r="B54" s="11" t="s">
        <v>84</v>
      </c>
      <c r="C54" s="12">
        <f>SUM(C55:C57)</f>
        <v>31910421</v>
      </c>
      <c r="D54" s="23">
        <f>SUM(D55:D57)</f>
        <v>133498</v>
      </c>
      <c r="E54" s="12">
        <f>SUM(E55:E57)</f>
        <v>32043919</v>
      </c>
    </row>
    <row r="55" spans="1:5" ht="15">
      <c r="A55" s="16" t="s">
        <v>85</v>
      </c>
      <c r="B55" s="17" t="s">
        <v>86</v>
      </c>
      <c r="C55" s="18">
        <v>21026314</v>
      </c>
      <c r="D55" s="15">
        <v>45925</v>
      </c>
      <c r="E55" s="18">
        <f>C55+D55</f>
        <v>21072239</v>
      </c>
    </row>
    <row r="56" spans="1:5" ht="65.25" customHeight="1">
      <c r="A56" s="16" t="s">
        <v>87</v>
      </c>
      <c r="B56" s="17" t="s">
        <v>88</v>
      </c>
      <c r="C56" s="18">
        <v>4258516</v>
      </c>
      <c r="D56" s="15">
        <v>74307</v>
      </c>
      <c r="E56" s="18">
        <f>C56+D56</f>
        <v>4332823</v>
      </c>
    </row>
    <row r="57" spans="1:5" ht="27.75" customHeight="1">
      <c r="A57" s="16" t="s">
        <v>89</v>
      </c>
      <c r="B57" s="17" t="s">
        <v>90</v>
      </c>
      <c r="C57" s="18">
        <v>6625591</v>
      </c>
      <c r="D57" s="15">
        <v>13266</v>
      </c>
      <c r="E57" s="18">
        <f>C57+D57</f>
        <v>6638857</v>
      </c>
    </row>
    <row r="58" spans="1:5" ht="15">
      <c r="A58" s="10" t="s">
        <v>91</v>
      </c>
      <c r="B58" s="11" t="s">
        <v>92</v>
      </c>
      <c r="C58" s="12">
        <f>C59</f>
        <v>848828</v>
      </c>
      <c r="D58" s="23">
        <f>D59</f>
        <v>0</v>
      </c>
      <c r="E58" s="12">
        <f>E59</f>
        <v>848828</v>
      </c>
    </row>
    <row r="59" spans="1:5" ht="25.5">
      <c r="A59" s="16" t="s">
        <v>93</v>
      </c>
      <c r="B59" s="17" t="s">
        <v>94</v>
      </c>
      <c r="C59" s="18">
        <v>848828</v>
      </c>
      <c r="D59" s="15">
        <v>0</v>
      </c>
      <c r="E59" s="18">
        <f>C59+D59</f>
        <v>848828</v>
      </c>
    </row>
    <row r="60" spans="1:5" ht="28.5">
      <c r="A60" s="7"/>
      <c r="B60" s="8" t="s">
        <v>95</v>
      </c>
      <c r="C60" s="9">
        <f>C61</f>
        <v>1699845</v>
      </c>
      <c r="D60" s="9">
        <f>D61</f>
        <v>288152</v>
      </c>
      <c r="E60" s="9">
        <f>E61</f>
        <v>1987997</v>
      </c>
    </row>
    <row r="61" spans="1:5" ht="15">
      <c r="A61" s="10" t="s">
        <v>96</v>
      </c>
      <c r="B61" s="11" t="s">
        <v>97</v>
      </c>
      <c r="C61" s="12">
        <f>C62+C67+C85</f>
        <v>1699845</v>
      </c>
      <c r="D61" s="12">
        <f>D62+D67+D85</f>
        <v>288152</v>
      </c>
      <c r="E61" s="12">
        <f>E62+E67+E85</f>
        <v>1987997</v>
      </c>
    </row>
    <row r="62" spans="1:5" ht="15" customHeight="1">
      <c r="A62" s="24" t="s">
        <v>98</v>
      </c>
      <c r="B62" s="22" t="s">
        <v>99</v>
      </c>
      <c r="C62" s="23">
        <f>C63+C66+C64+C65</f>
        <v>23748</v>
      </c>
      <c r="D62" s="23">
        <f>D63+D66+D64+D65</f>
        <v>16253</v>
      </c>
      <c r="E62" s="23">
        <f>E63+E66+E64+E65</f>
        <v>40001</v>
      </c>
    </row>
    <row r="63" spans="1:5" ht="25.5" hidden="1">
      <c r="A63" s="25" t="s">
        <v>100</v>
      </c>
      <c r="B63" s="26" t="s">
        <v>432</v>
      </c>
      <c r="C63" s="27">
        <v>0</v>
      </c>
      <c r="D63" s="27">
        <v>0</v>
      </c>
      <c r="E63" s="27">
        <f>C63+D63</f>
        <v>0</v>
      </c>
    </row>
    <row r="64" spans="1:5" ht="64.5" hidden="1">
      <c r="A64" s="69" t="s">
        <v>101</v>
      </c>
      <c r="B64" s="70" t="s">
        <v>433</v>
      </c>
      <c r="C64" s="27">
        <v>0</v>
      </c>
      <c r="D64" s="27">
        <v>0</v>
      </c>
      <c r="E64" s="27">
        <f>C64+D64</f>
        <v>0</v>
      </c>
    </row>
    <row r="65" spans="1:5" ht="77.25" hidden="1">
      <c r="A65" s="69" t="s">
        <v>458</v>
      </c>
      <c r="B65" s="70" t="s">
        <v>459</v>
      </c>
      <c r="C65" s="27">
        <v>0</v>
      </c>
      <c r="D65" s="27">
        <v>0</v>
      </c>
      <c r="E65" s="27">
        <f>C65+D65</f>
        <v>0</v>
      </c>
    </row>
    <row r="66" spans="1:5" ht="38.25">
      <c r="A66" s="13" t="s">
        <v>102</v>
      </c>
      <c r="B66" s="14" t="s">
        <v>103</v>
      </c>
      <c r="C66" s="15">
        <v>23748</v>
      </c>
      <c r="D66" s="15">
        <v>16253</v>
      </c>
      <c r="E66" s="15">
        <f>C66+D66</f>
        <v>40001</v>
      </c>
    </row>
    <row r="67" spans="1:5" ht="25.5">
      <c r="A67" s="19" t="s">
        <v>104</v>
      </c>
      <c r="B67" s="11" t="s">
        <v>105</v>
      </c>
      <c r="C67" s="23">
        <f>C68+C69+C72+C74+C79</f>
        <v>1523256</v>
      </c>
      <c r="D67" s="23">
        <f>D68+D69+D72+D74+D79</f>
        <v>262655</v>
      </c>
      <c r="E67" s="23">
        <f>E68+E69+E72+E74+E79</f>
        <v>1785911</v>
      </c>
    </row>
    <row r="68" spans="1:5" ht="42" customHeight="1" hidden="1">
      <c r="A68" s="25" t="s">
        <v>106</v>
      </c>
      <c r="B68" s="26" t="s">
        <v>107</v>
      </c>
      <c r="C68" s="27">
        <v>0</v>
      </c>
      <c r="D68" s="27">
        <v>0</v>
      </c>
      <c r="E68" s="27">
        <f>C68+D68</f>
        <v>0</v>
      </c>
    </row>
    <row r="69" spans="1:5" ht="15">
      <c r="A69" s="19" t="s">
        <v>108</v>
      </c>
      <c r="B69" s="36" t="s">
        <v>109</v>
      </c>
      <c r="C69" s="12">
        <f>SUM(C70:C71)</f>
        <v>273228</v>
      </c>
      <c r="D69" s="12">
        <f>SUM(D70:D71)</f>
        <v>37862</v>
      </c>
      <c r="E69" s="12">
        <f>SUM(E70:E71)</f>
        <v>311090</v>
      </c>
    </row>
    <row r="70" spans="1:5" ht="15">
      <c r="A70" s="16" t="s">
        <v>110</v>
      </c>
      <c r="B70" s="17" t="s">
        <v>111</v>
      </c>
      <c r="C70" s="18">
        <v>122750</v>
      </c>
      <c r="D70" s="15">
        <v>0</v>
      </c>
      <c r="E70" s="18">
        <f>C70+D70</f>
        <v>122750</v>
      </c>
    </row>
    <row r="71" spans="1:5" ht="15">
      <c r="A71" s="16" t="s">
        <v>112</v>
      </c>
      <c r="B71" s="17" t="s">
        <v>113</v>
      </c>
      <c r="C71" s="18">
        <v>150478</v>
      </c>
      <c r="D71" s="15">
        <v>37862</v>
      </c>
      <c r="E71" s="18">
        <f>C71+D71</f>
        <v>188340</v>
      </c>
    </row>
    <row r="72" spans="1:5" ht="25.5">
      <c r="A72" s="19" t="s">
        <v>114</v>
      </c>
      <c r="B72" s="36" t="s">
        <v>115</v>
      </c>
      <c r="C72" s="12">
        <f>C73</f>
        <v>590</v>
      </c>
      <c r="D72" s="12">
        <f>D73</f>
        <v>0</v>
      </c>
      <c r="E72" s="12">
        <f>E73</f>
        <v>590</v>
      </c>
    </row>
    <row r="73" spans="1:5" ht="25.5">
      <c r="A73" s="16" t="s">
        <v>116</v>
      </c>
      <c r="B73" s="17" t="s">
        <v>117</v>
      </c>
      <c r="C73" s="18">
        <v>590</v>
      </c>
      <c r="D73" s="15">
        <v>0</v>
      </c>
      <c r="E73" s="18">
        <f>C73+D73</f>
        <v>590</v>
      </c>
    </row>
    <row r="74" spans="1:5" ht="15">
      <c r="A74" s="19" t="s">
        <v>118</v>
      </c>
      <c r="B74" s="36" t="s">
        <v>119</v>
      </c>
      <c r="C74" s="12">
        <f>SUM(C75:C78)</f>
        <v>611999</v>
      </c>
      <c r="D74" s="12">
        <f>SUM(D75:D78)</f>
        <v>56448</v>
      </c>
      <c r="E74" s="12">
        <f>SUM(E75:E78)</f>
        <v>668447</v>
      </c>
    </row>
    <row r="75" spans="1:5" ht="25.5">
      <c r="A75" s="16" t="s">
        <v>460</v>
      </c>
      <c r="B75" s="17" t="s">
        <v>434</v>
      </c>
      <c r="C75" s="18">
        <v>415509</v>
      </c>
      <c r="D75" s="15">
        <v>56448</v>
      </c>
      <c r="E75" s="18">
        <f>C75+D75</f>
        <v>471957</v>
      </c>
    </row>
    <row r="76" spans="1:5" ht="15">
      <c r="A76" s="16" t="s">
        <v>120</v>
      </c>
      <c r="B76" s="17" t="s">
        <v>121</v>
      </c>
      <c r="C76" s="18">
        <v>53586</v>
      </c>
      <c r="D76" s="15">
        <v>0</v>
      </c>
      <c r="E76" s="18">
        <f>C76+D76</f>
        <v>53586</v>
      </c>
    </row>
    <row r="77" spans="1:5" ht="15">
      <c r="A77" s="16" t="s">
        <v>122</v>
      </c>
      <c r="B77" s="17" t="s">
        <v>123</v>
      </c>
      <c r="C77" s="18">
        <v>60008</v>
      </c>
      <c r="D77" s="15">
        <v>0</v>
      </c>
      <c r="E77" s="18">
        <f>C77+D77</f>
        <v>60008</v>
      </c>
    </row>
    <row r="78" spans="1:5" ht="15">
      <c r="A78" s="16" t="s">
        <v>124</v>
      </c>
      <c r="B78" s="17" t="s">
        <v>125</v>
      </c>
      <c r="C78" s="18">
        <v>82896</v>
      </c>
      <c r="D78" s="15">
        <v>0</v>
      </c>
      <c r="E78" s="18">
        <f>C78+D78</f>
        <v>82896</v>
      </c>
    </row>
    <row r="79" spans="1:5" ht="25.5">
      <c r="A79" s="19" t="s">
        <v>126</v>
      </c>
      <c r="B79" s="36" t="s">
        <v>127</v>
      </c>
      <c r="C79" s="12">
        <f>SUM(C80:C84)</f>
        <v>637439</v>
      </c>
      <c r="D79" s="12">
        <f>SUM(D80:D84)</f>
        <v>168345</v>
      </c>
      <c r="E79" s="12">
        <f>SUM(E80:E84)</f>
        <v>805784</v>
      </c>
    </row>
    <row r="80" spans="1:5" ht="25.5">
      <c r="A80" s="16" t="s">
        <v>128</v>
      </c>
      <c r="B80" s="17" t="s">
        <v>129</v>
      </c>
      <c r="C80" s="18">
        <v>22450</v>
      </c>
      <c r="D80" s="15">
        <v>0</v>
      </c>
      <c r="E80" s="18">
        <f>C80+D80</f>
        <v>22450</v>
      </c>
    </row>
    <row r="81" spans="1:5" ht="15">
      <c r="A81" s="16" t="s">
        <v>130</v>
      </c>
      <c r="B81" s="17" t="s">
        <v>131</v>
      </c>
      <c r="C81" s="18">
        <v>341400</v>
      </c>
      <c r="D81" s="15">
        <v>159046</v>
      </c>
      <c r="E81" s="18">
        <f>C81+D81</f>
        <v>500446</v>
      </c>
    </row>
    <row r="82" spans="1:5" ht="15">
      <c r="A82" s="16" t="s">
        <v>132</v>
      </c>
      <c r="B82" s="17" t="s">
        <v>133</v>
      </c>
      <c r="C82" s="18">
        <v>3442</v>
      </c>
      <c r="D82" s="15">
        <v>0</v>
      </c>
      <c r="E82" s="18">
        <f>C82+D82</f>
        <v>3442</v>
      </c>
    </row>
    <row r="83" spans="1:5" ht="51">
      <c r="A83" s="16" t="s">
        <v>803</v>
      </c>
      <c r="B83" s="17" t="s">
        <v>804</v>
      </c>
      <c r="C83" s="18">
        <v>0</v>
      </c>
      <c r="D83" s="15">
        <v>9299</v>
      </c>
      <c r="E83" s="18">
        <f>C83+D83</f>
        <v>9299</v>
      </c>
    </row>
    <row r="84" spans="1:5" ht="15">
      <c r="A84" s="16" t="s">
        <v>134</v>
      </c>
      <c r="B84" s="17" t="s">
        <v>135</v>
      </c>
      <c r="C84" s="18">
        <v>270147</v>
      </c>
      <c r="D84" s="15">
        <v>0</v>
      </c>
      <c r="E84" s="18">
        <f>C84+D84</f>
        <v>270147</v>
      </c>
    </row>
    <row r="85" spans="1:5" ht="42" customHeight="1">
      <c r="A85" s="19" t="s">
        <v>136</v>
      </c>
      <c r="B85" s="11" t="s">
        <v>137</v>
      </c>
      <c r="C85" s="12">
        <f>C86+C88+C87</f>
        <v>152841</v>
      </c>
      <c r="D85" s="12">
        <f>D86+D88+D87</f>
        <v>9244</v>
      </c>
      <c r="E85" s="12">
        <f>E86+E88+E87</f>
        <v>162085</v>
      </c>
    </row>
    <row r="86" spans="1:5" ht="15">
      <c r="A86" s="13" t="s">
        <v>456</v>
      </c>
      <c r="B86" s="14" t="s">
        <v>457</v>
      </c>
      <c r="C86" s="15">
        <v>22343</v>
      </c>
      <c r="D86" s="15">
        <v>0</v>
      </c>
      <c r="E86" s="15">
        <f>C86+D86</f>
        <v>22343</v>
      </c>
    </row>
    <row r="87" spans="1:5" ht="25.5">
      <c r="A87" s="13" t="s">
        <v>484</v>
      </c>
      <c r="B87" s="14" t="s">
        <v>485</v>
      </c>
      <c r="C87" s="15">
        <v>6557</v>
      </c>
      <c r="D87" s="15">
        <v>724</v>
      </c>
      <c r="E87" s="15">
        <f>C87+D87</f>
        <v>7281</v>
      </c>
    </row>
    <row r="88" spans="1:5" ht="15">
      <c r="A88" s="16" t="s">
        <v>435</v>
      </c>
      <c r="B88" s="17" t="s">
        <v>436</v>
      </c>
      <c r="C88" s="18">
        <v>123941</v>
      </c>
      <c r="D88" s="15">
        <v>8520</v>
      </c>
      <c r="E88" s="18">
        <f>C88+D88</f>
        <v>132461</v>
      </c>
    </row>
    <row r="89" spans="1:5" ht="15.75">
      <c r="A89" s="4"/>
      <c r="B89" s="5" t="s">
        <v>138</v>
      </c>
      <c r="C89" s="6">
        <f>C90+C91</f>
        <v>27237995</v>
      </c>
      <c r="D89" s="6">
        <f>D90+D91</f>
        <v>4306708</v>
      </c>
      <c r="E89" s="6">
        <f>E90+E91</f>
        <v>31544703</v>
      </c>
    </row>
    <row r="90" spans="1:5" ht="15">
      <c r="A90" s="37" t="s">
        <v>139</v>
      </c>
      <c r="B90" s="38" t="s">
        <v>140</v>
      </c>
      <c r="C90" s="18">
        <v>16412415</v>
      </c>
      <c r="D90" s="18">
        <v>0</v>
      </c>
      <c r="E90" s="18">
        <f>C90+D90</f>
        <v>16412415</v>
      </c>
    </row>
    <row r="91" spans="1:5" ht="15">
      <c r="A91" s="37" t="s">
        <v>141</v>
      </c>
      <c r="B91" s="38" t="s">
        <v>142</v>
      </c>
      <c r="C91" s="18">
        <v>10825580</v>
      </c>
      <c r="D91" s="15">
        <v>4306708</v>
      </c>
      <c r="E91" s="18">
        <f>C91+D91</f>
        <v>15132288</v>
      </c>
    </row>
    <row r="92" spans="1:5" ht="15.75">
      <c r="A92" s="39"/>
      <c r="B92" s="5" t="s">
        <v>143</v>
      </c>
      <c r="C92" s="6">
        <f>C9+C89</f>
        <v>115028225</v>
      </c>
      <c r="D92" s="6">
        <f>D9+D89</f>
        <v>5287552</v>
      </c>
      <c r="E92" s="6">
        <f>E9+E89</f>
        <v>120315777</v>
      </c>
    </row>
    <row r="93" ht="15">
      <c r="E93" s="64"/>
    </row>
    <row r="94" spans="1:5" ht="15">
      <c r="A94" s="387" t="s">
        <v>974</v>
      </c>
      <c r="B94" s="387"/>
      <c r="C94" s="387"/>
      <c r="D94" s="387"/>
      <c r="E94" s="387"/>
    </row>
    <row r="95" spans="1:5" ht="18.75">
      <c r="A95" s="71"/>
      <c r="B95" s="72"/>
      <c r="C95" s="73"/>
      <c r="D95" s="73"/>
      <c r="E95" s="73"/>
    </row>
  </sheetData>
  <sheetProtection/>
  <mergeCells count="6">
    <mergeCell ref="D1:E1"/>
    <mergeCell ref="B2:E2"/>
    <mergeCell ref="C3:E3"/>
    <mergeCell ref="A5:E5"/>
    <mergeCell ref="A6:E6"/>
    <mergeCell ref="A94:E94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7 E42 E46 E52 E58:E59 E67 E69 E72 E74 E79 E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31" sqref="A31:H31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387" t="s">
        <v>975</v>
      </c>
      <c r="H1" s="387"/>
      <c r="J1" s="63"/>
    </row>
    <row r="2" spans="6:10" ht="15">
      <c r="F2" s="387" t="s">
        <v>972</v>
      </c>
      <c r="G2" s="387"/>
      <c r="H2" s="387"/>
      <c r="I2" s="66"/>
      <c r="J2" s="63"/>
    </row>
    <row r="3" spans="8:10" ht="15">
      <c r="H3" s="317" t="s">
        <v>971</v>
      </c>
      <c r="I3" s="67"/>
      <c r="J3" s="67"/>
    </row>
    <row r="5" spans="1:8" ht="18.75">
      <c r="A5" s="389" t="s">
        <v>976</v>
      </c>
      <c r="B5" s="389"/>
      <c r="C5" s="389"/>
      <c r="D5" s="389"/>
      <c r="E5" s="389"/>
      <c r="F5" s="389"/>
      <c r="G5" s="389"/>
      <c r="H5" s="389"/>
    </row>
    <row r="6" spans="1:8" ht="15">
      <c r="A6" s="390" t="s">
        <v>144</v>
      </c>
      <c r="B6" s="390"/>
      <c r="C6" s="390"/>
      <c r="D6" s="390"/>
      <c r="E6" s="390"/>
      <c r="F6" s="390"/>
      <c r="G6" s="390"/>
      <c r="H6" s="390"/>
    </row>
    <row r="7" ht="15">
      <c r="H7" s="101"/>
    </row>
    <row r="8" spans="1:8" s="68" customFormat="1" ht="15" customHeight="1">
      <c r="A8" s="391" t="s">
        <v>1</v>
      </c>
      <c r="B8" s="391" t="s">
        <v>145</v>
      </c>
      <c r="C8" s="391" t="s">
        <v>497</v>
      </c>
      <c r="D8" s="392" t="s">
        <v>500</v>
      </c>
      <c r="E8" s="392"/>
      <c r="F8" s="392"/>
      <c r="G8" s="392"/>
      <c r="H8" s="391" t="str">
        <f>'1.pielikums'!E8</f>
        <v>Precizētais plāns uz 27.04.2023., EUR</v>
      </c>
    </row>
    <row r="9" spans="1:8" s="68" customFormat="1" ht="42.75">
      <c r="A9" s="391"/>
      <c r="B9" s="391"/>
      <c r="C9" s="391"/>
      <c r="D9" s="315" t="s">
        <v>146</v>
      </c>
      <c r="E9" s="315" t="s">
        <v>147</v>
      </c>
      <c r="F9" s="315" t="s">
        <v>82</v>
      </c>
      <c r="G9" s="315" t="s">
        <v>148</v>
      </c>
      <c r="H9" s="391"/>
    </row>
    <row r="10" spans="1:8" ht="37.5">
      <c r="A10" s="40"/>
      <c r="B10" s="41" t="s">
        <v>149</v>
      </c>
      <c r="C10" s="42">
        <f>SUM(C11:C19)</f>
        <v>109556977</v>
      </c>
      <c r="D10" s="42">
        <f>SUM(D11:D19)</f>
        <v>5090339</v>
      </c>
      <c r="E10" s="42">
        <f>SUM(E11:E19)</f>
        <v>297567</v>
      </c>
      <c r="F10" s="42">
        <f>SUM(F11:F19)</f>
        <v>80173</v>
      </c>
      <c r="G10" s="42">
        <f>SUM(G11:G19)</f>
        <v>0</v>
      </c>
      <c r="H10" s="42">
        <f>C10+D10+E10+F10+G10</f>
        <v>115025056</v>
      </c>
    </row>
    <row r="11" spans="1:8" ht="15">
      <c r="A11" s="43" t="s">
        <v>150</v>
      </c>
      <c r="B11" s="44" t="s">
        <v>151</v>
      </c>
      <c r="C11" s="45">
        <v>11331158</v>
      </c>
      <c r="D11" s="318">
        <f>'3.pielikums'!E12</f>
        <v>149000</v>
      </c>
      <c r="E11" s="318">
        <f>'3.pielikums'!G12</f>
        <v>0</v>
      </c>
      <c r="F11" s="318">
        <f>'3.pielikums'!I12</f>
        <v>0</v>
      </c>
      <c r="G11" s="318">
        <f>'3.pielikums'!K12</f>
        <v>0</v>
      </c>
      <c r="H11" s="319">
        <f aca="true" t="shared" si="0" ref="H11:H29">C11+D11+E11+F11+G11</f>
        <v>11480158</v>
      </c>
    </row>
    <row r="12" spans="1:8" ht="15">
      <c r="A12" s="43" t="s">
        <v>152</v>
      </c>
      <c r="B12" s="44" t="s">
        <v>153</v>
      </c>
      <c r="C12" s="45">
        <v>4219340</v>
      </c>
      <c r="D12" s="318">
        <f>'3.pielikums'!E34</f>
        <v>15000</v>
      </c>
      <c r="E12" s="318">
        <f>'3.pielikums'!G34</f>
        <v>0</v>
      </c>
      <c r="F12" s="318">
        <f>'3.pielikums'!I34</f>
        <v>0</v>
      </c>
      <c r="G12" s="318">
        <f>'3.pielikums'!K34</f>
        <v>0</v>
      </c>
      <c r="H12" s="319">
        <f t="shared" si="0"/>
        <v>4234340</v>
      </c>
    </row>
    <row r="13" spans="1:8" ht="15">
      <c r="A13" s="43" t="s">
        <v>154</v>
      </c>
      <c r="B13" s="44" t="s">
        <v>155</v>
      </c>
      <c r="C13" s="45">
        <v>14145998</v>
      </c>
      <c r="D13" s="318">
        <f>'3.pielikums'!E41</f>
        <v>987863</v>
      </c>
      <c r="E13" s="318">
        <f>'3.pielikums'!G41</f>
        <v>0</v>
      </c>
      <c r="F13" s="318">
        <f>'3.pielikums'!I41</f>
        <v>1131210</v>
      </c>
      <c r="G13" s="318">
        <f>'3.pielikums'!K41</f>
        <v>0</v>
      </c>
      <c r="H13" s="319">
        <f t="shared" si="0"/>
        <v>16265071</v>
      </c>
    </row>
    <row r="14" spans="1:8" ht="15">
      <c r="A14" s="43" t="s">
        <v>156</v>
      </c>
      <c r="B14" s="44" t="s">
        <v>157</v>
      </c>
      <c r="C14" s="45">
        <v>3073856</v>
      </c>
      <c r="D14" s="318">
        <f>'3.pielikums'!E62</f>
        <v>58260</v>
      </c>
      <c r="E14" s="318">
        <f>'3.pielikums'!G62</f>
        <v>0</v>
      </c>
      <c r="F14" s="318">
        <f>'3.pielikums'!I62</f>
        <v>0</v>
      </c>
      <c r="G14" s="318">
        <f>'3.pielikums'!K62</f>
        <v>0</v>
      </c>
      <c r="H14" s="319">
        <f t="shared" si="0"/>
        <v>3132116</v>
      </c>
    </row>
    <row r="15" spans="1:8" ht="15">
      <c r="A15" s="43" t="s">
        <v>158</v>
      </c>
      <c r="B15" s="44" t="s">
        <v>159</v>
      </c>
      <c r="C15" s="45">
        <v>4694637</v>
      </c>
      <c r="D15" s="318">
        <f>'3.pielikums'!E74</f>
        <v>304698</v>
      </c>
      <c r="E15" s="318">
        <f>'3.pielikums'!G74</f>
        <v>0</v>
      </c>
      <c r="F15" s="318">
        <f>'3.pielikums'!I74</f>
        <v>145690</v>
      </c>
      <c r="G15" s="318">
        <f>'3.pielikums'!K74</f>
        <v>0</v>
      </c>
      <c r="H15" s="319">
        <f t="shared" si="0"/>
        <v>5145025</v>
      </c>
    </row>
    <row r="16" spans="1:8" ht="15">
      <c r="A16" s="43" t="s">
        <v>160</v>
      </c>
      <c r="B16" s="44" t="s">
        <v>161</v>
      </c>
      <c r="C16" s="45">
        <v>281300</v>
      </c>
      <c r="D16" s="318">
        <f>'3.pielikums'!E90</f>
        <v>0</v>
      </c>
      <c r="E16" s="318">
        <f>'3.pielikums'!G90</f>
        <v>0</v>
      </c>
      <c r="F16" s="318">
        <f>'3.pielikums'!I90</f>
        <v>0</v>
      </c>
      <c r="G16" s="318">
        <f>'3.pielikums'!K90</f>
        <v>0</v>
      </c>
      <c r="H16" s="319">
        <f t="shared" si="0"/>
        <v>281300</v>
      </c>
    </row>
    <row r="17" spans="1:8" ht="15">
      <c r="A17" s="43" t="s">
        <v>162</v>
      </c>
      <c r="B17" s="44" t="s">
        <v>163</v>
      </c>
      <c r="C17" s="45">
        <v>7480523</v>
      </c>
      <c r="D17" s="318">
        <f>'3.pielikums'!E97</f>
        <v>-32606</v>
      </c>
      <c r="E17" s="318">
        <f>'3.pielikums'!G97</f>
        <v>157053</v>
      </c>
      <c r="F17" s="318">
        <f>'3.pielikums'!I97</f>
        <v>1000</v>
      </c>
      <c r="G17" s="318">
        <f>'3.pielikums'!K97</f>
        <v>0</v>
      </c>
      <c r="H17" s="319">
        <f t="shared" si="0"/>
        <v>7605970</v>
      </c>
    </row>
    <row r="18" spans="1:8" ht="15">
      <c r="A18" s="43" t="s">
        <v>22</v>
      </c>
      <c r="B18" s="44" t="s">
        <v>164</v>
      </c>
      <c r="C18" s="45">
        <v>48807622</v>
      </c>
      <c r="D18" s="318">
        <f>'3.pielikums'!E126</f>
        <v>3608124</v>
      </c>
      <c r="E18" s="318">
        <f>'3.pielikums'!G126</f>
        <v>140514</v>
      </c>
      <c r="F18" s="318">
        <f>'3.pielikums'!I126</f>
        <v>-1198127</v>
      </c>
      <c r="G18" s="318">
        <f>'3.pielikums'!K126</f>
        <v>0</v>
      </c>
      <c r="H18" s="319">
        <f t="shared" si="0"/>
        <v>51358133</v>
      </c>
    </row>
    <row r="19" spans="1:8" ht="15">
      <c r="A19" s="43" t="s">
        <v>48</v>
      </c>
      <c r="B19" s="44" t="s">
        <v>165</v>
      </c>
      <c r="C19" s="45">
        <v>15522543</v>
      </c>
      <c r="D19" s="318">
        <f>'3.pielikums'!E174</f>
        <v>0</v>
      </c>
      <c r="E19" s="318">
        <f>'3.pielikums'!G174</f>
        <v>0</v>
      </c>
      <c r="F19" s="318">
        <f>'3.pielikums'!I174</f>
        <v>400</v>
      </c>
      <c r="G19" s="318">
        <f>'3.pielikums'!K174</f>
        <v>0</v>
      </c>
      <c r="H19" s="319">
        <f t="shared" si="0"/>
        <v>15522943</v>
      </c>
    </row>
    <row r="20" spans="1:8" ht="18.75">
      <c r="A20" s="46"/>
      <c r="B20" s="47" t="s">
        <v>166</v>
      </c>
      <c r="C20" s="42">
        <f>C21+C22+C28</f>
        <v>5471248</v>
      </c>
      <c r="D20" s="42">
        <f>D21+D22+D28</f>
        <v>-233852</v>
      </c>
      <c r="E20" s="42">
        <f>E21+E22+E28</f>
        <v>0</v>
      </c>
      <c r="F20" s="42">
        <f>F21+F22+F28</f>
        <v>53325</v>
      </c>
      <c r="G20" s="42">
        <f>G21+G22+G28</f>
        <v>0</v>
      </c>
      <c r="H20" s="42">
        <f t="shared" si="0"/>
        <v>5290721</v>
      </c>
    </row>
    <row r="21" spans="1:8" ht="15">
      <c r="A21" s="43" t="s">
        <v>167</v>
      </c>
      <c r="B21" s="43" t="s">
        <v>168</v>
      </c>
      <c r="C21" s="45">
        <v>4893582</v>
      </c>
      <c r="D21" s="318">
        <f>'3.pielikums'!E210</f>
        <v>0</v>
      </c>
      <c r="E21" s="318">
        <f>'3.pielikums'!G210</f>
        <v>0</v>
      </c>
      <c r="F21" s="318">
        <f>'3.pielikums'!I210</f>
        <v>0</v>
      </c>
      <c r="G21" s="318">
        <f>'3.pielikums'!K210</f>
        <v>0</v>
      </c>
      <c r="H21" s="319">
        <f t="shared" si="0"/>
        <v>4893582</v>
      </c>
    </row>
    <row r="22" spans="1:8" ht="15">
      <c r="A22" s="43" t="s">
        <v>169</v>
      </c>
      <c r="B22" s="48" t="s">
        <v>170</v>
      </c>
      <c r="C22" s="45">
        <f>SUM(C23:C27)</f>
        <v>379088</v>
      </c>
      <c r="D22" s="318">
        <f>SUM(D23:D27)</f>
        <v>0</v>
      </c>
      <c r="E22" s="318">
        <f>SUM(E23:E27)</f>
        <v>0</v>
      </c>
      <c r="F22" s="318">
        <f>SUM(F23:F27)</f>
        <v>0</v>
      </c>
      <c r="G22" s="318">
        <f>SUM(G23:G27)</f>
        <v>0</v>
      </c>
      <c r="H22" s="319">
        <f t="shared" si="0"/>
        <v>379088</v>
      </c>
    </row>
    <row r="23" spans="1:8" ht="15" hidden="1">
      <c r="A23" s="74"/>
      <c r="B23" s="103" t="s">
        <v>171</v>
      </c>
      <c r="C23" s="75">
        <v>0</v>
      </c>
      <c r="D23" s="320">
        <f>'3.pielikums'!E212</f>
        <v>0</v>
      </c>
      <c r="E23" s="320">
        <f>'3.pielikums'!G212</f>
        <v>0</v>
      </c>
      <c r="F23" s="320">
        <f>'3.pielikums'!I212</f>
        <v>0</v>
      </c>
      <c r="G23" s="320">
        <f>'3.pielikums'!K212</f>
        <v>0</v>
      </c>
      <c r="H23" s="320">
        <f t="shared" si="0"/>
        <v>0</v>
      </c>
    </row>
    <row r="24" spans="1:8" s="65" customFormat="1" ht="15" hidden="1">
      <c r="A24" s="74"/>
      <c r="B24" s="103" t="s">
        <v>172</v>
      </c>
      <c r="C24" s="75">
        <v>0</v>
      </c>
      <c r="D24" s="320">
        <f>'3.pielikums'!E213</f>
        <v>0</v>
      </c>
      <c r="E24" s="320">
        <f>'3.pielikums'!G213</f>
        <v>0</v>
      </c>
      <c r="F24" s="320">
        <f>'3.pielikums'!I213</f>
        <v>0</v>
      </c>
      <c r="G24" s="320">
        <f>'3.pielikums'!K213</f>
        <v>0</v>
      </c>
      <c r="H24" s="320">
        <f t="shared" si="0"/>
        <v>0</v>
      </c>
    </row>
    <row r="25" spans="1:8" ht="15">
      <c r="A25" s="43"/>
      <c r="B25" s="102" t="s">
        <v>173</v>
      </c>
      <c r="C25" s="49">
        <v>379088</v>
      </c>
      <c r="D25" s="49">
        <f>'3.pielikums'!E214</f>
        <v>0</v>
      </c>
      <c r="E25" s="49">
        <f>'3.pielikums'!G214</f>
        <v>0</v>
      </c>
      <c r="F25" s="49">
        <f>'3.pielikums'!I214</f>
        <v>0</v>
      </c>
      <c r="G25" s="49">
        <f>'3.pielikums'!K214</f>
        <v>0</v>
      </c>
      <c r="H25" s="321">
        <f t="shared" si="0"/>
        <v>379088</v>
      </c>
    </row>
    <row r="26" spans="1:8" ht="15" hidden="1">
      <c r="A26" s="74"/>
      <c r="B26" s="103" t="s">
        <v>174</v>
      </c>
      <c r="C26" s="75">
        <v>0</v>
      </c>
      <c r="D26" s="320">
        <f>'3.pielikums'!E215</f>
        <v>0</v>
      </c>
      <c r="E26" s="320">
        <f>'3.pielikums'!G215</f>
        <v>0</v>
      </c>
      <c r="F26" s="320">
        <f>'3.pielikums'!I215</f>
        <v>0</v>
      </c>
      <c r="G26" s="320">
        <f>'3.pielikums'!K215</f>
        <v>0</v>
      </c>
      <c r="H26" s="320">
        <f t="shared" si="0"/>
        <v>0</v>
      </c>
    </row>
    <row r="27" spans="1:8" ht="15" hidden="1">
      <c r="A27" s="74"/>
      <c r="B27" s="103" t="s">
        <v>175</v>
      </c>
      <c r="C27" s="75">
        <v>0</v>
      </c>
      <c r="D27" s="320">
        <f>'3.pielikums'!E216</f>
        <v>0</v>
      </c>
      <c r="E27" s="320">
        <f>'3.pielikums'!G216</f>
        <v>0</v>
      </c>
      <c r="F27" s="320">
        <f>'3.pielikums'!I216</f>
        <v>0</v>
      </c>
      <c r="G27" s="320">
        <f>'3.pielikums'!K216</f>
        <v>0</v>
      </c>
      <c r="H27" s="320">
        <f t="shared" si="0"/>
        <v>0</v>
      </c>
    </row>
    <row r="28" spans="1:8" ht="15">
      <c r="A28" s="43" t="s">
        <v>139</v>
      </c>
      <c r="B28" s="50" t="s">
        <v>176</v>
      </c>
      <c r="C28" s="45">
        <v>198578</v>
      </c>
      <c r="D28" s="318">
        <f>'3.pielikums'!E217</f>
        <v>-233852</v>
      </c>
      <c r="E28" s="318">
        <f>'3.pielikums'!G217</f>
        <v>0</v>
      </c>
      <c r="F28" s="318">
        <f>'3.pielikums'!I217</f>
        <v>53325</v>
      </c>
      <c r="G28" s="318">
        <f>'3.pielikums'!K217</f>
        <v>0</v>
      </c>
      <c r="H28" s="319">
        <f t="shared" si="0"/>
        <v>18051</v>
      </c>
    </row>
    <row r="29" spans="1:8" ht="18.75">
      <c r="A29" s="51"/>
      <c r="B29" s="47" t="s">
        <v>177</v>
      </c>
      <c r="C29" s="42">
        <f>C10+C20</f>
        <v>115028225</v>
      </c>
      <c r="D29" s="42">
        <f>D10+D20</f>
        <v>4856487</v>
      </c>
      <c r="E29" s="42">
        <f>E10+E20</f>
        <v>297567</v>
      </c>
      <c r="F29" s="42">
        <f>F10+F20</f>
        <v>133498</v>
      </c>
      <c r="G29" s="42">
        <f>G10+G20</f>
        <v>0</v>
      </c>
      <c r="H29" s="42">
        <f t="shared" si="0"/>
        <v>120315777</v>
      </c>
    </row>
    <row r="31" spans="1:8" ht="18.75">
      <c r="A31" s="388" t="s">
        <v>977</v>
      </c>
      <c r="B31" s="388"/>
      <c r="C31" s="388"/>
      <c r="D31" s="388"/>
      <c r="E31" s="388"/>
      <c r="F31" s="388"/>
      <c r="G31" s="388"/>
      <c r="H31" s="388"/>
    </row>
    <row r="32" ht="15">
      <c r="C32" s="64"/>
    </row>
    <row r="33" ht="15">
      <c r="C33" s="64"/>
    </row>
  </sheetData>
  <sheetProtection/>
  <mergeCells count="10">
    <mergeCell ref="A31:H31"/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0"/>
  <sheetViews>
    <sheetView zoomScalePageLayoutView="0" workbookViewId="0" topLeftCell="A1">
      <pane ySplit="9" topLeftCell="A168" activePane="bottomLeft" state="frozen"/>
      <selection pane="topLeft" activeCell="A1" sqref="A1"/>
      <selection pane="bottomLeft" activeCell="H2" sqref="H2:K2"/>
    </sheetView>
  </sheetViews>
  <sheetFormatPr defaultColWidth="9.140625" defaultRowHeight="15"/>
  <cols>
    <col min="1" max="1" width="11.57421875" style="3" customWidth="1"/>
    <col min="2" max="2" width="33.7109375" style="83" customWidth="1"/>
    <col min="3" max="3" width="12.7109375" style="68" customWidth="1"/>
    <col min="4" max="4" width="11.8515625" style="3" customWidth="1"/>
    <col min="5" max="5" width="11.57421875" style="84" customWidth="1"/>
    <col min="6" max="6" width="10.140625" style="3" customWidth="1"/>
    <col min="7" max="7" width="10.8515625" style="84" customWidth="1"/>
    <col min="8" max="8" width="11.8515625" style="3" customWidth="1"/>
    <col min="9" max="9" width="11.421875" style="84" customWidth="1"/>
    <col min="10" max="10" width="10.8515625" style="3" customWidth="1"/>
    <col min="11" max="11" width="11.00390625" style="84" customWidth="1"/>
    <col min="12" max="12" width="12.8515625" style="68" customWidth="1"/>
    <col min="13" max="16384" width="9.140625" style="3" customWidth="1"/>
  </cols>
  <sheetData>
    <row r="1" spans="1:12" ht="15">
      <c r="A1" s="2"/>
      <c r="I1" s="2"/>
      <c r="J1" s="387" t="s">
        <v>978</v>
      </c>
      <c r="K1" s="387"/>
      <c r="L1" s="105"/>
    </row>
    <row r="2" spans="8:12" ht="15">
      <c r="H2" s="387" t="s">
        <v>972</v>
      </c>
      <c r="I2" s="387"/>
      <c r="J2" s="387"/>
      <c r="K2" s="387"/>
      <c r="L2" s="105"/>
    </row>
    <row r="3" spans="9:11" ht="15">
      <c r="I3" s="3"/>
      <c r="K3" s="317" t="s">
        <v>971</v>
      </c>
    </row>
    <row r="5" spans="1:12" ht="18.75">
      <c r="A5" s="389" t="s">
        <v>976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</row>
    <row r="6" spans="1:12" ht="15">
      <c r="A6" s="390" t="s">
        <v>178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</row>
    <row r="7" ht="15">
      <c r="L7" s="106"/>
    </row>
    <row r="8" spans="1:12" s="83" customFormat="1" ht="15" customHeight="1">
      <c r="A8" s="394" t="s">
        <v>1</v>
      </c>
      <c r="B8" s="394" t="s">
        <v>145</v>
      </c>
      <c r="C8" s="391" t="str">
        <f>'2.pielikums'!C8:C9</f>
        <v>Plāns 2023.gadam, EUR</v>
      </c>
      <c r="D8" s="397" t="s">
        <v>501</v>
      </c>
      <c r="E8" s="398"/>
      <c r="F8" s="398"/>
      <c r="G8" s="398"/>
      <c r="H8" s="398"/>
      <c r="I8" s="398"/>
      <c r="J8" s="398"/>
      <c r="K8" s="399"/>
      <c r="L8" s="395" t="str">
        <f>'2.pielikums'!H8:H9</f>
        <v>Precizētais plāns uz 27.04.2023., EUR</v>
      </c>
    </row>
    <row r="9" spans="1:12" s="83" customFormat="1" ht="48">
      <c r="A9" s="394"/>
      <c r="B9" s="394"/>
      <c r="C9" s="391"/>
      <c r="D9" s="52" t="s">
        <v>146</v>
      </c>
      <c r="E9" s="53" t="s">
        <v>179</v>
      </c>
      <c r="F9" s="52" t="s">
        <v>147</v>
      </c>
      <c r="G9" s="53" t="s">
        <v>180</v>
      </c>
      <c r="H9" s="52" t="s">
        <v>82</v>
      </c>
      <c r="I9" s="53" t="s">
        <v>181</v>
      </c>
      <c r="J9" s="52" t="s">
        <v>148</v>
      </c>
      <c r="K9" s="53" t="s">
        <v>182</v>
      </c>
      <c r="L9" s="396"/>
    </row>
    <row r="10" spans="1:12" ht="15">
      <c r="A10" s="76">
        <v>1</v>
      </c>
      <c r="B10" s="77">
        <v>2</v>
      </c>
      <c r="C10" s="107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107">
        <v>12</v>
      </c>
    </row>
    <row r="11" spans="1:12" ht="28.5">
      <c r="A11" s="54"/>
      <c r="B11" s="8" t="s">
        <v>149</v>
      </c>
      <c r="C11" s="9">
        <f aca="true" t="shared" si="0" ref="C11:C42">D11+F11+H11+J11</f>
        <v>109556977</v>
      </c>
      <c r="D11" s="9">
        <f>D12+D34+D41+D62+D74+D90+D97+D126+D174</f>
        <v>77772504</v>
      </c>
      <c r="E11" s="82">
        <f aca="true" t="shared" si="1" ref="E11:K11">E12+E34+E41+E62+E74+E90+E97+E126+E174</f>
        <v>5090339</v>
      </c>
      <c r="F11" s="9">
        <f>F12+F34+F41+F62+F74+F90+F97+F126+F174</f>
        <v>2348689</v>
      </c>
      <c r="G11" s="82">
        <f t="shared" si="1"/>
        <v>297567</v>
      </c>
      <c r="H11" s="9">
        <f t="shared" si="1"/>
        <v>28586956</v>
      </c>
      <c r="I11" s="82">
        <f t="shared" si="1"/>
        <v>80173</v>
      </c>
      <c r="J11" s="9">
        <f t="shared" si="1"/>
        <v>848828</v>
      </c>
      <c r="K11" s="82">
        <f t="shared" si="1"/>
        <v>0</v>
      </c>
      <c r="L11" s="9">
        <f aca="true" t="shared" si="2" ref="L11:L42">SUM(D11:K11)</f>
        <v>115025056</v>
      </c>
    </row>
    <row r="12" spans="1:12" ht="15">
      <c r="A12" s="55" t="s">
        <v>150</v>
      </c>
      <c r="B12" s="56" t="s">
        <v>151</v>
      </c>
      <c r="C12" s="9">
        <f t="shared" si="0"/>
        <v>11331158</v>
      </c>
      <c r="D12" s="57">
        <f aca="true" t="shared" si="3" ref="D12:K12">D13+D18+D22+D25+D27+D29+D32</f>
        <v>9851666</v>
      </c>
      <c r="E12" s="58">
        <f t="shared" si="3"/>
        <v>149000</v>
      </c>
      <c r="F12" s="57">
        <f t="shared" si="3"/>
        <v>178361</v>
      </c>
      <c r="G12" s="58">
        <f t="shared" si="3"/>
        <v>0</v>
      </c>
      <c r="H12" s="57">
        <f t="shared" si="3"/>
        <v>517357</v>
      </c>
      <c r="I12" s="58">
        <f t="shared" si="3"/>
        <v>0</v>
      </c>
      <c r="J12" s="57">
        <f t="shared" si="3"/>
        <v>783774</v>
      </c>
      <c r="K12" s="58">
        <f t="shared" si="3"/>
        <v>0</v>
      </c>
      <c r="L12" s="9">
        <f t="shared" si="2"/>
        <v>11480158</v>
      </c>
    </row>
    <row r="13" spans="1:12" ht="25.5">
      <c r="A13" s="10" t="s">
        <v>183</v>
      </c>
      <c r="B13" s="11" t="s">
        <v>184</v>
      </c>
      <c r="C13" s="108">
        <f t="shared" si="0"/>
        <v>5610499</v>
      </c>
      <c r="D13" s="12">
        <f aca="true" t="shared" si="4" ref="D13:K13">SUM(D14:D17)</f>
        <v>4811904</v>
      </c>
      <c r="E13" s="59">
        <f t="shared" si="4"/>
        <v>168469</v>
      </c>
      <c r="F13" s="12">
        <f t="shared" si="4"/>
        <v>178361</v>
      </c>
      <c r="G13" s="59">
        <f t="shared" si="4"/>
        <v>0</v>
      </c>
      <c r="H13" s="12">
        <f t="shared" si="4"/>
        <v>517357</v>
      </c>
      <c r="I13" s="59">
        <f t="shared" si="4"/>
        <v>0</v>
      </c>
      <c r="J13" s="12">
        <f t="shared" si="4"/>
        <v>102877</v>
      </c>
      <c r="K13" s="59">
        <f t="shared" si="4"/>
        <v>0</v>
      </c>
      <c r="L13" s="108">
        <f t="shared" si="2"/>
        <v>5778968</v>
      </c>
    </row>
    <row r="14" spans="1:12" ht="15">
      <c r="A14" s="13" t="s">
        <v>7</v>
      </c>
      <c r="B14" s="14" t="s">
        <v>185</v>
      </c>
      <c r="C14" s="109">
        <f t="shared" si="0"/>
        <v>4869359</v>
      </c>
      <c r="D14" s="15">
        <v>4450174</v>
      </c>
      <c r="E14" s="60">
        <v>18469</v>
      </c>
      <c r="F14" s="15">
        <v>161061</v>
      </c>
      <c r="G14" s="60">
        <v>0</v>
      </c>
      <c r="H14" s="15">
        <v>240000</v>
      </c>
      <c r="I14" s="60">
        <v>0</v>
      </c>
      <c r="J14" s="15">
        <v>18124</v>
      </c>
      <c r="K14" s="60">
        <v>0</v>
      </c>
      <c r="L14" s="109">
        <f t="shared" si="2"/>
        <v>4887828</v>
      </c>
    </row>
    <row r="15" spans="1:12" ht="38.25">
      <c r="A15" s="16" t="s">
        <v>186</v>
      </c>
      <c r="B15" s="17" t="s">
        <v>187</v>
      </c>
      <c r="C15" s="109">
        <f t="shared" si="0"/>
        <v>8482</v>
      </c>
      <c r="D15" s="18">
        <v>0</v>
      </c>
      <c r="E15" s="60">
        <v>0</v>
      </c>
      <c r="F15" s="15">
        <v>0</v>
      </c>
      <c r="G15" s="60">
        <v>0</v>
      </c>
      <c r="H15" s="15">
        <v>8482</v>
      </c>
      <c r="I15" s="60">
        <v>0</v>
      </c>
      <c r="J15" s="15">
        <v>0</v>
      </c>
      <c r="K15" s="60">
        <v>0</v>
      </c>
      <c r="L15" s="109">
        <f t="shared" si="2"/>
        <v>8482</v>
      </c>
    </row>
    <row r="16" spans="1:12" ht="31.5" customHeight="1">
      <c r="A16" s="16" t="s">
        <v>454</v>
      </c>
      <c r="B16" s="17" t="s">
        <v>455</v>
      </c>
      <c r="C16" s="109">
        <f t="shared" si="0"/>
        <v>480367</v>
      </c>
      <c r="D16" s="18">
        <v>211492</v>
      </c>
      <c r="E16" s="60">
        <v>150000</v>
      </c>
      <c r="F16" s="15">
        <v>0</v>
      </c>
      <c r="G16" s="60">
        <v>0</v>
      </c>
      <c r="H16" s="15">
        <v>268875</v>
      </c>
      <c r="I16" s="60">
        <v>0</v>
      </c>
      <c r="J16" s="15">
        <v>0</v>
      </c>
      <c r="K16" s="60">
        <v>0</v>
      </c>
      <c r="L16" s="109">
        <f t="shared" si="2"/>
        <v>630367</v>
      </c>
    </row>
    <row r="17" spans="1:12" ht="63.75">
      <c r="A17" s="16" t="s">
        <v>504</v>
      </c>
      <c r="B17" s="14" t="s">
        <v>505</v>
      </c>
      <c r="C17" s="109">
        <f t="shared" si="0"/>
        <v>252291</v>
      </c>
      <c r="D17" s="15">
        <v>150238</v>
      </c>
      <c r="E17" s="60">
        <v>0</v>
      </c>
      <c r="F17" s="15">
        <v>17300</v>
      </c>
      <c r="G17" s="60">
        <v>0</v>
      </c>
      <c r="H17" s="15">
        <v>0</v>
      </c>
      <c r="I17" s="60">
        <v>0</v>
      </c>
      <c r="J17" s="15">
        <v>84753</v>
      </c>
      <c r="K17" s="60">
        <v>0</v>
      </c>
      <c r="L17" s="109">
        <f t="shared" si="2"/>
        <v>252291</v>
      </c>
    </row>
    <row r="18" spans="1:12" ht="15">
      <c r="A18" s="10" t="s">
        <v>188</v>
      </c>
      <c r="B18" s="11" t="s">
        <v>189</v>
      </c>
      <c r="C18" s="108">
        <f t="shared" si="0"/>
        <v>356179</v>
      </c>
      <c r="D18" s="12">
        <f aca="true" t="shared" si="5" ref="D18:K18">SUM(D19:D21)</f>
        <v>356179</v>
      </c>
      <c r="E18" s="61">
        <f t="shared" si="5"/>
        <v>0</v>
      </c>
      <c r="F18" s="23">
        <f t="shared" si="5"/>
        <v>0</v>
      </c>
      <c r="G18" s="61">
        <f t="shared" si="5"/>
        <v>0</v>
      </c>
      <c r="H18" s="23">
        <f t="shared" si="5"/>
        <v>0</v>
      </c>
      <c r="I18" s="61">
        <f t="shared" si="5"/>
        <v>0</v>
      </c>
      <c r="J18" s="23">
        <f t="shared" si="5"/>
        <v>0</v>
      </c>
      <c r="K18" s="59">
        <f t="shared" si="5"/>
        <v>0</v>
      </c>
      <c r="L18" s="108">
        <f t="shared" si="2"/>
        <v>356179</v>
      </c>
    </row>
    <row r="19" spans="1:12" ht="38.25">
      <c r="A19" s="16" t="s">
        <v>190</v>
      </c>
      <c r="B19" s="17" t="s">
        <v>506</v>
      </c>
      <c r="C19" s="109">
        <f t="shared" si="0"/>
        <v>51219</v>
      </c>
      <c r="D19" s="15">
        <v>51219</v>
      </c>
      <c r="E19" s="60">
        <v>0</v>
      </c>
      <c r="F19" s="15">
        <v>0</v>
      </c>
      <c r="G19" s="60">
        <v>0</v>
      </c>
      <c r="H19" s="15">
        <v>0</v>
      </c>
      <c r="I19" s="60">
        <v>0</v>
      </c>
      <c r="J19" s="15">
        <v>0</v>
      </c>
      <c r="K19" s="60">
        <v>0</v>
      </c>
      <c r="L19" s="109">
        <f t="shared" si="2"/>
        <v>51219</v>
      </c>
    </row>
    <row r="20" spans="1:12" ht="38.25">
      <c r="A20" s="16" t="s">
        <v>191</v>
      </c>
      <c r="B20" s="17" t="s">
        <v>507</v>
      </c>
      <c r="C20" s="109">
        <f t="shared" si="0"/>
        <v>304960</v>
      </c>
      <c r="D20" s="15">
        <v>304960</v>
      </c>
      <c r="E20" s="60">
        <v>0</v>
      </c>
      <c r="F20" s="15">
        <v>0</v>
      </c>
      <c r="G20" s="60">
        <v>0</v>
      </c>
      <c r="H20" s="15">
        <v>0</v>
      </c>
      <c r="I20" s="60">
        <v>0</v>
      </c>
      <c r="J20" s="15">
        <v>0</v>
      </c>
      <c r="K20" s="60">
        <v>0</v>
      </c>
      <c r="L20" s="109">
        <f t="shared" si="2"/>
        <v>304960</v>
      </c>
    </row>
    <row r="21" spans="1:12" ht="15" hidden="1">
      <c r="A21" s="85" t="s">
        <v>502</v>
      </c>
      <c r="B21" s="86" t="s">
        <v>503</v>
      </c>
      <c r="C21" s="110">
        <f t="shared" si="0"/>
        <v>0</v>
      </c>
      <c r="D21" s="88"/>
      <c r="E21" s="89"/>
      <c r="F21" s="88"/>
      <c r="G21" s="89"/>
      <c r="H21" s="88"/>
      <c r="I21" s="89"/>
      <c r="J21" s="88"/>
      <c r="K21" s="89"/>
      <c r="L21" s="110">
        <f t="shared" si="2"/>
        <v>0</v>
      </c>
    </row>
    <row r="22" spans="1:12" ht="26.25">
      <c r="A22" s="10" t="s">
        <v>192</v>
      </c>
      <c r="B22" s="62" t="s">
        <v>193</v>
      </c>
      <c r="C22" s="108">
        <f t="shared" si="0"/>
        <v>1437114</v>
      </c>
      <c r="D22" s="23">
        <f aca="true" t="shared" si="6" ref="D22:K22">SUM(D23:D24)</f>
        <v>1437114</v>
      </c>
      <c r="E22" s="61">
        <f t="shared" si="6"/>
        <v>-18469</v>
      </c>
      <c r="F22" s="23">
        <f t="shared" si="6"/>
        <v>0</v>
      </c>
      <c r="G22" s="61">
        <f t="shared" si="6"/>
        <v>0</v>
      </c>
      <c r="H22" s="23">
        <f t="shared" si="6"/>
        <v>0</v>
      </c>
      <c r="I22" s="61">
        <f t="shared" si="6"/>
        <v>0</v>
      </c>
      <c r="J22" s="23">
        <f t="shared" si="6"/>
        <v>0</v>
      </c>
      <c r="K22" s="61">
        <f t="shared" si="6"/>
        <v>0</v>
      </c>
      <c r="L22" s="108">
        <f t="shared" si="2"/>
        <v>1418645</v>
      </c>
    </row>
    <row r="23" spans="1:12" ht="25.5">
      <c r="A23" s="16" t="s">
        <v>194</v>
      </c>
      <c r="B23" s="17" t="s">
        <v>195</v>
      </c>
      <c r="C23" s="109">
        <f t="shared" si="0"/>
        <v>698661</v>
      </c>
      <c r="D23" s="15">
        <v>698661</v>
      </c>
      <c r="E23" s="60">
        <v>0</v>
      </c>
      <c r="F23" s="15">
        <v>0</v>
      </c>
      <c r="G23" s="60">
        <v>0</v>
      </c>
      <c r="H23" s="15">
        <v>0</v>
      </c>
      <c r="I23" s="60">
        <v>0</v>
      </c>
      <c r="J23" s="15">
        <v>0</v>
      </c>
      <c r="K23" s="60">
        <v>0</v>
      </c>
      <c r="L23" s="109">
        <f t="shared" si="2"/>
        <v>698661</v>
      </c>
    </row>
    <row r="24" spans="1:12" ht="25.5">
      <c r="A24" s="16" t="s">
        <v>508</v>
      </c>
      <c r="B24" s="17" t="s">
        <v>509</v>
      </c>
      <c r="C24" s="109">
        <f t="shared" si="0"/>
        <v>738453</v>
      </c>
      <c r="D24" s="15">
        <v>738453</v>
      </c>
      <c r="E24" s="60">
        <v>-18469</v>
      </c>
      <c r="F24" s="15">
        <v>0</v>
      </c>
      <c r="G24" s="60">
        <v>0</v>
      </c>
      <c r="H24" s="15">
        <v>0</v>
      </c>
      <c r="I24" s="60">
        <v>0</v>
      </c>
      <c r="J24" s="15">
        <v>0</v>
      </c>
      <c r="K24" s="60">
        <v>0</v>
      </c>
      <c r="L24" s="109">
        <f t="shared" si="2"/>
        <v>719984</v>
      </c>
    </row>
    <row r="25" spans="1:12" s="65" customFormat="1" ht="25.5" hidden="1">
      <c r="A25" s="112" t="s">
        <v>196</v>
      </c>
      <c r="B25" s="113" t="s">
        <v>197</v>
      </c>
      <c r="C25" s="110">
        <f t="shared" si="0"/>
        <v>0</v>
      </c>
      <c r="D25" s="87">
        <f>D26</f>
        <v>0</v>
      </c>
      <c r="E25" s="92">
        <f aca="true" t="shared" si="7" ref="E25:K25">E26</f>
        <v>0</v>
      </c>
      <c r="F25" s="87">
        <f t="shared" si="7"/>
        <v>0</v>
      </c>
      <c r="G25" s="92">
        <f t="shared" si="7"/>
        <v>0</v>
      </c>
      <c r="H25" s="87">
        <f t="shared" si="7"/>
        <v>0</v>
      </c>
      <c r="I25" s="92">
        <f t="shared" si="7"/>
        <v>0</v>
      </c>
      <c r="J25" s="87">
        <f t="shared" si="7"/>
        <v>0</v>
      </c>
      <c r="K25" s="92">
        <f t="shared" si="7"/>
        <v>0</v>
      </c>
      <c r="L25" s="110">
        <f t="shared" si="2"/>
        <v>0</v>
      </c>
    </row>
    <row r="26" spans="1:12" s="65" customFormat="1" ht="15" hidden="1">
      <c r="A26" s="85" t="s">
        <v>198</v>
      </c>
      <c r="B26" s="86" t="s">
        <v>199</v>
      </c>
      <c r="C26" s="110">
        <f t="shared" si="0"/>
        <v>0</v>
      </c>
      <c r="D26" s="88"/>
      <c r="E26" s="89"/>
      <c r="F26" s="88"/>
      <c r="G26" s="89"/>
      <c r="H26" s="88"/>
      <c r="I26" s="89"/>
      <c r="J26" s="88"/>
      <c r="K26" s="89"/>
      <c r="L26" s="110">
        <f t="shared" si="2"/>
        <v>0</v>
      </c>
    </row>
    <row r="27" spans="1:12" ht="15">
      <c r="A27" s="21" t="s">
        <v>200</v>
      </c>
      <c r="B27" s="22" t="s">
        <v>201</v>
      </c>
      <c r="C27" s="108">
        <f t="shared" si="0"/>
        <v>2585405</v>
      </c>
      <c r="D27" s="23">
        <f>D28</f>
        <v>2585405</v>
      </c>
      <c r="E27" s="61">
        <f aca="true" t="shared" si="8" ref="E27:K27">E28</f>
        <v>0</v>
      </c>
      <c r="F27" s="23">
        <f t="shared" si="8"/>
        <v>0</v>
      </c>
      <c r="G27" s="61">
        <f t="shared" si="8"/>
        <v>0</v>
      </c>
      <c r="H27" s="23">
        <f t="shared" si="8"/>
        <v>0</v>
      </c>
      <c r="I27" s="61">
        <f t="shared" si="8"/>
        <v>0</v>
      </c>
      <c r="J27" s="23">
        <f t="shared" si="8"/>
        <v>0</v>
      </c>
      <c r="K27" s="61">
        <f t="shared" si="8"/>
        <v>0</v>
      </c>
      <c r="L27" s="108">
        <f t="shared" si="2"/>
        <v>2585405</v>
      </c>
    </row>
    <row r="28" spans="1:12" ht="15">
      <c r="A28" s="16" t="s">
        <v>202</v>
      </c>
      <c r="B28" s="17" t="s">
        <v>203</v>
      </c>
      <c r="C28" s="109">
        <f t="shared" si="0"/>
        <v>2585405</v>
      </c>
      <c r="D28" s="23">
        <v>2585405</v>
      </c>
      <c r="E28" s="60">
        <v>0</v>
      </c>
      <c r="F28" s="15">
        <v>0</v>
      </c>
      <c r="G28" s="60">
        <v>0</v>
      </c>
      <c r="H28" s="15">
        <v>0</v>
      </c>
      <c r="I28" s="60">
        <v>0</v>
      </c>
      <c r="J28" s="15">
        <v>0</v>
      </c>
      <c r="K28" s="60">
        <v>0</v>
      </c>
      <c r="L28" s="109">
        <f t="shared" si="2"/>
        <v>2585405</v>
      </c>
    </row>
    <row r="29" spans="1:12" ht="27" customHeight="1">
      <c r="A29" s="10" t="s">
        <v>204</v>
      </c>
      <c r="B29" s="11" t="s">
        <v>205</v>
      </c>
      <c r="C29" s="108">
        <f t="shared" si="0"/>
        <v>941961</v>
      </c>
      <c r="D29" s="23">
        <f aca="true" t="shared" si="9" ref="D29:K29">SUM(D30:D31)</f>
        <v>261064</v>
      </c>
      <c r="E29" s="61">
        <f t="shared" si="9"/>
        <v>0</v>
      </c>
      <c r="F29" s="23">
        <f t="shared" si="9"/>
        <v>0</v>
      </c>
      <c r="G29" s="61">
        <f t="shared" si="9"/>
        <v>0</v>
      </c>
      <c r="H29" s="23">
        <f t="shared" si="9"/>
        <v>0</v>
      </c>
      <c r="I29" s="61">
        <f t="shared" si="9"/>
        <v>0</v>
      </c>
      <c r="J29" s="23">
        <f t="shared" si="9"/>
        <v>680897</v>
      </c>
      <c r="K29" s="59">
        <f t="shared" si="9"/>
        <v>0</v>
      </c>
      <c r="L29" s="108">
        <f t="shared" si="2"/>
        <v>941961</v>
      </c>
    </row>
    <row r="30" spans="1:12" ht="25.5">
      <c r="A30" s="16" t="s">
        <v>206</v>
      </c>
      <c r="B30" s="17" t="s">
        <v>207</v>
      </c>
      <c r="C30" s="109">
        <f t="shared" si="0"/>
        <v>941961</v>
      </c>
      <c r="D30" s="15">
        <v>261064</v>
      </c>
      <c r="E30" s="60">
        <v>0</v>
      </c>
      <c r="F30" s="15">
        <v>0</v>
      </c>
      <c r="G30" s="60">
        <v>0</v>
      </c>
      <c r="H30" s="15">
        <v>0</v>
      </c>
      <c r="I30" s="60">
        <v>0</v>
      </c>
      <c r="J30" s="15">
        <v>680897</v>
      </c>
      <c r="K30" s="60">
        <v>0</v>
      </c>
      <c r="L30" s="109">
        <f t="shared" si="2"/>
        <v>941961</v>
      </c>
    </row>
    <row r="31" spans="1:12" ht="33" customHeight="1" hidden="1">
      <c r="A31" s="85" t="s">
        <v>208</v>
      </c>
      <c r="B31" s="86" t="s">
        <v>209</v>
      </c>
      <c r="C31" s="110">
        <f t="shared" si="0"/>
        <v>0</v>
      </c>
      <c r="D31" s="88"/>
      <c r="E31" s="89"/>
      <c r="F31" s="88"/>
      <c r="G31" s="89"/>
      <c r="H31" s="88"/>
      <c r="I31" s="89"/>
      <c r="J31" s="88"/>
      <c r="K31" s="89"/>
      <c r="L31" s="110">
        <f t="shared" si="2"/>
        <v>0</v>
      </c>
    </row>
    <row r="32" spans="1:12" ht="38.25">
      <c r="A32" s="10" t="s">
        <v>210</v>
      </c>
      <c r="B32" s="11" t="s">
        <v>211</v>
      </c>
      <c r="C32" s="108">
        <f t="shared" si="0"/>
        <v>400000</v>
      </c>
      <c r="D32" s="23">
        <f>D33</f>
        <v>400000</v>
      </c>
      <c r="E32" s="61">
        <f aca="true" t="shared" si="10" ref="E32:K32">E33</f>
        <v>-1000</v>
      </c>
      <c r="F32" s="23">
        <f t="shared" si="10"/>
        <v>0</v>
      </c>
      <c r="G32" s="61">
        <f t="shared" si="10"/>
        <v>0</v>
      </c>
      <c r="H32" s="23">
        <f t="shared" si="10"/>
        <v>0</v>
      </c>
      <c r="I32" s="61">
        <f t="shared" si="10"/>
        <v>0</v>
      </c>
      <c r="J32" s="23">
        <f t="shared" si="10"/>
        <v>0</v>
      </c>
      <c r="K32" s="61">
        <f t="shared" si="10"/>
        <v>0</v>
      </c>
      <c r="L32" s="108">
        <f t="shared" si="2"/>
        <v>399000</v>
      </c>
    </row>
    <row r="33" spans="1:12" ht="15">
      <c r="A33" s="16" t="s">
        <v>212</v>
      </c>
      <c r="B33" s="17" t="s">
        <v>462</v>
      </c>
      <c r="C33" s="109">
        <f t="shared" si="0"/>
        <v>400000</v>
      </c>
      <c r="D33" s="15">
        <v>400000</v>
      </c>
      <c r="E33" s="60">
        <v>-1000</v>
      </c>
      <c r="F33" s="15">
        <v>0</v>
      </c>
      <c r="G33" s="60">
        <v>0</v>
      </c>
      <c r="H33" s="15">
        <v>0</v>
      </c>
      <c r="I33" s="60">
        <v>0</v>
      </c>
      <c r="J33" s="15">
        <v>0</v>
      </c>
      <c r="K33" s="60">
        <v>0</v>
      </c>
      <c r="L33" s="109">
        <f t="shared" si="2"/>
        <v>399000</v>
      </c>
    </row>
    <row r="34" spans="1:12" ht="15">
      <c r="A34" s="55" t="s">
        <v>152</v>
      </c>
      <c r="B34" s="56" t="s">
        <v>153</v>
      </c>
      <c r="C34" s="9">
        <f t="shared" si="0"/>
        <v>4219340</v>
      </c>
      <c r="D34" s="57">
        <f>D35+D38</f>
        <v>3750782</v>
      </c>
      <c r="E34" s="58">
        <f aca="true" t="shared" si="11" ref="E34:K34">E35+E38</f>
        <v>15000</v>
      </c>
      <c r="F34" s="57">
        <f t="shared" si="11"/>
        <v>453268</v>
      </c>
      <c r="G34" s="58">
        <f t="shared" si="11"/>
        <v>0</v>
      </c>
      <c r="H34" s="57">
        <f t="shared" si="11"/>
        <v>0</v>
      </c>
      <c r="I34" s="58">
        <f t="shared" si="11"/>
        <v>0</v>
      </c>
      <c r="J34" s="57">
        <f t="shared" si="11"/>
        <v>15290</v>
      </c>
      <c r="K34" s="58">
        <f t="shared" si="11"/>
        <v>0</v>
      </c>
      <c r="L34" s="9">
        <f t="shared" si="2"/>
        <v>4234340</v>
      </c>
    </row>
    <row r="35" spans="1:12" ht="15">
      <c r="A35" s="10" t="s">
        <v>213</v>
      </c>
      <c r="B35" s="11" t="s">
        <v>214</v>
      </c>
      <c r="C35" s="108">
        <f t="shared" si="0"/>
        <v>4043066</v>
      </c>
      <c r="D35" s="23">
        <f>D36+D37</f>
        <v>3589798</v>
      </c>
      <c r="E35" s="61">
        <f>E36+E37</f>
        <v>15000</v>
      </c>
      <c r="F35" s="23">
        <f aca="true" t="shared" si="12" ref="F35:K35">F36+F37</f>
        <v>453268</v>
      </c>
      <c r="G35" s="61">
        <f t="shared" si="12"/>
        <v>0</v>
      </c>
      <c r="H35" s="23">
        <f t="shared" si="12"/>
        <v>0</v>
      </c>
      <c r="I35" s="61">
        <f t="shared" si="12"/>
        <v>0</v>
      </c>
      <c r="J35" s="23">
        <f t="shared" si="12"/>
        <v>0</v>
      </c>
      <c r="K35" s="61">
        <f t="shared" si="12"/>
        <v>0</v>
      </c>
      <c r="L35" s="108">
        <f t="shared" si="2"/>
        <v>4058066</v>
      </c>
    </row>
    <row r="36" spans="1:12" ht="25.5">
      <c r="A36" s="16" t="s">
        <v>215</v>
      </c>
      <c r="B36" s="14" t="s">
        <v>510</v>
      </c>
      <c r="C36" s="109">
        <f t="shared" si="0"/>
        <v>4043066</v>
      </c>
      <c r="D36" s="18">
        <v>3589798</v>
      </c>
      <c r="E36" s="60">
        <v>15000</v>
      </c>
      <c r="F36" s="15">
        <v>453268</v>
      </c>
      <c r="G36" s="60">
        <v>0</v>
      </c>
      <c r="H36" s="15">
        <v>0</v>
      </c>
      <c r="I36" s="60">
        <v>0</v>
      </c>
      <c r="J36" s="15">
        <v>0</v>
      </c>
      <c r="K36" s="60">
        <v>0</v>
      </c>
      <c r="L36" s="109">
        <f t="shared" si="2"/>
        <v>4058066</v>
      </c>
    </row>
    <row r="37" spans="1:12" ht="15" hidden="1">
      <c r="A37" s="85" t="s">
        <v>502</v>
      </c>
      <c r="B37" s="86" t="s">
        <v>503</v>
      </c>
      <c r="C37" s="110">
        <f t="shared" si="0"/>
        <v>0</v>
      </c>
      <c r="D37" s="88"/>
      <c r="E37" s="89"/>
      <c r="F37" s="88"/>
      <c r="G37" s="89"/>
      <c r="H37" s="88"/>
      <c r="I37" s="89"/>
      <c r="J37" s="88"/>
      <c r="K37" s="89"/>
      <c r="L37" s="110">
        <f t="shared" si="2"/>
        <v>0</v>
      </c>
    </row>
    <row r="38" spans="1:12" ht="25.5">
      <c r="A38" s="10" t="s">
        <v>216</v>
      </c>
      <c r="B38" s="11" t="s">
        <v>217</v>
      </c>
      <c r="C38" s="108">
        <f t="shared" si="0"/>
        <v>176274</v>
      </c>
      <c r="D38" s="12">
        <f aca="true" t="shared" si="13" ref="D38:K38">SUM(D39:D40)</f>
        <v>160984</v>
      </c>
      <c r="E38" s="59">
        <f t="shared" si="13"/>
        <v>0</v>
      </c>
      <c r="F38" s="12">
        <f t="shared" si="13"/>
        <v>0</v>
      </c>
      <c r="G38" s="59">
        <f t="shared" si="13"/>
        <v>0</v>
      </c>
      <c r="H38" s="12">
        <f t="shared" si="13"/>
        <v>0</v>
      </c>
      <c r="I38" s="59">
        <f t="shared" si="13"/>
        <v>0</v>
      </c>
      <c r="J38" s="12">
        <f t="shared" si="13"/>
        <v>15290</v>
      </c>
      <c r="K38" s="59">
        <f t="shared" si="13"/>
        <v>0</v>
      </c>
      <c r="L38" s="108">
        <f t="shared" si="2"/>
        <v>176274</v>
      </c>
    </row>
    <row r="39" spans="1:12" ht="25.5">
      <c r="A39" s="16" t="s">
        <v>218</v>
      </c>
      <c r="B39" s="17" t="s">
        <v>511</v>
      </c>
      <c r="C39" s="109">
        <f t="shared" si="0"/>
        <v>176274</v>
      </c>
      <c r="D39" s="18">
        <v>160984</v>
      </c>
      <c r="E39" s="60">
        <v>0</v>
      </c>
      <c r="F39" s="15">
        <v>0</v>
      </c>
      <c r="G39" s="60">
        <v>0</v>
      </c>
      <c r="H39" s="15">
        <v>0</v>
      </c>
      <c r="I39" s="60">
        <v>0</v>
      </c>
      <c r="J39" s="15">
        <v>15290</v>
      </c>
      <c r="K39" s="60">
        <v>0</v>
      </c>
      <c r="L39" s="109">
        <f t="shared" si="2"/>
        <v>176274</v>
      </c>
    </row>
    <row r="40" spans="1:12" ht="15" hidden="1">
      <c r="A40" s="85" t="s">
        <v>502</v>
      </c>
      <c r="B40" s="86" t="s">
        <v>503</v>
      </c>
      <c r="C40" s="110">
        <f t="shared" si="0"/>
        <v>0</v>
      </c>
      <c r="D40" s="88"/>
      <c r="E40" s="89"/>
      <c r="F40" s="88"/>
      <c r="G40" s="89"/>
      <c r="H40" s="88"/>
      <c r="I40" s="89"/>
      <c r="J40" s="88"/>
      <c r="K40" s="89"/>
      <c r="L40" s="110">
        <f t="shared" si="2"/>
        <v>0</v>
      </c>
    </row>
    <row r="41" spans="1:12" ht="15">
      <c r="A41" s="55" t="s">
        <v>154</v>
      </c>
      <c r="B41" s="56" t="s">
        <v>155</v>
      </c>
      <c r="C41" s="9">
        <f t="shared" si="0"/>
        <v>14145998</v>
      </c>
      <c r="D41" s="57">
        <f aca="true" t="shared" si="14" ref="D41:K41">D42+D48+D53+D58</f>
        <v>6889668</v>
      </c>
      <c r="E41" s="58">
        <f t="shared" si="14"/>
        <v>987863</v>
      </c>
      <c r="F41" s="57">
        <f t="shared" si="14"/>
        <v>69675</v>
      </c>
      <c r="G41" s="58">
        <f t="shared" si="14"/>
        <v>0</v>
      </c>
      <c r="H41" s="57">
        <f t="shared" si="14"/>
        <v>7156655</v>
      </c>
      <c r="I41" s="58">
        <f t="shared" si="14"/>
        <v>1131210</v>
      </c>
      <c r="J41" s="57">
        <f t="shared" si="14"/>
        <v>30000</v>
      </c>
      <c r="K41" s="58">
        <f t="shared" si="14"/>
        <v>0</v>
      </c>
      <c r="L41" s="9">
        <f t="shared" si="2"/>
        <v>16265071</v>
      </c>
    </row>
    <row r="42" spans="1:12" ht="15">
      <c r="A42" s="10" t="s">
        <v>219</v>
      </c>
      <c r="B42" s="11" t="s">
        <v>220</v>
      </c>
      <c r="C42" s="108">
        <f t="shared" si="0"/>
        <v>6748682</v>
      </c>
      <c r="D42" s="12">
        <f aca="true" t="shared" si="15" ref="D42:K42">SUM(D43:D47)</f>
        <v>3467328</v>
      </c>
      <c r="E42" s="59">
        <f t="shared" si="15"/>
        <v>1000000</v>
      </c>
      <c r="F42" s="12">
        <f t="shared" si="15"/>
        <v>0</v>
      </c>
      <c r="G42" s="59">
        <f t="shared" si="15"/>
        <v>0</v>
      </c>
      <c r="H42" s="12">
        <f t="shared" si="15"/>
        <v>3281354</v>
      </c>
      <c r="I42" s="59">
        <f t="shared" si="15"/>
        <v>1131210</v>
      </c>
      <c r="J42" s="12">
        <f t="shared" si="15"/>
        <v>0</v>
      </c>
      <c r="K42" s="59">
        <f t="shared" si="15"/>
        <v>0</v>
      </c>
      <c r="L42" s="108">
        <f t="shared" si="2"/>
        <v>8879892</v>
      </c>
    </row>
    <row r="43" spans="1:12" ht="38.25">
      <c r="A43" s="16" t="s">
        <v>221</v>
      </c>
      <c r="B43" s="17" t="s">
        <v>222</v>
      </c>
      <c r="C43" s="109">
        <f aca="true" t="shared" si="16" ref="C43:C74">D43+F43+H43+J43</f>
        <v>1930642</v>
      </c>
      <c r="D43" s="18">
        <v>542245</v>
      </c>
      <c r="E43" s="60">
        <v>0</v>
      </c>
      <c r="F43" s="15">
        <v>0</v>
      </c>
      <c r="G43" s="60">
        <v>0</v>
      </c>
      <c r="H43" s="15">
        <v>1388397</v>
      </c>
      <c r="I43" s="60">
        <v>131210</v>
      </c>
      <c r="J43" s="15">
        <v>0</v>
      </c>
      <c r="K43" s="60">
        <v>0</v>
      </c>
      <c r="L43" s="109">
        <f aca="true" t="shared" si="17" ref="L43:L74">SUM(D43:K43)</f>
        <v>2061852</v>
      </c>
    </row>
    <row r="44" spans="1:12" ht="38.25">
      <c r="A44" s="16" t="s">
        <v>223</v>
      </c>
      <c r="B44" s="14" t="s">
        <v>437</v>
      </c>
      <c r="C44" s="109">
        <f t="shared" si="16"/>
        <v>3186109</v>
      </c>
      <c r="D44" s="18">
        <v>2375125</v>
      </c>
      <c r="E44" s="60">
        <v>0</v>
      </c>
      <c r="F44" s="15">
        <v>0</v>
      </c>
      <c r="G44" s="60">
        <v>0</v>
      </c>
      <c r="H44" s="15">
        <v>810984</v>
      </c>
      <c r="I44" s="60">
        <v>0</v>
      </c>
      <c r="J44" s="15">
        <v>0</v>
      </c>
      <c r="K44" s="60">
        <v>0</v>
      </c>
      <c r="L44" s="109">
        <f t="shared" si="17"/>
        <v>3186109</v>
      </c>
    </row>
    <row r="45" spans="1:12" ht="51">
      <c r="A45" s="13" t="s">
        <v>513</v>
      </c>
      <c r="B45" s="14" t="s">
        <v>512</v>
      </c>
      <c r="C45" s="109">
        <f t="shared" si="16"/>
        <v>1631931</v>
      </c>
      <c r="D45" s="15">
        <v>549958</v>
      </c>
      <c r="E45" s="60">
        <v>0</v>
      </c>
      <c r="F45" s="15">
        <v>0</v>
      </c>
      <c r="G45" s="60">
        <v>0</v>
      </c>
      <c r="H45" s="15">
        <v>1081973</v>
      </c>
      <c r="I45" s="60">
        <v>0</v>
      </c>
      <c r="J45" s="15">
        <v>0</v>
      </c>
      <c r="K45" s="60">
        <v>0</v>
      </c>
      <c r="L45" s="109">
        <f t="shared" si="17"/>
        <v>1631931</v>
      </c>
    </row>
    <row r="46" spans="1:12" ht="25.5">
      <c r="A46" s="13" t="s">
        <v>797</v>
      </c>
      <c r="B46" s="14" t="s">
        <v>798</v>
      </c>
      <c r="C46" s="109">
        <f t="shared" si="16"/>
        <v>0</v>
      </c>
      <c r="D46" s="15">
        <v>0</v>
      </c>
      <c r="E46" s="60">
        <v>1000000</v>
      </c>
      <c r="F46" s="15">
        <v>0</v>
      </c>
      <c r="G46" s="60">
        <v>0</v>
      </c>
      <c r="H46" s="15">
        <v>0</v>
      </c>
      <c r="I46" s="60">
        <v>1000000</v>
      </c>
      <c r="J46" s="15">
        <v>0</v>
      </c>
      <c r="K46" s="60">
        <v>0</v>
      </c>
      <c r="L46" s="109">
        <f t="shared" si="17"/>
        <v>2000000</v>
      </c>
    </row>
    <row r="47" spans="1:12" ht="15" hidden="1">
      <c r="A47" s="85" t="s">
        <v>502</v>
      </c>
      <c r="B47" s="86" t="s">
        <v>503</v>
      </c>
      <c r="C47" s="110">
        <f t="shared" si="16"/>
        <v>0</v>
      </c>
      <c r="D47" s="88"/>
      <c r="E47" s="89"/>
      <c r="F47" s="88"/>
      <c r="G47" s="89"/>
      <c r="H47" s="88"/>
      <c r="I47" s="89"/>
      <c r="J47" s="88"/>
      <c r="K47" s="89"/>
      <c r="L47" s="110">
        <f t="shared" si="17"/>
        <v>0</v>
      </c>
    </row>
    <row r="48" spans="1:12" ht="15">
      <c r="A48" s="10" t="s">
        <v>224</v>
      </c>
      <c r="B48" s="11" t="s">
        <v>225</v>
      </c>
      <c r="C48" s="108">
        <f t="shared" si="16"/>
        <v>1400356</v>
      </c>
      <c r="D48" s="12">
        <f aca="true" t="shared" si="18" ref="D48:K48">SUM(D49:D52)</f>
        <v>756410</v>
      </c>
      <c r="E48" s="61">
        <f t="shared" si="18"/>
        <v>-12137</v>
      </c>
      <c r="F48" s="23">
        <f t="shared" si="18"/>
        <v>69675</v>
      </c>
      <c r="G48" s="61">
        <f t="shared" si="18"/>
        <v>0</v>
      </c>
      <c r="H48" s="23">
        <f t="shared" si="18"/>
        <v>544271</v>
      </c>
      <c r="I48" s="61">
        <f t="shared" si="18"/>
        <v>0</v>
      </c>
      <c r="J48" s="23">
        <f t="shared" si="18"/>
        <v>30000</v>
      </c>
      <c r="K48" s="61">
        <f t="shared" si="18"/>
        <v>0</v>
      </c>
      <c r="L48" s="108">
        <f t="shared" si="17"/>
        <v>1388219</v>
      </c>
    </row>
    <row r="49" spans="1:12" ht="25.5">
      <c r="A49" s="16" t="s">
        <v>226</v>
      </c>
      <c r="B49" s="17" t="s">
        <v>514</v>
      </c>
      <c r="C49" s="109">
        <f t="shared" si="16"/>
        <v>734409</v>
      </c>
      <c r="D49" s="18">
        <v>634734</v>
      </c>
      <c r="E49" s="60">
        <v>0</v>
      </c>
      <c r="F49" s="15">
        <v>69675</v>
      </c>
      <c r="G49" s="60">
        <v>0</v>
      </c>
      <c r="H49" s="15">
        <v>0</v>
      </c>
      <c r="I49" s="60">
        <v>0</v>
      </c>
      <c r="J49" s="15">
        <v>30000</v>
      </c>
      <c r="K49" s="60">
        <v>0</v>
      </c>
      <c r="L49" s="109">
        <f t="shared" si="17"/>
        <v>734409</v>
      </c>
    </row>
    <row r="50" spans="1:12" ht="63.75">
      <c r="A50" s="13" t="s">
        <v>227</v>
      </c>
      <c r="B50" s="14" t="s">
        <v>228</v>
      </c>
      <c r="C50" s="109">
        <f t="shared" si="16"/>
        <v>189481</v>
      </c>
      <c r="D50" s="18">
        <v>11470</v>
      </c>
      <c r="E50" s="60">
        <v>0</v>
      </c>
      <c r="F50" s="15">
        <v>0</v>
      </c>
      <c r="G50" s="60">
        <v>0</v>
      </c>
      <c r="H50" s="15">
        <v>178011</v>
      </c>
      <c r="I50" s="60">
        <v>0</v>
      </c>
      <c r="J50" s="15">
        <v>0</v>
      </c>
      <c r="K50" s="60">
        <v>0</v>
      </c>
      <c r="L50" s="109">
        <f t="shared" si="17"/>
        <v>189481</v>
      </c>
    </row>
    <row r="51" spans="1:12" ht="51">
      <c r="A51" s="13" t="s">
        <v>439</v>
      </c>
      <c r="B51" s="14" t="s">
        <v>463</v>
      </c>
      <c r="C51" s="109">
        <f t="shared" si="16"/>
        <v>411725</v>
      </c>
      <c r="D51" s="15">
        <v>97786</v>
      </c>
      <c r="E51" s="60">
        <v>0</v>
      </c>
      <c r="F51" s="15">
        <v>0</v>
      </c>
      <c r="G51" s="60">
        <v>0</v>
      </c>
      <c r="H51" s="15">
        <v>313939</v>
      </c>
      <c r="I51" s="60">
        <v>0</v>
      </c>
      <c r="J51" s="15">
        <v>0</v>
      </c>
      <c r="K51" s="60">
        <v>0</v>
      </c>
      <c r="L51" s="109">
        <f t="shared" si="17"/>
        <v>411725</v>
      </c>
    </row>
    <row r="52" spans="1:12" ht="38.25">
      <c r="A52" s="13" t="s">
        <v>440</v>
      </c>
      <c r="B52" s="14" t="s">
        <v>438</v>
      </c>
      <c r="C52" s="109">
        <f t="shared" si="16"/>
        <v>64741</v>
      </c>
      <c r="D52" s="15">
        <v>12420</v>
      </c>
      <c r="E52" s="60">
        <v>-12137</v>
      </c>
      <c r="F52" s="15">
        <v>0</v>
      </c>
      <c r="G52" s="60">
        <v>0</v>
      </c>
      <c r="H52" s="15">
        <v>52321</v>
      </c>
      <c r="I52" s="60">
        <v>0</v>
      </c>
      <c r="J52" s="15">
        <v>0</v>
      </c>
      <c r="K52" s="60">
        <v>0</v>
      </c>
      <c r="L52" s="109">
        <f t="shared" si="17"/>
        <v>52604</v>
      </c>
    </row>
    <row r="53" spans="1:12" ht="15">
      <c r="A53" s="21" t="s">
        <v>229</v>
      </c>
      <c r="B53" s="22" t="s">
        <v>230</v>
      </c>
      <c r="C53" s="108">
        <f t="shared" si="16"/>
        <v>5879060</v>
      </c>
      <c r="D53" s="23">
        <f aca="true" t="shared" si="19" ref="D53:K53">SUM(D54:D57)</f>
        <v>2548030</v>
      </c>
      <c r="E53" s="61">
        <f t="shared" si="19"/>
        <v>0</v>
      </c>
      <c r="F53" s="23">
        <f t="shared" si="19"/>
        <v>0</v>
      </c>
      <c r="G53" s="61">
        <f t="shared" si="19"/>
        <v>0</v>
      </c>
      <c r="H53" s="23">
        <f t="shared" si="19"/>
        <v>3331030</v>
      </c>
      <c r="I53" s="61">
        <f t="shared" si="19"/>
        <v>0</v>
      </c>
      <c r="J53" s="23">
        <f t="shared" si="19"/>
        <v>0</v>
      </c>
      <c r="K53" s="61">
        <f t="shared" si="19"/>
        <v>0</v>
      </c>
      <c r="L53" s="108">
        <f t="shared" si="17"/>
        <v>5879060</v>
      </c>
    </row>
    <row r="54" spans="1:12" ht="25.5">
      <c r="A54" s="13" t="s">
        <v>447</v>
      </c>
      <c r="B54" s="14" t="s">
        <v>441</v>
      </c>
      <c r="C54" s="109">
        <f t="shared" si="16"/>
        <v>5695000</v>
      </c>
      <c r="D54" s="15">
        <v>2500000</v>
      </c>
      <c r="E54" s="60">
        <v>0</v>
      </c>
      <c r="F54" s="15">
        <v>0</v>
      </c>
      <c r="G54" s="60">
        <v>0</v>
      </c>
      <c r="H54" s="15">
        <v>3195000</v>
      </c>
      <c r="I54" s="60">
        <v>0</v>
      </c>
      <c r="J54" s="15">
        <v>0</v>
      </c>
      <c r="K54" s="60">
        <v>0</v>
      </c>
      <c r="L54" s="109">
        <f t="shared" si="17"/>
        <v>5695000</v>
      </c>
    </row>
    <row r="55" spans="1:12" ht="25.5">
      <c r="A55" s="13" t="s">
        <v>448</v>
      </c>
      <c r="B55" s="14" t="s">
        <v>479</v>
      </c>
      <c r="C55" s="109">
        <f t="shared" si="16"/>
        <v>49724</v>
      </c>
      <c r="D55" s="15">
        <v>48030</v>
      </c>
      <c r="E55" s="60">
        <v>0</v>
      </c>
      <c r="F55" s="15">
        <v>0</v>
      </c>
      <c r="G55" s="60">
        <v>0</v>
      </c>
      <c r="H55" s="15">
        <v>1694</v>
      </c>
      <c r="I55" s="60">
        <v>0</v>
      </c>
      <c r="J55" s="15">
        <v>0</v>
      </c>
      <c r="K55" s="60">
        <v>0</v>
      </c>
      <c r="L55" s="109">
        <f t="shared" si="17"/>
        <v>49724</v>
      </c>
    </row>
    <row r="56" spans="1:12" ht="25.5">
      <c r="A56" s="78" t="s">
        <v>464</v>
      </c>
      <c r="B56" s="79" t="s">
        <v>465</v>
      </c>
      <c r="C56" s="109">
        <f t="shared" si="16"/>
        <v>134336</v>
      </c>
      <c r="D56" s="15">
        <v>0</v>
      </c>
      <c r="E56" s="60">
        <v>0</v>
      </c>
      <c r="F56" s="15">
        <v>0</v>
      </c>
      <c r="G56" s="60">
        <v>0</v>
      </c>
      <c r="H56" s="15">
        <v>134336</v>
      </c>
      <c r="I56" s="60">
        <v>0</v>
      </c>
      <c r="J56" s="15">
        <v>0</v>
      </c>
      <c r="K56" s="60">
        <v>0</v>
      </c>
      <c r="L56" s="109">
        <f t="shared" si="17"/>
        <v>134336</v>
      </c>
    </row>
    <row r="57" spans="1:12" ht="15" hidden="1">
      <c r="A57" s="114" t="s">
        <v>502</v>
      </c>
      <c r="B57" s="115" t="s">
        <v>503</v>
      </c>
      <c r="C57" s="110">
        <f t="shared" si="16"/>
        <v>0</v>
      </c>
      <c r="D57" s="88"/>
      <c r="E57" s="89"/>
      <c r="F57" s="88"/>
      <c r="G57" s="89"/>
      <c r="H57" s="88"/>
      <c r="I57" s="89"/>
      <c r="J57" s="88"/>
      <c r="K57" s="89"/>
      <c r="L57" s="110">
        <f t="shared" si="17"/>
        <v>0</v>
      </c>
    </row>
    <row r="58" spans="1:12" ht="25.5">
      <c r="A58" s="10" t="s">
        <v>231</v>
      </c>
      <c r="B58" s="11" t="s">
        <v>232</v>
      </c>
      <c r="C58" s="108">
        <f t="shared" si="16"/>
        <v>117900</v>
      </c>
      <c r="D58" s="12">
        <f aca="true" t="shared" si="20" ref="D58:K58">SUM(D59:D61)</f>
        <v>117900</v>
      </c>
      <c r="E58" s="61">
        <f t="shared" si="20"/>
        <v>0</v>
      </c>
      <c r="F58" s="23">
        <f t="shared" si="20"/>
        <v>0</v>
      </c>
      <c r="G58" s="61">
        <f t="shared" si="20"/>
        <v>0</v>
      </c>
      <c r="H58" s="23">
        <f t="shared" si="20"/>
        <v>0</v>
      </c>
      <c r="I58" s="61">
        <f t="shared" si="20"/>
        <v>0</v>
      </c>
      <c r="J58" s="23">
        <f t="shared" si="20"/>
        <v>0</v>
      </c>
      <c r="K58" s="61">
        <f t="shared" si="20"/>
        <v>0</v>
      </c>
      <c r="L58" s="108">
        <f t="shared" si="17"/>
        <v>117900</v>
      </c>
    </row>
    <row r="59" spans="1:12" ht="38.25">
      <c r="A59" s="16" t="s">
        <v>233</v>
      </c>
      <c r="B59" s="17" t="s">
        <v>234</v>
      </c>
      <c r="C59" s="109">
        <f t="shared" si="16"/>
        <v>61900</v>
      </c>
      <c r="D59" s="18">
        <v>61900</v>
      </c>
      <c r="E59" s="60">
        <v>0</v>
      </c>
      <c r="F59" s="15">
        <v>0</v>
      </c>
      <c r="G59" s="60">
        <v>0</v>
      </c>
      <c r="H59" s="15">
        <v>0</v>
      </c>
      <c r="I59" s="60">
        <v>0</v>
      </c>
      <c r="J59" s="15">
        <v>0</v>
      </c>
      <c r="K59" s="60">
        <v>0</v>
      </c>
      <c r="L59" s="109">
        <f t="shared" si="17"/>
        <v>61900</v>
      </c>
    </row>
    <row r="60" spans="1:12" s="65" customFormat="1" ht="25.5">
      <c r="A60" s="13" t="s">
        <v>235</v>
      </c>
      <c r="B60" s="14" t="s">
        <v>236</v>
      </c>
      <c r="C60" s="109">
        <f t="shared" si="16"/>
        <v>6000</v>
      </c>
      <c r="D60" s="15">
        <v>6000</v>
      </c>
      <c r="E60" s="60">
        <v>0</v>
      </c>
      <c r="F60" s="15">
        <v>0</v>
      </c>
      <c r="G60" s="60">
        <v>0</v>
      </c>
      <c r="H60" s="15">
        <v>0</v>
      </c>
      <c r="I60" s="60">
        <v>0</v>
      </c>
      <c r="J60" s="15">
        <v>0</v>
      </c>
      <c r="K60" s="60">
        <v>0</v>
      </c>
      <c r="L60" s="109">
        <f t="shared" si="17"/>
        <v>6000</v>
      </c>
    </row>
    <row r="61" spans="1:12" ht="38.25">
      <c r="A61" s="16" t="s">
        <v>237</v>
      </c>
      <c r="B61" s="14" t="s">
        <v>238</v>
      </c>
      <c r="C61" s="109">
        <f t="shared" si="16"/>
        <v>50000</v>
      </c>
      <c r="D61" s="18">
        <v>50000</v>
      </c>
      <c r="E61" s="60">
        <v>0</v>
      </c>
      <c r="F61" s="15">
        <v>0</v>
      </c>
      <c r="G61" s="60">
        <v>0</v>
      </c>
      <c r="H61" s="15">
        <v>0</v>
      </c>
      <c r="I61" s="60">
        <v>0</v>
      </c>
      <c r="J61" s="15">
        <v>0</v>
      </c>
      <c r="K61" s="60">
        <v>0</v>
      </c>
      <c r="L61" s="109">
        <f t="shared" si="17"/>
        <v>50000</v>
      </c>
    </row>
    <row r="62" spans="1:12" ht="15">
      <c r="A62" s="55" t="s">
        <v>156</v>
      </c>
      <c r="B62" s="56" t="s">
        <v>157</v>
      </c>
      <c r="C62" s="9">
        <f t="shared" si="16"/>
        <v>3073856</v>
      </c>
      <c r="D62" s="57">
        <f>D63+D66+D68+D71</f>
        <v>3073856</v>
      </c>
      <c r="E62" s="58">
        <f>E63+E66+E68+E71</f>
        <v>58260</v>
      </c>
      <c r="F62" s="57">
        <f aca="true" t="shared" si="21" ref="F62:K62">F63+F66+F68+F71</f>
        <v>0</v>
      </c>
      <c r="G62" s="58">
        <f t="shared" si="21"/>
        <v>0</v>
      </c>
      <c r="H62" s="57">
        <f t="shared" si="21"/>
        <v>0</v>
      </c>
      <c r="I62" s="58">
        <f t="shared" si="21"/>
        <v>0</v>
      </c>
      <c r="J62" s="57">
        <f t="shared" si="21"/>
        <v>0</v>
      </c>
      <c r="K62" s="58">
        <f t="shared" si="21"/>
        <v>0</v>
      </c>
      <c r="L62" s="9">
        <f t="shared" si="17"/>
        <v>3132116</v>
      </c>
    </row>
    <row r="63" spans="1:12" ht="15">
      <c r="A63" s="10" t="s">
        <v>239</v>
      </c>
      <c r="B63" s="11" t="s">
        <v>240</v>
      </c>
      <c r="C63" s="108">
        <f t="shared" si="16"/>
        <v>2353607</v>
      </c>
      <c r="D63" s="12">
        <f>SUM(D64:D65)</f>
        <v>2353607</v>
      </c>
      <c r="E63" s="59">
        <f aca="true" t="shared" si="22" ref="E63:K63">SUM(E64:E65)</f>
        <v>78000</v>
      </c>
      <c r="F63" s="12">
        <f t="shared" si="22"/>
        <v>0</v>
      </c>
      <c r="G63" s="59">
        <f t="shared" si="22"/>
        <v>0</v>
      </c>
      <c r="H63" s="12">
        <f t="shared" si="22"/>
        <v>0</v>
      </c>
      <c r="I63" s="59">
        <f t="shared" si="22"/>
        <v>0</v>
      </c>
      <c r="J63" s="12">
        <f t="shared" si="22"/>
        <v>0</v>
      </c>
      <c r="K63" s="59">
        <f t="shared" si="22"/>
        <v>0</v>
      </c>
      <c r="L63" s="108">
        <f t="shared" si="17"/>
        <v>2431607</v>
      </c>
    </row>
    <row r="64" spans="1:12" ht="38.25">
      <c r="A64" s="16" t="s">
        <v>241</v>
      </c>
      <c r="B64" s="17" t="s">
        <v>242</v>
      </c>
      <c r="C64" s="109">
        <f t="shared" si="16"/>
        <v>1612428</v>
      </c>
      <c r="D64" s="18">
        <v>1612428</v>
      </c>
      <c r="E64" s="60">
        <v>78000</v>
      </c>
      <c r="F64" s="15">
        <v>0</v>
      </c>
      <c r="G64" s="81">
        <v>0</v>
      </c>
      <c r="H64" s="15">
        <v>0</v>
      </c>
      <c r="I64" s="81">
        <v>0</v>
      </c>
      <c r="J64" s="15">
        <v>0</v>
      </c>
      <c r="K64" s="81">
        <v>0</v>
      </c>
      <c r="L64" s="109">
        <f t="shared" si="17"/>
        <v>1690428</v>
      </c>
    </row>
    <row r="65" spans="1:12" ht="15">
      <c r="A65" s="16" t="s">
        <v>243</v>
      </c>
      <c r="B65" s="17" t="s">
        <v>466</v>
      </c>
      <c r="C65" s="109">
        <f t="shared" si="16"/>
        <v>741179</v>
      </c>
      <c r="D65" s="18">
        <v>741179</v>
      </c>
      <c r="E65" s="60">
        <v>0</v>
      </c>
      <c r="F65" s="15">
        <v>0</v>
      </c>
      <c r="G65" s="81">
        <v>0</v>
      </c>
      <c r="H65" s="15">
        <v>0</v>
      </c>
      <c r="I65" s="81">
        <v>0</v>
      </c>
      <c r="J65" s="15">
        <v>0</v>
      </c>
      <c r="K65" s="81">
        <v>0</v>
      </c>
      <c r="L65" s="109">
        <f t="shared" si="17"/>
        <v>741179</v>
      </c>
    </row>
    <row r="66" spans="1:12" ht="15">
      <c r="A66" s="10" t="s">
        <v>244</v>
      </c>
      <c r="B66" s="11" t="s">
        <v>245</v>
      </c>
      <c r="C66" s="108">
        <f t="shared" si="16"/>
        <v>568399</v>
      </c>
      <c r="D66" s="23">
        <f>D67</f>
        <v>568399</v>
      </c>
      <c r="E66" s="61">
        <f aca="true" t="shared" si="23" ref="E66:K66">E67</f>
        <v>-19740</v>
      </c>
      <c r="F66" s="23">
        <f t="shared" si="23"/>
        <v>0</v>
      </c>
      <c r="G66" s="61">
        <f t="shared" si="23"/>
        <v>0</v>
      </c>
      <c r="H66" s="23">
        <f t="shared" si="23"/>
        <v>0</v>
      </c>
      <c r="I66" s="61">
        <f t="shared" si="23"/>
        <v>0</v>
      </c>
      <c r="J66" s="23">
        <f t="shared" si="23"/>
        <v>0</v>
      </c>
      <c r="K66" s="61">
        <f t="shared" si="23"/>
        <v>0</v>
      </c>
      <c r="L66" s="108">
        <f t="shared" si="17"/>
        <v>548659</v>
      </c>
    </row>
    <row r="67" spans="1:12" ht="15">
      <c r="A67" s="16" t="s">
        <v>246</v>
      </c>
      <c r="B67" s="17" t="s">
        <v>245</v>
      </c>
      <c r="C67" s="109">
        <f t="shared" si="16"/>
        <v>568399</v>
      </c>
      <c r="D67" s="18">
        <v>568399</v>
      </c>
      <c r="E67" s="60">
        <v>-19740</v>
      </c>
      <c r="F67" s="15">
        <v>0</v>
      </c>
      <c r="G67" s="60">
        <v>0</v>
      </c>
      <c r="H67" s="15">
        <v>0</v>
      </c>
      <c r="I67" s="60">
        <v>0</v>
      </c>
      <c r="J67" s="15">
        <v>0</v>
      </c>
      <c r="K67" s="60">
        <v>0</v>
      </c>
      <c r="L67" s="109">
        <f t="shared" si="17"/>
        <v>548659</v>
      </c>
    </row>
    <row r="68" spans="1:12" ht="25.5">
      <c r="A68" s="21" t="s">
        <v>247</v>
      </c>
      <c r="B68" s="22" t="s">
        <v>248</v>
      </c>
      <c r="C68" s="108">
        <f t="shared" si="16"/>
        <v>151850</v>
      </c>
      <c r="D68" s="23">
        <f>SUM(D69:D70)</f>
        <v>151850</v>
      </c>
      <c r="E68" s="61">
        <f aca="true" t="shared" si="24" ref="E68:K68">SUM(E69:E70)</f>
        <v>0</v>
      </c>
      <c r="F68" s="23">
        <f t="shared" si="24"/>
        <v>0</v>
      </c>
      <c r="G68" s="61">
        <f t="shared" si="24"/>
        <v>0</v>
      </c>
      <c r="H68" s="23">
        <f t="shared" si="24"/>
        <v>0</v>
      </c>
      <c r="I68" s="61">
        <f t="shared" si="24"/>
        <v>0</v>
      </c>
      <c r="J68" s="23">
        <f t="shared" si="24"/>
        <v>0</v>
      </c>
      <c r="K68" s="61">
        <f t="shared" si="24"/>
        <v>0</v>
      </c>
      <c r="L68" s="108">
        <f t="shared" si="17"/>
        <v>151850</v>
      </c>
    </row>
    <row r="69" spans="1:12" ht="38.25">
      <c r="A69" s="13" t="s">
        <v>249</v>
      </c>
      <c r="B69" s="14" t="s">
        <v>442</v>
      </c>
      <c r="C69" s="109">
        <f t="shared" si="16"/>
        <v>151850</v>
      </c>
      <c r="D69" s="15">
        <v>151850</v>
      </c>
      <c r="E69" s="60">
        <v>0</v>
      </c>
      <c r="F69" s="15">
        <v>0</v>
      </c>
      <c r="G69" s="60">
        <v>0</v>
      </c>
      <c r="H69" s="15">
        <v>0</v>
      </c>
      <c r="I69" s="60">
        <v>0</v>
      </c>
      <c r="J69" s="15">
        <v>0</v>
      </c>
      <c r="K69" s="60">
        <v>0</v>
      </c>
      <c r="L69" s="109">
        <f t="shared" si="17"/>
        <v>151850</v>
      </c>
    </row>
    <row r="70" spans="1:12" ht="15" hidden="1">
      <c r="A70" s="85" t="s">
        <v>502</v>
      </c>
      <c r="B70" s="86" t="s">
        <v>503</v>
      </c>
      <c r="C70" s="110">
        <f t="shared" si="16"/>
        <v>0</v>
      </c>
      <c r="D70" s="88"/>
      <c r="E70" s="89"/>
      <c r="F70" s="88"/>
      <c r="G70" s="89"/>
      <c r="H70" s="88"/>
      <c r="I70" s="89"/>
      <c r="J70" s="88"/>
      <c r="K70" s="89"/>
      <c r="L70" s="110">
        <f t="shared" si="17"/>
        <v>0</v>
      </c>
    </row>
    <row r="71" spans="1:12" ht="25.5" hidden="1">
      <c r="A71" s="90" t="s">
        <v>250</v>
      </c>
      <c r="B71" s="91" t="s">
        <v>251</v>
      </c>
      <c r="C71" s="110">
        <f t="shared" si="16"/>
        <v>0</v>
      </c>
      <c r="D71" s="87">
        <f>SUM(D72:D73)</f>
        <v>0</v>
      </c>
      <c r="E71" s="92">
        <f aca="true" t="shared" si="25" ref="E71:K71">SUM(E72:E73)</f>
        <v>0</v>
      </c>
      <c r="F71" s="87">
        <f t="shared" si="25"/>
        <v>0</v>
      </c>
      <c r="G71" s="92">
        <f t="shared" si="25"/>
        <v>0</v>
      </c>
      <c r="H71" s="87">
        <f t="shared" si="25"/>
        <v>0</v>
      </c>
      <c r="I71" s="92">
        <f t="shared" si="25"/>
        <v>0</v>
      </c>
      <c r="J71" s="87">
        <f t="shared" si="25"/>
        <v>0</v>
      </c>
      <c r="K71" s="92">
        <f t="shared" si="25"/>
        <v>0</v>
      </c>
      <c r="L71" s="110">
        <f t="shared" si="17"/>
        <v>0</v>
      </c>
    </row>
    <row r="72" spans="1:12" ht="15" hidden="1">
      <c r="A72" s="85" t="s">
        <v>502</v>
      </c>
      <c r="B72" s="86" t="s">
        <v>503</v>
      </c>
      <c r="C72" s="110">
        <f t="shared" si="16"/>
        <v>0</v>
      </c>
      <c r="D72" s="93"/>
      <c r="E72" s="94"/>
      <c r="F72" s="88"/>
      <c r="G72" s="94"/>
      <c r="H72" s="88"/>
      <c r="I72" s="94"/>
      <c r="J72" s="88"/>
      <c r="K72" s="94"/>
      <c r="L72" s="110">
        <f t="shared" si="17"/>
        <v>0</v>
      </c>
    </row>
    <row r="73" spans="1:12" ht="15" hidden="1">
      <c r="A73" s="85" t="s">
        <v>502</v>
      </c>
      <c r="B73" s="86" t="s">
        <v>503</v>
      </c>
      <c r="C73" s="110">
        <f t="shared" si="16"/>
        <v>0</v>
      </c>
      <c r="D73" s="93"/>
      <c r="E73" s="89"/>
      <c r="F73" s="88"/>
      <c r="G73" s="89"/>
      <c r="H73" s="88"/>
      <c r="I73" s="89"/>
      <c r="J73" s="88"/>
      <c r="K73" s="89"/>
      <c r="L73" s="110">
        <f t="shared" si="17"/>
        <v>0</v>
      </c>
    </row>
    <row r="74" spans="1:12" ht="15">
      <c r="A74" s="55" t="s">
        <v>158</v>
      </c>
      <c r="B74" s="56" t="s">
        <v>159</v>
      </c>
      <c r="C74" s="9">
        <f t="shared" si="16"/>
        <v>4694637</v>
      </c>
      <c r="D74" s="57">
        <f>D75+D77+D79+D82</f>
        <v>4437866</v>
      </c>
      <c r="E74" s="58">
        <f aca="true" t="shared" si="26" ref="E74:K74">E75+E77+E79+E82</f>
        <v>304698</v>
      </c>
      <c r="F74" s="57">
        <f t="shared" si="26"/>
        <v>157169</v>
      </c>
      <c r="G74" s="58">
        <f t="shared" si="26"/>
        <v>0</v>
      </c>
      <c r="H74" s="57">
        <f t="shared" si="26"/>
        <v>99602</v>
      </c>
      <c r="I74" s="58">
        <f t="shared" si="26"/>
        <v>145690</v>
      </c>
      <c r="J74" s="57">
        <f t="shared" si="26"/>
        <v>0</v>
      </c>
      <c r="K74" s="58">
        <f t="shared" si="26"/>
        <v>0</v>
      </c>
      <c r="L74" s="9">
        <f t="shared" si="17"/>
        <v>5145025</v>
      </c>
    </row>
    <row r="75" spans="1:12" ht="15" hidden="1">
      <c r="A75" s="90" t="s">
        <v>450</v>
      </c>
      <c r="B75" s="91" t="s">
        <v>449</v>
      </c>
      <c r="C75" s="110">
        <f aca="true" t="shared" si="27" ref="C75:C82">D75+F75+H75+J75</f>
        <v>0</v>
      </c>
      <c r="D75" s="87">
        <f>D76</f>
        <v>0</v>
      </c>
      <c r="E75" s="92">
        <f aca="true" t="shared" si="28" ref="E75:K77">E76</f>
        <v>0</v>
      </c>
      <c r="F75" s="87">
        <f t="shared" si="28"/>
        <v>0</v>
      </c>
      <c r="G75" s="92">
        <f t="shared" si="28"/>
        <v>0</v>
      </c>
      <c r="H75" s="87">
        <f t="shared" si="28"/>
        <v>0</v>
      </c>
      <c r="I75" s="92">
        <f t="shared" si="28"/>
        <v>0</v>
      </c>
      <c r="J75" s="87">
        <f t="shared" si="28"/>
        <v>0</v>
      </c>
      <c r="K75" s="92">
        <f t="shared" si="28"/>
        <v>0</v>
      </c>
      <c r="L75" s="110">
        <f aca="true" t="shared" si="29" ref="L75:L82">SUM(D75:K75)</f>
        <v>0</v>
      </c>
    </row>
    <row r="76" spans="1:12" ht="15" hidden="1">
      <c r="A76" s="85" t="s">
        <v>502</v>
      </c>
      <c r="B76" s="86" t="s">
        <v>503</v>
      </c>
      <c r="C76" s="110">
        <f t="shared" si="27"/>
        <v>0</v>
      </c>
      <c r="D76" s="88"/>
      <c r="E76" s="89"/>
      <c r="F76" s="88"/>
      <c r="G76" s="89"/>
      <c r="H76" s="88"/>
      <c r="I76" s="89"/>
      <c r="J76" s="88"/>
      <c r="K76" s="89"/>
      <c r="L76" s="110">
        <f t="shared" si="29"/>
        <v>0</v>
      </c>
    </row>
    <row r="77" spans="1:12" ht="15">
      <c r="A77" s="10" t="s">
        <v>252</v>
      </c>
      <c r="B77" s="11" t="s">
        <v>253</v>
      </c>
      <c r="C77" s="108">
        <f t="shared" si="27"/>
        <v>242632</v>
      </c>
      <c r="D77" s="23">
        <f>D78</f>
        <v>242632</v>
      </c>
      <c r="E77" s="61">
        <f t="shared" si="28"/>
        <v>0</v>
      </c>
      <c r="F77" s="23">
        <f t="shared" si="28"/>
        <v>0</v>
      </c>
      <c r="G77" s="61">
        <f t="shared" si="28"/>
        <v>0</v>
      </c>
      <c r="H77" s="23">
        <f t="shared" si="28"/>
        <v>0</v>
      </c>
      <c r="I77" s="61">
        <f t="shared" si="28"/>
        <v>0</v>
      </c>
      <c r="J77" s="23">
        <f t="shared" si="28"/>
        <v>0</v>
      </c>
      <c r="K77" s="61">
        <f t="shared" si="28"/>
        <v>0</v>
      </c>
      <c r="L77" s="108">
        <f t="shared" si="29"/>
        <v>242632</v>
      </c>
    </row>
    <row r="78" spans="1:12" ht="25.5">
      <c r="A78" s="16" t="s">
        <v>254</v>
      </c>
      <c r="B78" s="17" t="s">
        <v>255</v>
      </c>
      <c r="C78" s="109">
        <f t="shared" si="27"/>
        <v>242632</v>
      </c>
      <c r="D78" s="18">
        <v>242632</v>
      </c>
      <c r="E78" s="60">
        <v>0</v>
      </c>
      <c r="F78" s="15">
        <v>0</v>
      </c>
      <c r="G78" s="60">
        <v>0</v>
      </c>
      <c r="H78" s="15">
        <v>0</v>
      </c>
      <c r="I78" s="60">
        <v>0</v>
      </c>
      <c r="J78" s="15">
        <v>0</v>
      </c>
      <c r="K78" s="60">
        <v>0</v>
      </c>
      <c r="L78" s="109">
        <f t="shared" si="29"/>
        <v>242632</v>
      </c>
    </row>
    <row r="79" spans="1:12" ht="15">
      <c r="A79" s="10" t="s">
        <v>256</v>
      </c>
      <c r="B79" s="11" t="s">
        <v>257</v>
      </c>
      <c r="C79" s="108">
        <f t="shared" si="27"/>
        <v>641494</v>
      </c>
      <c r="D79" s="23">
        <f>D80+D81</f>
        <v>631494</v>
      </c>
      <c r="E79" s="61">
        <f aca="true" t="shared" si="30" ref="E79:K79">E80+E81</f>
        <v>114001</v>
      </c>
      <c r="F79" s="23">
        <f t="shared" si="30"/>
        <v>10000</v>
      </c>
      <c r="G79" s="61">
        <f t="shared" si="30"/>
        <v>0</v>
      </c>
      <c r="H79" s="23">
        <f t="shared" si="30"/>
        <v>0</v>
      </c>
      <c r="I79" s="61">
        <f t="shared" si="30"/>
        <v>145690</v>
      </c>
      <c r="J79" s="23">
        <f t="shared" si="30"/>
        <v>0</v>
      </c>
      <c r="K79" s="61">
        <f t="shared" si="30"/>
        <v>0</v>
      </c>
      <c r="L79" s="108">
        <f t="shared" si="29"/>
        <v>901185</v>
      </c>
    </row>
    <row r="80" spans="1:12" ht="15">
      <c r="A80" s="16" t="s">
        <v>258</v>
      </c>
      <c r="B80" s="17" t="s">
        <v>257</v>
      </c>
      <c r="C80" s="109">
        <f t="shared" si="27"/>
        <v>641494</v>
      </c>
      <c r="D80" s="18">
        <v>631494</v>
      </c>
      <c r="E80" s="60">
        <v>5000</v>
      </c>
      <c r="F80" s="15">
        <v>10000</v>
      </c>
      <c r="G80" s="60">
        <v>0</v>
      </c>
      <c r="H80" s="15">
        <v>0</v>
      </c>
      <c r="I80" s="60">
        <v>0</v>
      </c>
      <c r="J80" s="15">
        <v>0</v>
      </c>
      <c r="K80" s="60">
        <v>0</v>
      </c>
      <c r="L80" s="109">
        <f t="shared" si="29"/>
        <v>646494</v>
      </c>
    </row>
    <row r="81" spans="1:12" ht="67.5" customHeight="1">
      <c r="A81" s="13" t="s">
        <v>799</v>
      </c>
      <c r="B81" s="14" t="s">
        <v>800</v>
      </c>
      <c r="C81" s="109">
        <f t="shared" si="27"/>
        <v>0</v>
      </c>
      <c r="D81" s="15">
        <v>0</v>
      </c>
      <c r="E81" s="60">
        <v>109001</v>
      </c>
      <c r="F81" s="15">
        <v>0</v>
      </c>
      <c r="G81" s="60">
        <v>0</v>
      </c>
      <c r="H81" s="15">
        <v>0</v>
      </c>
      <c r="I81" s="60">
        <v>145690</v>
      </c>
      <c r="J81" s="15">
        <v>0</v>
      </c>
      <c r="K81" s="60">
        <v>0</v>
      </c>
      <c r="L81" s="109">
        <f t="shared" si="29"/>
        <v>254691</v>
      </c>
    </row>
    <row r="82" spans="1:12" ht="25.5">
      <c r="A82" s="10" t="s">
        <v>259</v>
      </c>
      <c r="B82" s="11" t="s">
        <v>260</v>
      </c>
      <c r="C82" s="108">
        <f t="shared" si="27"/>
        <v>3810511</v>
      </c>
      <c r="D82" s="12">
        <f>SUM(D83:D89)</f>
        <v>3563740</v>
      </c>
      <c r="E82" s="61">
        <f aca="true" t="shared" si="31" ref="E82:K82">SUM(E83:E89)</f>
        <v>190697</v>
      </c>
      <c r="F82" s="23">
        <f t="shared" si="31"/>
        <v>147169</v>
      </c>
      <c r="G82" s="61">
        <f t="shared" si="31"/>
        <v>0</v>
      </c>
      <c r="H82" s="23">
        <f t="shared" si="31"/>
        <v>99602</v>
      </c>
      <c r="I82" s="61">
        <f t="shared" si="31"/>
        <v>0</v>
      </c>
      <c r="J82" s="12">
        <f t="shared" si="31"/>
        <v>0</v>
      </c>
      <c r="K82" s="59">
        <f t="shared" si="31"/>
        <v>0</v>
      </c>
      <c r="L82" s="108">
        <f t="shared" si="29"/>
        <v>4001208</v>
      </c>
    </row>
    <row r="83" spans="1:12" ht="25.5">
      <c r="A83" s="16" t="s">
        <v>261</v>
      </c>
      <c r="B83" s="17" t="s">
        <v>515</v>
      </c>
      <c r="C83" s="109">
        <f aca="true" t="shared" si="32" ref="C83:C88">D83+F83+H83+J83</f>
        <v>1047878</v>
      </c>
      <c r="D83" s="18">
        <v>967121</v>
      </c>
      <c r="E83" s="60">
        <v>8000</v>
      </c>
      <c r="F83" s="15">
        <v>80757</v>
      </c>
      <c r="G83" s="60">
        <v>0</v>
      </c>
      <c r="H83" s="15">
        <v>0</v>
      </c>
      <c r="I83" s="60">
        <v>0</v>
      </c>
      <c r="J83" s="15">
        <v>0</v>
      </c>
      <c r="K83" s="81">
        <v>0</v>
      </c>
      <c r="L83" s="109">
        <f aca="true" t="shared" si="33" ref="L83:L89">SUM(D83:K83)</f>
        <v>1055878</v>
      </c>
    </row>
    <row r="84" spans="1:12" ht="25.5">
      <c r="A84" s="16" t="s">
        <v>262</v>
      </c>
      <c r="B84" s="17" t="s">
        <v>453</v>
      </c>
      <c r="C84" s="109">
        <f t="shared" si="32"/>
        <v>1989721</v>
      </c>
      <c r="D84" s="18">
        <v>1989721</v>
      </c>
      <c r="E84" s="60">
        <v>182697</v>
      </c>
      <c r="F84" s="15">
        <v>0</v>
      </c>
      <c r="G84" s="60">
        <v>0</v>
      </c>
      <c r="H84" s="15">
        <v>0</v>
      </c>
      <c r="I84" s="60">
        <v>0</v>
      </c>
      <c r="J84" s="15">
        <v>0</v>
      </c>
      <c r="K84" s="60">
        <v>0</v>
      </c>
      <c r="L84" s="109">
        <f t="shared" si="33"/>
        <v>2172418</v>
      </c>
    </row>
    <row r="85" spans="1:12" ht="25.5">
      <c r="A85" s="16" t="s">
        <v>263</v>
      </c>
      <c r="B85" s="17" t="s">
        <v>264</v>
      </c>
      <c r="C85" s="109">
        <f t="shared" si="32"/>
        <v>256508</v>
      </c>
      <c r="D85" s="18">
        <v>256508</v>
      </c>
      <c r="E85" s="60">
        <v>0</v>
      </c>
      <c r="F85" s="15">
        <v>0</v>
      </c>
      <c r="G85" s="60">
        <v>0</v>
      </c>
      <c r="H85" s="15">
        <v>0</v>
      </c>
      <c r="I85" s="60">
        <v>0</v>
      </c>
      <c r="J85" s="15">
        <v>0</v>
      </c>
      <c r="K85" s="60">
        <v>0</v>
      </c>
      <c r="L85" s="109">
        <f t="shared" si="33"/>
        <v>256508</v>
      </c>
    </row>
    <row r="86" spans="1:12" ht="25.5">
      <c r="A86" s="16" t="s">
        <v>265</v>
      </c>
      <c r="B86" s="17" t="s">
        <v>266</v>
      </c>
      <c r="C86" s="109">
        <f t="shared" si="32"/>
        <v>488404</v>
      </c>
      <c r="D86" s="18">
        <v>322390</v>
      </c>
      <c r="E86" s="60">
        <v>0</v>
      </c>
      <c r="F86" s="15">
        <v>66412</v>
      </c>
      <c r="G86" s="60">
        <v>0</v>
      </c>
      <c r="H86" s="15">
        <v>99602</v>
      </c>
      <c r="I86" s="60">
        <v>0</v>
      </c>
      <c r="J86" s="15">
        <v>0</v>
      </c>
      <c r="K86" s="81">
        <v>0</v>
      </c>
      <c r="L86" s="109">
        <f t="shared" si="33"/>
        <v>488404</v>
      </c>
    </row>
    <row r="87" spans="1:12" ht="38.25">
      <c r="A87" s="16" t="s">
        <v>267</v>
      </c>
      <c r="B87" s="17" t="s">
        <v>268</v>
      </c>
      <c r="C87" s="109">
        <f t="shared" si="32"/>
        <v>7000</v>
      </c>
      <c r="D87" s="18">
        <v>7000</v>
      </c>
      <c r="E87" s="60">
        <v>0</v>
      </c>
      <c r="F87" s="15">
        <v>0</v>
      </c>
      <c r="G87" s="60">
        <v>0</v>
      </c>
      <c r="H87" s="15">
        <v>0</v>
      </c>
      <c r="I87" s="60">
        <v>0</v>
      </c>
      <c r="J87" s="15">
        <v>0</v>
      </c>
      <c r="K87" s="81">
        <v>0</v>
      </c>
      <c r="L87" s="109">
        <f t="shared" si="33"/>
        <v>7000</v>
      </c>
    </row>
    <row r="88" spans="1:12" ht="51">
      <c r="A88" s="16" t="s">
        <v>269</v>
      </c>
      <c r="B88" s="17" t="s">
        <v>270</v>
      </c>
      <c r="C88" s="109">
        <f t="shared" si="32"/>
        <v>21000</v>
      </c>
      <c r="D88" s="18">
        <v>21000</v>
      </c>
      <c r="E88" s="60">
        <v>0</v>
      </c>
      <c r="F88" s="15">
        <v>0</v>
      </c>
      <c r="G88" s="60">
        <v>0</v>
      </c>
      <c r="H88" s="15">
        <v>0</v>
      </c>
      <c r="I88" s="60">
        <v>0</v>
      </c>
      <c r="J88" s="15">
        <v>0</v>
      </c>
      <c r="K88" s="81">
        <v>0</v>
      </c>
      <c r="L88" s="109">
        <f t="shared" si="33"/>
        <v>21000</v>
      </c>
    </row>
    <row r="89" spans="1:12" ht="15" hidden="1">
      <c r="A89" s="85" t="s">
        <v>502</v>
      </c>
      <c r="B89" s="86" t="s">
        <v>503</v>
      </c>
      <c r="C89" s="110">
        <f>D89+F89+H89+J89</f>
        <v>0</v>
      </c>
      <c r="D89" s="88"/>
      <c r="E89" s="89"/>
      <c r="F89" s="88"/>
      <c r="G89" s="89"/>
      <c r="H89" s="88"/>
      <c r="I89" s="89"/>
      <c r="J89" s="88"/>
      <c r="K89" s="89"/>
      <c r="L89" s="110">
        <f t="shared" si="33"/>
        <v>0</v>
      </c>
    </row>
    <row r="90" spans="1:12" ht="15">
      <c r="A90" s="55" t="s">
        <v>160</v>
      </c>
      <c r="B90" s="56" t="s">
        <v>161</v>
      </c>
      <c r="C90" s="9">
        <f>D90+F90+H90+J90</f>
        <v>281300</v>
      </c>
      <c r="D90" s="57">
        <f aca="true" t="shared" si="34" ref="D90:K90">SUM(D91:D96)</f>
        <v>222282</v>
      </c>
      <c r="E90" s="58">
        <f t="shared" si="34"/>
        <v>0</v>
      </c>
      <c r="F90" s="57">
        <f t="shared" si="34"/>
        <v>0</v>
      </c>
      <c r="G90" s="58">
        <f t="shared" si="34"/>
        <v>0</v>
      </c>
      <c r="H90" s="57">
        <f t="shared" si="34"/>
        <v>59018</v>
      </c>
      <c r="I90" s="58">
        <f t="shared" si="34"/>
        <v>0</v>
      </c>
      <c r="J90" s="57">
        <f t="shared" si="34"/>
        <v>0</v>
      </c>
      <c r="K90" s="58">
        <f t="shared" si="34"/>
        <v>0</v>
      </c>
      <c r="L90" s="9">
        <f>SUM(D90:K90)</f>
        <v>281300</v>
      </c>
    </row>
    <row r="91" spans="1:12" ht="15">
      <c r="A91" s="16" t="s">
        <v>271</v>
      </c>
      <c r="B91" s="17" t="s">
        <v>272</v>
      </c>
      <c r="C91" s="109">
        <f aca="true" t="shared" si="35" ref="C91:C96">D91+F91+H91+J91</f>
        <v>72630</v>
      </c>
      <c r="D91" s="18">
        <v>69900</v>
      </c>
      <c r="E91" s="60">
        <v>0</v>
      </c>
      <c r="F91" s="15">
        <v>0</v>
      </c>
      <c r="G91" s="60">
        <v>0</v>
      </c>
      <c r="H91" s="15">
        <v>2730</v>
      </c>
      <c r="I91" s="60">
        <v>0</v>
      </c>
      <c r="J91" s="15">
        <v>0</v>
      </c>
      <c r="K91" s="81">
        <v>0</v>
      </c>
      <c r="L91" s="109">
        <f aca="true" t="shared" si="36" ref="L91:L96">SUM(D91:K91)</f>
        <v>72630</v>
      </c>
    </row>
    <row r="92" spans="1:12" ht="25.5">
      <c r="A92" s="16" t="s">
        <v>273</v>
      </c>
      <c r="B92" s="17" t="s">
        <v>274</v>
      </c>
      <c r="C92" s="109">
        <f t="shared" si="35"/>
        <v>13730</v>
      </c>
      <c r="D92" s="18">
        <v>12460</v>
      </c>
      <c r="E92" s="60">
        <v>0</v>
      </c>
      <c r="F92" s="15">
        <v>0</v>
      </c>
      <c r="G92" s="60">
        <v>0</v>
      </c>
      <c r="H92" s="15">
        <v>1270</v>
      </c>
      <c r="I92" s="60">
        <v>0</v>
      </c>
      <c r="J92" s="15">
        <v>0</v>
      </c>
      <c r="K92" s="81">
        <v>0</v>
      </c>
      <c r="L92" s="109">
        <f t="shared" si="36"/>
        <v>13730</v>
      </c>
    </row>
    <row r="93" spans="1:12" ht="15">
      <c r="A93" s="16" t="s">
        <v>275</v>
      </c>
      <c r="B93" s="17" t="s">
        <v>276</v>
      </c>
      <c r="C93" s="109">
        <f t="shared" si="35"/>
        <v>27420</v>
      </c>
      <c r="D93" s="18">
        <v>26420</v>
      </c>
      <c r="E93" s="60">
        <v>0</v>
      </c>
      <c r="F93" s="15">
        <v>0</v>
      </c>
      <c r="G93" s="60">
        <v>0</v>
      </c>
      <c r="H93" s="15">
        <v>1000</v>
      </c>
      <c r="I93" s="60">
        <v>0</v>
      </c>
      <c r="J93" s="15">
        <v>0</v>
      </c>
      <c r="K93" s="81">
        <v>0</v>
      </c>
      <c r="L93" s="109">
        <f t="shared" si="36"/>
        <v>27420</v>
      </c>
    </row>
    <row r="94" spans="1:12" ht="15">
      <c r="A94" s="16" t="s">
        <v>277</v>
      </c>
      <c r="B94" s="17" t="s">
        <v>278</v>
      </c>
      <c r="C94" s="109">
        <f t="shared" si="35"/>
        <v>4386</v>
      </c>
      <c r="D94" s="18">
        <v>4386</v>
      </c>
      <c r="E94" s="60">
        <v>0</v>
      </c>
      <c r="F94" s="15">
        <v>0</v>
      </c>
      <c r="G94" s="60">
        <v>0</v>
      </c>
      <c r="H94" s="15">
        <v>0</v>
      </c>
      <c r="I94" s="60">
        <v>0</v>
      </c>
      <c r="J94" s="15">
        <v>0</v>
      </c>
      <c r="K94" s="81">
        <v>0</v>
      </c>
      <c r="L94" s="109">
        <f t="shared" si="36"/>
        <v>4386</v>
      </c>
    </row>
    <row r="95" spans="1:12" ht="25.5">
      <c r="A95" s="16" t="s">
        <v>279</v>
      </c>
      <c r="B95" s="17" t="s">
        <v>461</v>
      </c>
      <c r="C95" s="109">
        <f t="shared" si="35"/>
        <v>161134</v>
      </c>
      <c r="D95" s="18">
        <v>107116</v>
      </c>
      <c r="E95" s="60">
        <v>0</v>
      </c>
      <c r="F95" s="15">
        <v>0</v>
      </c>
      <c r="G95" s="60">
        <v>0</v>
      </c>
      <c r="H95" s="15">
        <v>54018</v>
      </c>
      <c r="I95" s="60">
        <v>0</v>
      </c>
      <c r="J95" s="15">
        <v>0</v>
      </c>
      <c r="K95" s="60">
        <v>0</v>
      </c>
      <c r="L95" s="109">
        <f t="shared" si="36"/>
        <v>161134</v>
      </c>
    </row>
    <row r="96" spans="1:12" ht="25.5">
      <c r="A96" s="16" t="s">
        <v>280</v>
      </c>
      <c r="B96" s="17" t="s">
        <v>281</v>
      </c>
      <c r="C96" s="109">
        <f t="shared" si="35"/>
        <v>2000</v>
      </c>
      <c r="D96" s="18">
        <v>2000</v>
      </c>
      <c r="E96" s="60">
        <v>0</v>
      </c>
      <c r="F96" s="15">
        <v>0</v>
      </c>
      <c r="G96" s="60">
        <v>0</v>
      </c>
      <c r="H96" s="15">
        <v>0</v>
      </c>
      <c r="I96" s="60">
        <v>0</v>
      </c>
      <c r="J96" s="15">
        <v>0</v>
      </c>
      <c r="K96" s="81">
        <v>0</v>
      </c>
      <c r="L96" s="109">
        <f t="shared" si="36"/>
        <v>2000</v>
      </c>
    </row>
    <row r="97" spans="1:12" ht="15">
      <c r="A97" s="55" t="s">
        <v>162</v>
      </c>
      <c r="B97" s="56" t="s">
        <v>163</v>
      </c>
      <c r="C97" s="9">
        <f aca="true" t="shared" si="37" ref="C97:C131">D97+F97+H97+J97</f>
        <v>7480523</v>
      </c>
      <c r="D97" s="57">
        <f>D98+D103+D119+D124</f>
        <v>6852270</v>
      </c>
      <c r="E97" s="58">
        <f aca="true" t="shared" si="38" ref="E97:K97">E98+E103+E119+E124</f>
        <v>-32606</v>
      </c>
      <c r="F97" s="57">
        <f t="shared" si="38"/>
        <v>575274</v>
      </c>
      <c r="G97" s="58">
        <f t="shared" si="38"/>
        <v>157053</v>
      </c>
      <c r="H97" s="57">
        <f t="shared" si="38"/>
        <v>33215</v>
      </c>
      <c r="I97" s="58">
        <f t="shared" si="38"/>
        <v>1000</v>
      </c>
      <c r="J97" s="57">
        <f t="shared" si="38"/>
        <v>19764</v>
      </c>
      <c r="K97" s="58">
        <f t="shared" si="38"/>
        <v>0</v>
      </c>
      <c r="L97" s="9">
        <f aca="true" t="shared" si="39" ref="L97:L102">SUM(D97:K97)</f>
        <v>7605970</v>
      </c>
    </row>
    <row r="98" spans="1:12" ht="15">
      <c r="A98" s="10" t="s">
        <v>282</v>
      </c>
      <c r="B98" s="11" t="s">
        <v>283</v>
      </c>
      <c r="C98" s="108">
        <f t="shared" si="37"/>
        <v>1290185</v>
      </c>
      <c r="D98" s="12">
        <f>SUM(D99:D102)</f>
        <v>1267112</v>
      </c>
      <c r="E98" s="59">
        <f aca="true" t="shared" si="40" ref="E98:K98">SUM(E99:E102)</f>
        <v>60000</v>
      </c>
      <c r="F98" s="12">
        <f t="shared" si="40"/>
        <v>23073</v>
      </c>
      <c r="G98" s="59">
        <f t="shared" si="40"/>
        <v>0</v>
      </c>
      <c r="H98" s="12">
        <f t="shared" si="40"/>
        <v>0</v>
      </c>
      <c r="I98" s="59">
        <f t="shared" si="40"/>
        <v>0</v>
      </c>
      <c r="J98" s="12">
        <f t="shared" si="40"/>
        <v>0</v>
      </c>
      <c r="K98" s="59">
        <f t="shared" si="40"/>
        <v>0</v>
      </c>
      <c r="L98" s="108">
        <f t="shared" si="39"/>
        <v>1350185</v>
      </c>
    </row>
    <row r="99" spans="1:12" ht="25.5">
      <c r="A99" s="16" t="s">
        <v>284</v>
      </c>
      <c r="B99" s="17" t="s">
        <v>516</v>
      </c>
      <c r="C99" s="109">
        <f t="shared" si="37"/>
        <v>599215</v>
      </c>
      <c r="D99" s="15">
        <v>576142</v>
      </c>
      <c r="E99" s="60">
        <v>60000</v>
      </c>
      <c r="F99" s="15">
        <v>23073</v>
      </c>
      <c r="G99" s="60">
        <v>0</v>
      </c>
      <c r="H99" s="15">
        <v>0</v>
      </c>
      <c r="I99" s="60">
        <v>0</v>
      </c>
      <c r="J99" s="15">
        <v>0</v>
      </c>
      <c r="K99" s="60">
        <v>0</v>
      </c>
      <c r="L99" s="109">
        <f t="shared" si="39"/>
        <v>659215</v>
      </c>
    </row>
    <row r="100" spans="1:12" ht="15">
      <c r="A100" s="16" t="s">
        <v>285</v>
      </c>
      <c r="B100" s="17" t="s">
        <v>286</v>
      </c>
      <c r="C100" s="109">
        <f t="shared" si="37"/>
        <v>685970</v>
      </c>
      <c r="D100" s="15">
        <v>685970</v>
      </c>
      <c r="E100" s="60">
        <v>0</v>
      </c>
      <c r="F100" s="15">
        <v>0</v>
      </c>
      <c r="G100" s="60">
        <v>0</v>
      </c>
      <c r="H100" s="15">
        <v>0</v>
      </c>
      <c r="I100" s="60">
        <v>0</v>
      </c>
      <c r="J100" s="15">
        <v>0</v>
      </c>
      <c r="K100" s="60">
        <v>0</v>
      </c>
      <c r="L100" s="109">
        <f t="shared" si="39"/>
        <v>685970</v>
      </c>
    </row>
    <row r="101" spans="1:12" ht="25.5">
      <c r="A101" s="16" t="s">
        <v>287</v>
      </c>
      <c r="B101" s="17" t="s">
        <v>288</v>
      </c>
      <c r="C101" s="109">
        <f t="shared" si="37"/>
        <v>5000</v>
      </c>
      <c r="D101" s="15">
        <v>5000</v>
      </c>
      <c r="E101" s="60">
        <v>0</v>
      </c>
      <c r="F101" s="15">
        <v>0</v>
      </c>
      <c r="G101" s="60">
        <v>0</v>
      </c>
      <c r="H101" s="15">
        <v>0</v>
      </c>
      <c r="I101" s="60">
        <v>0</v>
      </c>
      <c r="J101" s="15">
        <v>0</v>
      </c>
      <c r="K101" s="60">
        <v>0</v>
      </c>
      <c r="L101" s="109">
        <f t="shared" si="39"/>
        <v>5000</v>
      </c>
    </row>
    <row r="102" spans="1:12" ht="38.25" hidden="1">
      <c r="A102" s="85" t="s">
        <v>451</v>
      </c>
      <c r="B102" s="86" t="s">
        <v>452</v>
      </c>
      <c r="C102" s="110">
        <f t="shared" si="37"/>
        <v>0</v>
      </c>
      <c r="D102" s="88"/>
      <c r="E102" s="89"/>
      <c r="F102" s="88"/>
      <c r="G102" s="89"/>
      <c r="H102" s="88"/>
      <c r="I102" s="89"/>
      <c r="J102" s="88"/>
      <c r="K102" s="89"/>
      <c r="L102" s="110">
        <f t="shared" si="39"/>
        <v>0</v>
      </c>
    </row>
    <row r="103" spans="1:12" ht="15">
      <c r="A103" s="10" t="s">
        <v>289</v>
      </c>
      <c r="B103" s="11" t="s">
        <v>290</v>
      </c>
      <c r="C103" s="108">
        <f t="shared" si="37"/>
        <v>5430333</v>
      </c>
      <c r="D103" s="12">
        <f aca="true" t="shared" si="41" ref="D103:L103">D104+D107+D109+D112+D116</f>
        <v>4825273</v>
      </c>
      <c r="E103" s="61">
        <f t="shared" si="41"/>
        <v>-109715</v>
      </c>
      <c r="F103" s="23">
        <f t="shared" si="41"/>
        <v>552081</v>
      </c>
      <c r="G103" s="61">
        <f t="shared" si="41"/>
        <v>157053</v>
      </c>
      <c r="H103" s="23">
        <f t="shared" si="41"/>
        <v>33215</v>
      </c>
      <c r="I103" s="61">
        <f t="shared" si="41"/>
        <v>1000</v>
      </c>
      <c r="J103" s="23">
        <f t="shared" si="41"/>
        <v>19764</v>
      </c>
      <c r="K103" s="61">
        <f t="shared" si="41"/>
        <v>0</v>
      </c>
      <c r="L103" s="109">
        <f t="shared" si="41"/>
        <v>5478671</v>
      </c>
    </row>
    <row r="104" spans="1:12" ht="15">
      <c r="A104" s="10" t="s">
        <v>291</v>
      </c>
      <c r="B104" s="11" t="s">
        <v>292</v>
      </c>
      <c r="C104" s="108">
        <f t="shared" si="37"/>
        <v>915512</v>
      </c>
      <c r="D104" s="12">
        <f aca="true" t="shared" si="42" ref="D104:K104">SUM(D105:D106)</f>
        <v>872770</v>
      </c>
      <c r="E104" s="61">
        <f t="shared" si="42"/>
        <v>0</v>
      </c>
      <c r="F104" s="23">
        <f t="shared" si="42"/>
        <v>5305</v>
      </c>
      <c r="G104" s="61">
        <f t="shared" si="42"/>
        <v>0</v>
      </c>
      <c r="H104" s="23">
        <f t="shared" si="42"/>
        <v>17673</v>
      </c>
      <c r="I104" s="61">
        <f t="shared" si="42"/>
        <v>1000</v>
      </c>
      <c r="J104" s="23">
        <f t="shared" si="42"/>
        <v>19764</v>
      </c>
      <c r="K104" s="61">
        <f t="shared" si="42"/>
        <v>0</v>
      </c>
      <c r="L104" s="108">
        <f aca="true" t="shared" si="43" ref="L104:L131">SUM(D104:K104)</f>
        <v>916512</v>
      </c>
    </row>
    <row r="105" spans="1:12" ht="25.5">
      <c r="A105" s="16" t="s">
        <v>293</v>
      </c>
      <c r="B105" s="14" t="s">
        <v>517</v>
      </c>
      <c r="C105" s="109">
        <f t="shared" si="37"/>
        <v>915512</v>
      </c>
      <c r="D105" s="15">
        <v>872770</v>
      </c>
      <c r="E105" s="60">
        <v>0</v>
      </c>
      <c r="F105" s="15">
        <v>5305</v>
      </c>
      <c r="G105" s="60">
        <v>0</v>
      </c>
      <c r="H105" s="15">
        <v>17673</v>
      </c>
      <c r="I105" s="60">
        <v>1000</v>
      </c>
      <c r="J105" s="15">
        <v>19764</v>
      </c>
      <c r="K105" s="60">
        <v>0</v>
      </c>
      <c r="L105" s="109">
        <f t="shared" si="43"/>
        <v>916512</v>
      </c>
    </row>
    <row r="106" spans="1:12" ht="15" hidden="1">
      <c r="A106" s="85" t="s">
        <v>502</v>
      </c>
      <c r="B106" s="86" t="s">
        <v>503</v>
      </c>
      <c r="C106" s="110">
        <f t="shared" si="37"/>
        <v>0</v>
      </c>
      <c r="D106" s="88"/>
      <c r="E106" s="89"/>
      <c r="F106" s="88"/>
      <c r="G106" s="89"/>
      <c r="H106" s="88"/>
      <c r="I106" s="89"/>
      <c r="J106" s="88"/>
      <c r="K106" s="89"/>
      <c r="L106" s="110">
        <f t="shared" si="43"/>
        <v>0</v>
      </c>
    </row>
    <row r="107" spans="1:12" ht="15">
      <c r="A107" s="10" t="s">
        <v>294</v>
      </c>
      <c r="B107" s="11" t="s">
        <v>295</v>
      </c>
      <c r="C107" s="108">
        <f t="shared" si="37"/>
        <v>819556</v>
      </c>
      <c r="D107" s="23">
        <f>D108</f>
        <v>802287</v>
      </c>
      <c r="E107" s="61">
        <f aca="true" t="shared" si="44" ref="E107:K107">E108</f>
        <v>0</v>
      </c>
      <c r="F107" s="23">
        <f t="shared" si="44"/>
        <v>17269</v>
      </c>
      <c r="G107" s="61">
        <f t="shared" si="44"/>
        <v>0</v>
      </c>
      <c r="H107" s="23">
        <f t="shared" si="44"/>
        <v>0</v>
      </c>
      <c r="I107" s="61">
        <f t="shared" si="44"/>
        <v>0</v>
      </c>
      <c r="J107" s="23">
        <f t="shared" si="44"/>
        <v>0</v>
      </c>
      <c r="K107" s="61">
        <f t="shared" si="44"/>
        <v>0</v>
      </c>
      <c r="L107" s="108">
        <f t="shared" si="43"/>
        <v>819556</v>
      </c>
    </row>
    <row r="108" spans="1:12" ht="38.25">
      <c r="A108" s="16" t="s">
        <v>296</v>
      </c>
      <c r="B108" s="17" t="s">
        <v>518</v>
      </c>
      <c r="C108" s="109">
        <f t="shared" si="37"/>
        <v>819556</v>
      </c>
      <c r="D108" s="15">
        <v>802287</v>
      </c>
      <c r="E108" s="60">
        <v>0</v>
      </c>
      <c r="F108" s="15">
        <v>17269</v>
      </c>
      <c r="G108" s="60">
        <v>0</v>
      </c>
      <c r="H108" s="15">
        <v>0</v>
      </c>
      <c r="I108" s="60">
        <v>0</v>
      </c>
      <c r="J108" s="15">
        <v>0</v>
      </c>
      <c r="K108" s="60">
        <v>0</v>
      </c>
      <c r="L108" s="109">
        <f t="shared" si="43"/>
        <v>819556</v>
      </c>
    </row>
    <row r="109" spans="1:12" ht="15">
      <c r="A109" s="10" t="s">
        <v>297</v>
      </c>
      <c r="B109" s="11" t="s">
        <v>298</v>
      </c>
      <c r="C109" s="108">
        <f t="shared" si="37"/>
        <v>2594871</v>
      </c>
      <c r="D109" s="23">
        <f>D110+D111</f>
        <v>2065364</v>
      </c>
      <c r="E109" s="61">
        <f aca="true" t="shared" si="45" ref="E109:K109">E110+E111</f>
        <v>-109715</v>
      </c>
      <c r="F109" s="23">
        <f t="shared" si="45"/>
        <v>529507</v>
      </c>
      <c r="G109" s="61">
        <f t="shared" si="45"/>
        <v>157053</v>
      </c>
      <c r="H109" s="23">
        <f t="shared" si="45"/>
        <v>0</v>
      </c>
      <c r="I109" s="61">
        <f t="shared" si="45"/>
        <v>0</v>
      </c>
      <c r="J109" s="23">
        <f t="shared" si="45"/>
        <v>0</v>
      </c>
      <c r="K109" s="61">
        <f t="shared" si="45"/>
        <v>0</v>
      </c>
      <c r="L109" s="108">
        <f t="shared" si="43"/>
        <v>2642209</v>
      </c>
    </row>
    <row r="110" spans="1:12" ht="29.25" customHeight="1">
      <c r="A110" s="16" t="s">
        <v>299</v>
      </c>
      <c r="B110" s="17" t="s">
        <v>519</v>
      </c>
      <c r="C110" s="109">
        <f t="shared" si="37"/>
        <v>1536258</v>
      </c>
      <c r="D110" s="15">
        <v>1341751</v>
      </c>
      <c r="E110" s="60">
        <v>20081</v>
      </c>
      <c r="F110" s="15">
        <v>194507</v>
      </c>
      <c r="G110" s="60">
        <v>0</v>
      </c>
      <c r="H110" s="15">
        <v>0</v>
      </c>
      <c r="I110" s="60">
        <v>0</v>
      </c>
      <c r="J110" s="15">
        <v>0</v>
      </c>
      <c r="K110" s="60">
        <v>0</v>
      </c>
      <c r="L110" s="109">
        <f t="shared" si="43"/>
        <v>1556339</v>
      </c>
    </row>
    <row r="111" spans="1:12" ht="15">
      <c r="A111" s="16" t="s">
        <v>300</v>
      </c>
      <c r="B111" s="17" t="s">
        <v>520</v>
      </c>
      <c r="C111" s="109">
        <f t="shared" si="37"/>
        <v>1058613</v>
      </c>
      <c r="D111" s="15">
        <v>723613</v>
      </c>
      <c r="E111" s="60">
        <v>-129796</v>
      </c>
      <c r="F111" s="15">
        <v>335000</v>
      </c>
      <c r="G111" s="60">
        <v>157053</v>
      </c>
      <c r="H111" s="15">
        <v>0</v>
      </c>
      <c r="I111" s="60">
        <v>0</v>
      </c>
      <c r="J111" s="15">
        <v>0</v>
      </c>
      <c r="K111" s="60">
        <v>0</v>
      </c>
      <c r="L111" s="109">
        <f t="shared" si="43"/>
        <v>1085870</v>
      </c>
    </row>
    <row r="112" spans="1:12" ht="15">
      <c r="A112" s="10" t="s">
        <v>301</v>
      </c>
      <c r="B112" s="11" t="s">
        <v>302</v>
      </c>
      <c r="C112" s="108">
        <f t="shared" si="37"/>
        <v>124202</v>
      </c>
      <c r="D112" s="23">
        <f>SUM(D113:D115)</f>
        <v>124202</v>
      </c>
      <c r="E112" s="61">
        <f aca="true" t="shared" si="46" ref="E112:K112">SUM(E113:E115)</f>
        <v>0</v>
      </c>
      <c r="F112" s="23">
        <f t="shared" si="46"/>
        <v>0</v>
      </c>
      <c r="G112" s="61">
        <f t="shared" si="46"/>
        <v>0</v>
      </c>
      <c r="H112" s="23">
        <f t="shared" si="46"/>
        <v>0</v>
      </c>
      <c r="I112" s="61">
        <f t="shared" si="46"/>
        <v>0</v>
      </c>
      <c r="J112" s="23">
        <f t="shared" si="46"/>
        <v>0</v>
      </c>
      <c r="K112" s="61">
        <f t="shared" si="46"/>
        <v>0</v>
      </c>
      <c r="L112" s="108">
        <f t="shared" si="43"/>
        <v>124202</v>
      </c>
    </row>
    <row r="113" spans="1:12" ht="25.5">
      <c r="A113" s="16" t="s">
        <v>303</v>
      </c>
      <c r="B113" s="17" t="s">
        <v>304</v>
      </c>
      <c r="C113" s="109">
        <f t="shared" si="37"/>
        <v>99888</v>
      </c>
      <c r="D113" s="15">
        <v>99888</v>
      </c>
      <c r="E113" s="60">
        <v>0</v>
      </c>
      <c r="F113" s="15">
        <v>0</v>
      </c>
      <c r="G113" s="60">
        <v>0</v>
      </c>
      <c r="H113" s="15">
        <v>0</v>
      </c>
      <c r="I113" s="60">
        <v>0</v>
      </c>
      <c r="J113" s="15">
        <v>0</v>
      </c>
      <c r="K113" s="60">
        <v>0</v>
      </c>
      <c r="L113" s="109">
        <f t="shared" si="43"/>
        <v>99888</v>
      </c>
    </row>
    <row r="114" spans="1:12" ht="25.5">
      <c r="A114" s="16" t="s">
        <v>305</v>
      </c>
      <c r="B114" s="17" t="s">
        <v>306</v>
      </c>
      <c r="C114" s="109">
        <f t="shared" si="37"/>
        <v>24314</v>
      </c>
      <c r="D114" s="18">
        <v>24314</v>
      </c>
      <c r="E114" s="60">
        <v>0</v>
      </c>
      <c r="F114" s="15">
        <v>0</v>
      </c>
      <c r="G114" s="60">
        <v>0</v>
      </c>
      <c r="H114" s="15">
        <v>0</v>
      </c>
      <c r="I114" s="60">
        <v>0</v>
      </c>
      <c r="J114" s="15">
        <v>0</v>
      </c>
      <c r="K114" s="60">
        <v>0</v>
      </c>
      <c r="L114" s="109">
        <f t="shared" si="43"/>
        <v>24314</v>
      </c>
    </row>
    <row r="115" spans="1:12" ht="15" hidden="1">
      <c r="A115" s="85" t="s">
        <v>502</v>
      </c>
      <c r="B115" s="86" t="s">
        <v>503</v>
      </c>
      <c r="C115" s="110">
        <f t="shared" si="37"/>
        <v>0</v>
      </c>
      <c r="D115" s="88"/>
      <c r="E115" s="89"/>
      <c r="F115" s="88"/>
      <c r="G115" s="89"/>
      <c r="H115" s="88"/>
      <c r="I115" s="89"/>
      <c r="J115" s="88"/>
      <c r="K115" s="89"/>
      <c r="L115" s="110">
        <f t="shared" si="43"/>
        <v>0</v>
      </c>
    </row>
    <row r="116" spans="1:12" ht="15">
      <c r="A116" s="10" t="s">
        <v>307</v>
      </c>
      <c r="B116" s="11" t="s">
        <v>308</v>
      </c>
      <c r="C116" s="108">
        <f t="shared" si="37"/>
        <v>976192</v>
      </c>
      <c r="D116" s="12">
        <f aca="true" t="shared" si="47" ref="D116:K116">SUM(D117:D118)</f>
        <v>960650</v>
      </c>
      <c r="E116" s="61">
        <f t="shared" si="47"/>
        <v>0</v>
      </c>
      <c r="F116" s="23">
        <f t="shared" si="47"/>
        <v>0</v>
      </c>
      <c r="G116" s="61">
        <f t="shared" si="47"/>
        <v>0</v>
      </c>
      <c r="H116" s="23">
        <f t="shared" si="47"/>
        <v>15542</v>
      </c>
      <c r="I116" s="61">
        <f t="shared" si="47"/>
        <v>0</v>
      </c>
      <c r="J116" s="12">
        <f t="shared" si="47"/>
        <v>0</v>
      </c>
      <c r="K116" s="59">
        <f t="shared" si="47"/>
        <v>0</v>
      </c>
      <c r="L116" s="108">
        <f t="shared" si="43"/>
        <v>976192</v>
      </c>
    </row>
    <row r="117" spans="1:12" ht="25.5">
      <c r="A117" s="16" t="s">
        <v>309</v>
      </c>
      <c r="B117" s="17" t="s">
        <v>310</v>
      </c>
      <c r="C117" s="109">
        <f t="shared" si="37"/>
        <v>514648</v>
      </c>
      <c r="D117" s="18">
        <v>499106</v>
      </c>
      <c r="E117" s="60">
        <v>0</v>
      </c>
      <c r="F117" s="15">
        <v>0</v>
      </c>
      <c r="G117" s="60">
        <v>0</v>
      </c>
      <c r="H117" s="15">
        <v>15542</v>
      </c>
      <c r="I117" s="60">
        <v>0</v>
      </c>
      <c r="J117" s="15">
        <v>0</v>
      </c>
      <c r="K117" s="60">
        <v>0</v>
      </c>
      <c r="L117" s="109">
        <f t="shared" si="43"/>
        <v>514648</v>
      </c>
    </row>
    <row r="118" spans="1:12" ht="15">
      <c r="A118" s="16" t="s">
        <v>311</v>
      </c>
      <c r="B118" s="17" t="s">
        <v>312</v>
      </c>
      <c r="C118" s="109">
        <f t="shared" si="37"/>
        <v>461544</v>
      </c>
      <c r="D118" s="18">
        <v>461544</v>
      </c>
      <c r="E118" s="60">
        <v>0</v>
      </c>
      <c r="F118" s="15">
        <v>0</v>
      </c>
      <c r="G118" s="60">
        <v>0</v>
      </c>
      <c r="H118" s="15">
        <v>0</v>
      </c>
      <c r="I118" s="60">
        <v>0</v>
      </c>
      <c r="J118" s="15">
        <v>0</v>
      </c>
      <c r="K118" s="60">
        <v>0</v>
      </c>
      <c r="L118" s="109">
        <f t="shared" si="43"/>
        <v>461544</v>
      </c>
    </row>
    <row r="119" spans="1:12" ht="25.5">
      <c r="A119" s="10" t="s">
        <v>313</v>
      </c>
      <c r="B119" s="11" t="s">
        <v>314</v>
      </c>
      <c r="C119" s="108">
        <f t="shared" si="37"/>
        <v>254226</v>
      </c>
      <c r="D119" s="12">
        <f>SUM(D120:D123)</f>
        <v>254226</v>
      </c>
      <c r="E119" s="61">
        <f aca="true" t="shared" si="48" ref="E119:K119">SUM(E120:E123)</f>
        <v>1386</v>
      </c>
      <c r="F119" s="23">
        <f t="shared" si="48"/>
        <v>0</v>
      </c>
      <c r="G119" s="61">
        <f t="shared" si="48"/>
        <v>0</v>
      </c>
      <c r="H119" s="23">
        <f t="shared" si="48"/>
        <v>0</v>
      </c>
      <c r="I119" s="61">
        <f t="shared" si="48"/>
        <v>0</v>
      </c>
      <c r="J119" s="23">
        <f t="shared" si="48"/>
        <v>0</v>
      </c>
      <c r="K119" s="59">
        <f t="shared" si="48"/>
        <v>0</v>
      </c>
      <c r="L119" s="108">
        <f t="shared" si="43"/>
        <v>255612</v>
      </c>
    </row>
    <row r="120" spans="1:12" ht="15">
      <c r="A120" s="16" t="s">
        <v>315</v>
      </c>
      <c r="B120" s="17" t="s">
        <v>316</v>
      </c>
      <c r="C120" s="109">
        <f t="shared" si="37"/>
        <v>102000</v>
      </c>
      <c r="D120" s="18">
        <v>102000</v>
      </c>
      <c r="E120" s="60">
        <v>1000</v>
      </c>
      <c r="F120" s="15">
        <v>0</v>
      </c>
      <c r="G120" s="60">
        <v>0</v>
      </c>
      <c r="H120" s="15">
        <v>0</v>
      </c>
      <c r="I120" s="60">
        <v>0</v>
      </c>
      <c r="J120" s="15">
        <v>0</v>
      </c>
      <c r="K120" s="60">
        <v>0</v>
      </c>
      <c r="L120" s="109">
        <f t="shared" si="43"/>
        <v>103000</v>
      </c>
    </row>
    <row r="121" spans="1:12" ht="25.5">
      <c r="A121" s="16" t="s">
        <v>317</v>
      </c>
      <c r="B121" s="17" t="s">
        <v>318</v>
      </c>
      <c r="C121" s="109">
        <f t="shared" si="37"/>
        <v>41709</v>
      </c>
      <c r="D121" s="18">
        <v>41709</v>
      </c>
      <c r="E121" s="60">
        <v>0</v>
      </c>
      <c r="F121" s="15">
        <v>0</v>
      </c>
      <c r="G121" s="60">
        <v>0</v>
      </c>
      <c r="H121" s="15">
        <v>0</v>
      </c>
      <c r="I121" s="60">
        <v>0</v>
      </c>
      <c r="J121" s="15">
        <v>0</v>
      </c>
      <c r="K121" s="60">
        <v>0</v>
      </c>
      <c r="L121" s="109">
        <f t="shared" si="43"/>
        <v>41709</v>
      </c>
    </row>
    <row r="122" spans="1:12" ht="25.5">
      <c r="A122" s="16" t="s">
        <v>319</v>
      </c>
      <c r="B122" s="17" t="s">
        <v>320</v>
      </c>
      <c r="C122" s="109">
        <f t="shared" si="37"/>
        <v>3000</v>
      </c>
      <c r="D122" s="15">
        <v>3000</v>
      </c>
      <c r="E122" s="60">
        <v>0</v>
      </c>
      <c r="F122" s="15">
        <v>0</v>
      </c>
      <c r="G122" s="60">
        <v>0</v>
      </c>
      <c r="H122" s="15">
        <v>0</v>
      </c>
      <c r="I122" s="60">
        <v>0</v>
      </c>
      <c r="J122" s="15">
        <v>0</v>
      </c>
      <c r="K122" s="60">
        <v>0</v>
      </c>
      <c r="L122" s="109">
        <f t="shared" si="43"/>
        <v>3000</v>
      </c>
    </row>
    <row r="123" spans="1:12" ht="25.5">
      <c r="A123" s="16" t="s">
        <v>321</v>
      </c>
      <c r="B123" s="17" t="s">
        <v>322</v>
      </c>
      <c r="C123" s="109">
        <f t="shared" si="37"/>
        <v>107517</v>
      </c>
      <c r="D123" s="15">
        <v>107517</v>
      </c>
      <c r="E123" s="60">
        <v>386</v>
      </c>
      <c r="F123" s="15">
        <v>0</v>
      </c>
      <c r="G123" s="60">
        <v>0</v>
      </c>
      <c r="H123" s="15">
        <v>0</v>
      </c>
      <c r="I123" s="60">
        <v>0</v>
      </c>
      <c r="J123" s="15">
        <v>0</v>
      </c>
      <c r="K123" s="60">
        <v>0</v>
      </c>
      <c r="L123" s="109">
        <f t="shared" si="43"/>
        <v>107903</v>
      </c>
    </row>
    <row r="124" spans="1:12" ht="30.75" customHeight="1">
      <c r="A124" s="116" t="s">
        <v>480</v>
      </c>
      <c r="B124" s="11" t="s">
        <v>481</v>
      </c>
      <c r="C124" s="108">
        <f t="shared" si="37"/>
        <v>505779</v>
      </c>
      <c r="D124" s="23">
        <f>D125</f>
        <v>505659</v>
      </c>
      <c r="E124" s="61">
        <f aca="true" t="shared" si="49" ref="E124:K124">E125</f>
        <v>15723</v>
      </c>
      <c r="F124" s="23">
        <f t="shared" si="49"/>
        <v>120</v>
      </c>
      <c r="G124" s="61">
        <f t="shared" si="49"/>
        <v>0</v>
      </c>
      <c r="H124" s="23">
        <f t="shared" si="49"/>
        <v>0</v>
      </c>
      <c r="I124" s="61">
        <f t="shared" si="49"/>
        <v>0</v>
      </c>
      <c r="J124" s="23">
        <f t="shared" si="49"/>
        <v>0</v>
      </c>
      <c r="K124" s="61">
        <f t="shared" si="49"/>
        <v>0</v>
      </c>
      <c r="L124" s="108">
        <f t="shared" si="43"/>
        <v>521502</v>
      </c>
    </row>
    <row r="125" spans="1:12" ht="25.5">
      <c r="A125" s="117" t="s">
        <v>482</v>
      </c>
      <c r="B125" s="17" t="s">
        <v>521</v>
      </c>
      <c r="C125" s="109">
        <f t="shared" si="37"/>
        <v>505779</v>
      </c>
      <c r="D125" s="15">
        <v>505659</v>
      </c>
      <c r="E125" s="60">
        <v>15723</v>
      </c>
      <c r="F125" s="15">
        <v>120</v>
      </c>
      <c r="G125" s="60">
        <v>0</v>
      </c>
      <c r="H125" s="15">
        <v>0</v>
      </c>
      <c r="I125" s="60">
        <v>0</v>
      </c>
      <c r="J125" s="15">
        <v>0</v>
      </c>
      <c r="K125" s="60">
        <v>0</v>
      </c>
      <c r="L125" s="109">
        <f t="shared" si="43"/>
        <v>521502</v>
      </c>
    </row>
    <row r="126" spans="1:12" s="2" customFormat="1" ht="15">
      <c r="A126" s="55" t="s">
        <v>22</v>
      </c>
      <c r="B126" s="56" t="s">
        <v>164</v>
      </c>
      <c r="C126" s="9">
        <f t="shared" si="37"/>
        <v>48807622</v>
      </c>
      <c r="D126" s="57">
        <f aca="true" t="shared" si="50" ref="D126:K126">D127+D130+D142+D158+D166</f>
        <v>31264536</v>
      </c>
      <c r="E126" s="58">
        <f t="shared" si="50"/>
        <v>3608124</v>
      </c>
      <c r="F126" s="57">
        <f t="shared" si="50"/>
        <v>846815</v>
      </c>
      <c r="G126" s="58">
        <f t="shared" si="50"/>
        <v>140514</v>
      </c>
      <c r="H126" s="57">
        <f t="shared" si="50"/>
        <v>16696271</v>
      </c>
      <c r="I126" s="58">
        <f t="shared" si="50"/>
        <v>-1198127</v>
      </c>
      <c r="J126" s="57">
        <f t="shared" si="50"/>
        <v>0</v>
      </c>
      <c r="K126" s="58">
        <f t="shared" si="50"/>
        <v>0</v>
      </c>
      <c r="L126" s="9">
        <f t="shared" si="43"/>
        <v>51358133</v>
      </c>
    </row>
    <row r="127" spans="1:12" ht="15">
      <c r="A127" s="10" t="s">
        <v>323</v>
      </c>
      <c r="B127" s="11" t="s">
        <v>324</v>
      </c>
      <c r="C127" s="108">
        <f t="shared" si="37"/>
        <v>11263715</v>
      </c>
      <c r="D127" s="12">
        <f>SUM(D128:D129)</f>
        <v>10040998</v>
      </c>
      <c r="E127" s="59">
        <f aca="true" t="shared" si="51" ref="E127:K127">SUM(E128:E129)</f>
        <v>-41461</v>
      </c>
      <c r="F127" s="12">
        <f t="shared" si="51"/>
        <v>136581</v>
      </c>
      <c r="G127" s="59">
        <f t="shared" si="51"/>
        <v>18714</v>
      </c>
      <c r="H127" s="12">
        <f t="shared" si="51"/>
        <v>1086136</v>
      </c>
      <c r="I127" s="59">
        <f t="shared" si="51"/>
        <v>16129</v>
      </c>
      <c r="J127" s="12">
        <f t="shared" si="51"/>
        <v>0</v>
      </c>
      <c r="K127" s="59">
        <f t="shared" si="51"/>
        <v>0</v>
      </c>
      <c r="L127" s="108">
        <f t="shared" si="43"/>
        <v>11257097</v>
      </c>
    </row>
    <row r="128" spans="1:12" ht="51">
      <c r="A128" s="16" t="s">
        <v>325</v>
      </c>
      <c r="B128" s="17" t="s">
        <v>522</v>
      </c>
      <c r="C128" s="109">
        <f t="shared" si="37"/>
        <v>11107188</v>
      </c>
      <c r="D128" s="15">
        <v>9884471</v>
      </c>
      <c r="E128" s="60">
        <v>-17758</v>
      </c>
      <c r="F128" s="15">
        <v>136581</v>
      </c>
      <c r="G128" s="60">
        <v>18714</v>
      </c>
      <c r="H128" s="15">
        <v>1086136</v>
      </c>
      <c r="I128" s="60">
        <v>16129</v>
      </c>
      <c r="J128" s="15">
        <v>0</v>
      </c>
      <c r="K128" s="60">
        <v>0</v>
      </c>
      <c r="L128" s="109">
        <f t="shared" si="43"/>
        <v>11124273</v>
      </c>
    </row>
    <row r="129" spans="1:12" ht="38.25">
      <c r="A129" s="118" t="s">
        <v>326</v>
      </c>
      <c r="B129" s="14" t="s">
        <v>327</v>
      </c>
      <c r="C129" s="109">
        <f t="shared" si="37"/>
        <v>156527</v>
      </c>
      <c r="D129" s="15">
        <v>156527</v>
      </c>
      <c r="E129" s="60">
        <v>-23703</v>
      </c>
      <c r="F129" s="15">
        <v>0</v>
      </c>
      <c r="G129" s="60">
        <v>0</v>
      </c>
      <c r="H129" s="15">
        <v>0</v>
      </c>
      <c r="I129" s="60">
        <v>0</v>
      </c>
      <c r="J129" s="15">
        <v>0</v>
      </c>
      <c r="K129" s="60">
        <v>0</v>
      </c>
      <c r="L129" s="109">
        <f t="shared" si="43"/>
        <v>132824</v>
      </c>
    </row>
    <row r="130" spans="1:12" ht="25.5">
      <c r="A130" s="21" t="s">
        <v>328</v>
      </c>
      <c r="B130" s="22" t="s">
        <v>329</v>
      </c>
      <c r="C130" s="108">
        <f t="shared" si="37"/>
        <v>24380815</v>
      </c>
      <c r="D130" s="23">
        <f>D131+D139</f>
        <v>13084407</v>
      </c>
      <c r="E130" s="61">
        <f aca="true" t="shared" si="52" ref="E130:K130">E131+E139</f>
        <v>2417585</v>
      </c>
      <c r="F130" s="23">
        <f t="shared" si="52"/>
        <v>241750</v>
      </c>
      <c r="G130" s="61">
        <f t="shared" si="52"/>
        <v>64825</v>
      </c>
      <c r="H130" s="23">
        <f t="shared" si="52"/>
        <v>11054658</v>
      </c>
      <c r="I130" s="61">
        <f t="shared" si="52"/>
        <v>51496</v>
      </c>
      <c r="J130" s="23">
        <f t="shared" si="52"/>
        <v>0</v>
      </c>
      <c r="K130" s="61">
        <f t="shared" si="52"/>
        <v>0</v>
      </c>
      <c r="L130" s="108">
        <f t="shared" si="43"/>
        <v>26914721</v>
      </c>
    </row>
    <row r="131" spans="1:12" ht="15">
      <c r="A131" s="119" t="s">
        <v>330</v>
      </c>
      <c r="B131" s="11" t="s">
        <v>331</v>
      </c>
      <c r="C131" s="108">
        <f t="shared" si="37"/>
        <v>22888142</v>
      </c>
      <c r="D131" s="12">
        <f>SUM(D132:D138)</f>
        <v>12507260</v>
      </c>
      <c r="E131" s="59">
        <f aca="true" t="shared" si="53" ref="E131:K131">SUM(E132:E138)</f>
        <v>2433838</v>
      </c>
      <c r="F131" s="12">
        <f t="shared" si="53"/>
        <v>193345</v>
      </c>
      <c r="G131" s="59">
        <f t="shared" si="53"/>
        <v>48572</v>
      </c>
      <c r="H131" s="12">
        <f t="shared" si="53"/>
        <v>10187537</v>
      </c>
      <c r="I131" s="59">
        <f t="shared" si="53"/>
        <v>47026</v>
      </c>
      <c r="J131" s="12">
        <f t="shared" si="53"/>
        <v>0</v>
      </c>
      <c r="K131" s="59">
        <f t="shared" si="53"/>
        <v>0</v>
      </c>
      <c r="L131" s="108">
        <f t="shared" si="43"/>
        <v>25417578</v>
      </c>
    </row>
    <row r="132" spans="1:12" ht="25.5">
      <c r="A132" s="16" t="s">
        <v>332</v>
      </c>
      <c r="B132" s="17" t="s">
        <v>333</v>
      </c>
      <c r="C132" s="109">
        <f aca="true" t="shared" si="54" ref="C132:C138">D132+F132+H132+J132</f>
        <v>14339249</v>
      </c>
      <c r="D132" s="15">
        <v>5969339</v>
      </c>
      <c r="E132" s="60">
        <v>0</v>
      </c>
      <c r="F132" s="15">
        <v>167332</v>
      </c>
      <c r="G132" s="60">
        <v>31100</v>
      </c>
      <c r="H132" s="15">
        <v>8202578</v>
      </c>
      <c r="I132" s="60">
        <v>37728</v>
      </c>
      <c r="J132" s="15">
        <v>0</v>
      </c>
      <c r="K132" s="60">
        <v>0</v>
      </c>
      <c r="L132" s="109">
        <f aca="true" t="shared" si="55" ref="L132:L138">SUM(D132:K132)</f>
        <v>14408077</v>
      </c>
    </row>
    <row r="133" spans="1:12" ht="25.5">
      <c r="A133" s="16" t="s">
        <v>334</v>
      </c>
      <c r="B133" s="17" t="s">
        <v>523</v>
      </c>
      <c r="C133" s="109">
        <f t="shared" si="54"/>
        <v>1982095</v>
      </c>
      <c r="D133" s="15">
        <v>586645</v>
      </c>
      <c r="E133" s="60">
        <v>333619</v>
      </c>
      <c r="F133" s="15">
        <v>22613</v>
      </c>
      <c r="G133" s="60">
        <v>8952</v>
      </c>
      <c r="H133" s="15">
        <v>1372837</v>
      </c>
      <c r="I133" s="60">
        <v>6103</v>
      </c>
      <c r="J133" s="15">
        <v>0</v>
      </c>
      <c r="K133" s="60">
        <v>0</v>
      </c>
      <c r="L133" s="109">
        <f t="shared" si="55"/>
        <v>2330769</v>
      </c>
    </row>
    <row r="134" spans="1:12" ht="25.5">
      <c r="A134" s="16" t="s">
        <v>335</v>
      </c>
      <c r="B134" s="17" t="s">
        <v>336</v>
      </c>
      <c r="C134" s="109">
        <f t="shared" si="54"/>
        <v>202239</v>
      </c>
      <c r="D134" s="18">
        <v>40512</v>
      </c>
      <c r="E134" s="60">
        <v>392</v>
      </c>
      <c r="F134" s="15">
        <v>3400</v>
      </c>
      <c r="G134" s="60">
        <v>8520</v>
      </c>
      <c r="H134" s="15">
        <v>158327</v>
      </c>
      <c r="I134" s="60">
        <v>3195</v>
      </c>
      <c r="J134" s="15">
        <v>0</v>
      </c>
      <c r="K134" s="60">
        <v>0</v>
      </c>
      <c r="L134" s="109">
        <f t="shared" si="55"/>
        <v>214346</v>
      </c>
    </row>
    <row r="135" spans="1:12" ht="46.5" customHeight="1">
      <c r="A135" s="16" t="s">
        <v>337</v>
      </c>
      <c r="B135" s="17" t="s">
        <v>338</v>
      </c>
      <c r="C135" s="109">
        <f t="shared" si="54"/>
        <v>4385395</v>
      </c>
      <c r="D135" s="18">
        <v>4374338</v>
      </c>
      <c r="E135" s="60">
        <v>519983</v>
      </c>
      <c r="F135" s="15">
        <v>0</v>
      </c>
      <c r="G135" s="60">
        <v>0</v>
      </c>
      <c r="H135" s="15">
        <v>11057</v>
      </c>
      <c r="I135" s="60">
        <v>0</v>
      </c>
      <c r="J135" s="15">
        <v>0</v>
      </c>
      <c r="K135" s="60">
        <v>0</v>
      </c>
      <c r="L135" s="109">
        <f t="shared" si="55"/>
        <v>4905378</v>
      </c>
    </row>
    <row r="136" spans="1:12" ht="51">
      <c r="A136" s="13" t="s">
        <v>339</v>
      </c>
      <c r="B136" s="14" t="s">
        <v>340</v>
      </c>
      <c r="C136" s="109">
        <f t="shared" si="54"/>
        <v>1026833</v>
      </c>
      <c r="D136" s="15">
        <v>956635</v>
      </c>
      <c r="E136" s="60">
        <v>157724</v>
      </c>
      <c r="F136" s="15">
        <v>0</v>
      </c>
      <c r="G136" s="60">
        <v>0</v>
      </c>
      <c r="H136" s="15">
        <v>70198</v>
      </c>
      <c r="I136" s="60">
        <v>0</v>
      </c>
      <c r="J136" s="15">
        <v>0</v>
      </c>
      <c r="K136" s="60">
        <v>0</v>
      </c>
      <c r="L136" s="109">
        <f t="shared" si="55"/>
        <v>1184557</v>
      </c>
    </row>
    <row r="137" spans="1:12" ht="51">
      <c r="A137" s="13" t="s">
        <v>486</v>
      </c>
      <c r="B137" s="14" t="s">
        <v>487</v>
      </c>
      <c r="C137" s="109">
        <f t="shared" si="54"/>
        <v>952331</v>
      </c>
      <c r="D137" s="15">
        <v>579791</v>
      </c>
      <c r="E137" s="60">
        <v>122120</v>
      </c>
      <c r="F137" s="15">
        <v>0</v>
      </c>
      <c r="G137" s="60">
        <v>0</v>
      </c>
      <c r="H137" s="15">
        <v>372540</v>
      </c>
      <c r="I137" s="60">
        <v>0</v>
      </c>
      <c r="J137" s="15">
        <v>0</v>
      </c>
      <c r="K137" s="60">
        <v>0</v>
      </c>
      <c r="L137" s="109">
        <f t="shared" si="55"/>
        <v>1074451</v>
      </c>
    </row>
    <row r="138" spans="1:12" ht="51">
      <c r="A138" s="13" t="s">
        <v>801</v>
      </c>
      <c r="B138" s="14" t="s">
        <v>802</v>
      </c>
      <c r="C138" s="109">
        <f t="shared" si="54"/>
        <v>0</v>
      </c>
      <c r="D138" s="15">
        <v>0</v>
      </c>
      <c r="E138" s="60">
        <v>1300000</v>
      </c>
      <c r="F138" s="15">
        <v>0</v>
      </c>
      <c r="G138" s="60">
        <v>0</v>
      </c>
      <c r="H138" s="15">
        <v>0</v>
      </c>
      <c r="I138" s="60">
        <v>0</v>
      </c>
      <c r="J138" s="15">
        <v>0</v>
      </c>
      <c r="K138" s="60">
        <v>0</v>
      </c>
      <c r="L138" s="109">
        <f t="shared" si="55"/>
        <v>1300000</v>
      </c>
    </row>
    <row r="139" spans="1:12" ht="15">
      <c r="A139" s="119" t="s">
        <v>341</v>
      </c>
      <c r="B139" s="11" t="s">
        <v>342</v>
      </c>
      <c r="C139" s="108">
        <f aca="true" t="shared" si="56" ref="C139:C175">D139+F139+H139+J139</f>
        <v>1492673</v>
      </c>
      <c r="D139" s="12">
        <f aca="true" t="shared" si="57" ref="D139:K139">SUM(D140:D141)</f>
        <v>577147</v>
      </c>
      <c r="E139" s="61">
        <f t="shared" si="57"/>
        <v>-16253</v>
      </c>
      <c r="F139" s="23">
        <f t="shared" si="57"/>
        <v>48405</v>
      </c>
      <c r="G139" s="61">
        <f t="shared" si="57"/>
        <v>16253</v>
      </c>
      <c r="H139" s="23">
        <f t="shared" si="57"/>
        <v>867121</v>
      </c>
      <c r="I139" s="61">
        <f t="shared" si="57"/>
        <v>4470</v>
      </c>
      <c r="J139" s="23">
        <f t="shared" si="57"/>
        <v>0</v>
      </c>
      <c r="K139" s="61">
        <f t="shared" si="57"/>
        <v>0</v>
      </c>
      <c r="L139" s="108">
        <f aca="true" t="shared" si="58" ref="L139:L175">SUM(D139:K139)</f>
        <v>1497143</v>
      </c>
    </row>
    <row r="140" spans="1:12" ht="25.5">
      <c r="A140" s="16" t="s">
        <v>343</v>
      </c>
      <c r="B140" s="17" t="s">
        <v>344</v>
      </c>
      <c r="C140" s="109">
        <f t="shared" si="56"/>
        <v>1301951</v>
      </c>
      <c r="D140" s="18">
        <v>546186</v>
      </c>
      <c r="E140" s="60">
        <v>0</v>
      </c>
      <c r="F140" s="15">
        <v>26657</v>
      </c>
      <c r="G140" s="60">
        <v>0</v>
      </c>
      <c r="H140" s="15">
        <v>729108</v>
      </c>
      <c r="I140" s="60">
        <v>4470</v>
      </c>
      <c r="J140" s="15">
        <v>0</v>
      </c>
      <c r="K140" s="60">
        <v>0</v>
      </c>
      <c r="L140" s="109">
        <f t="shared" si="58"/>
        <v>1306421</v>
      </c>
    </row>
    <row r="141" spans="1:12" ht="25.5">
      <c r="A141" s="16" t="s">
        <v>345</v>
      </c>
      <c r="B141" s="17" t="s">
        <v>346</v>
      </c>
      <c r="C141" s="109">
        <f t="shared" si="56"/>
        <v>190722</v>
      </c>
      <c r="D141" s="18">
        <v>30961</v>
      </c>
      <c r="E141" s="60">
        <v>-16253</v>
      </c>
      <c r="F141" s="15">
        <v>21748</v>
      </c>
      <c r="G141" s="60">
        <v>16253</v>
      </c>
      <c r="H141" s="15">
        <v>138013</v>
      </c>
      <c r="I141" s="60">
        <v>0</v>
      </c>
      <c r="J141" s="15">
        <v>0</v>
      </c>
      <c r="K141" s="60">
        <v>0</v>
      </c>
      <c r="L141" s="109">
        <f t="shared" si="58"/>
        <v>190722</v>
      </c>
    </row>
    <row r="142" spans="1:12" ht="15">
      <c r="A142" s="119" t="s">
        <v>32</v>
      </c>
      <c r="B142" s="11" t="s">
        <v>537</v>
      </c>
      <c r="C142" s="109">
        <f>D142+F142+H142+J142</f>
        <v>10246984</v>
      </c>
      <c r="D142" s="12">
        <f aca="true" t="shared" si="59" ref="D142:K142">D143+D149+D152</f>
        <v>6200432</v>
      </c>
      <c r="E142" s="59">
        <f t="shared" si="59"/>
        <v>1232000</v>
      </c>
      <c r="F142" s="12">
        <f t="shared" si="59"/>
        <v>397597</v>
      </c>
      <c r="G142" s="59">
        <f t="shared" si="59"/>
        <v>40579</v>
      </c>
      <c r="H142" s="12">
        <f t="shared" si="59"/>
        <v>3648955</v>
      </c>
      <c r="I142" s="59">
        <f t="shared" si="59"/>
        <v>-1300000</v>
      </c>
      <c r="J142" s="12">
        <f t="shared" si="59"/>
        <v>0</v>
      </c>
      <c r="K142" s="59">
        <f t="shared" si="59"/>
        <v>0</v>
      </c>
      <c r="L142" s="109">
        <f t="shared" si="58"/>
        <v>10219563</v>
      </c>
    </row>
    <row r="143" spans="1:12" ht="25.5">
      <c r="A143" s="10" t="s">
        <v>347</v>
      </c>
      <c r="B143" s="11" t="s">
        <v>348</v>
      </c>
      <c r="C143" s="108">
        <f t="shared" si="56"/>
        <v>8370034</v>
      </c>
      <c r="D143" s="12">
        <f aca="true" t="shared" si="60" ref="D143:J143">SUM(D144:D148)</f>
        <v>4865533</v>
      </c>
      <c r="E143" s="61">
        <f t="shared" si="60"/>
        <v>1232000</v>
      </c>
      <c r="F143" s="23">
        <f t="shared" si="60"/>
        <v>171070</v>
      </c>
      <c r="G143" s="61">
        <f t="shared" si="60"/>
        <v>40579</v>
      </c>
      <c r="H143" s="23">
        <f>SUM(H144:H148)</f>
        <v>3333431</v>
      </c>
      <c r="I143" s="61">
        <f t="shared" si="60"/>
        <v>-1300000</v>
      </c>
      <c r="J143" s="23">
        <f t="shared" si="60"/>
        <v>0</v>
      </c>
      <c r="K143" s="61">
        <f>SUM(K144:K148)</f>
        <v>0</v>
      </c>
      <c r="L143" s="108">
        <f t="shared" si="58"/>
        <v>8342613</v>
      </c>
    </row>
    <row r="144" spans="1:12" ht="38.25">
      <c r="A144" s="16" t="s">
        <v>34</v>
      </c>
      <c r="B144" s="17" t="s">
        <v>467</v>
      </c>
      <c r="C144" s="109">
        <f t="shared" si="56"/>
        <v>1129330</v>
      </c>
      <c r="D144" s="18">
        <v>522281</v>
      </c>
      <c r="E144" s="60">
        <v>0</v>
      </c>
      <c r="F144" s="15">
        <v>62910</v>
      </c>
      <c r="G144" s="60">
        <v>39855</v>
      </c>
      <c r="H144" s="15">
        <v>544139</v>
      </c>
      <c r="I144" s="60">
        <v>0</v>
      </c>
      <c r="J144" s="15">
        <v>0</v>
      </c>
      <c r="K144" s="60">
        <v>0</v>
      </c>
      <c r="L144" s="109">
        <f t="shared" si="58"/>
        <v>1169185</v>
      </c>
    </row>
    <row r="145" spans="1:12" ht="25.5">
      <c r="A145" s="16" t="s">
        <v>36</v>
      </c>
      <c r="B145" s="17" t="s">
        <v>349</v>
      </c>
      <c r="C145" s="109">
        <f t="shared" si="56"/>
        <v>298851</v>
      </c>
      <c r="D145" s="18">
        <v>153665</v>
      </c>
      <c r="E145" s="60">
        <v>0</v>
      </c>
      <c r="F145" s="15">
        <v>21401</v>
      </c>
      <c r="G145" s="60">
        <v>0</v>
      </c>
      <c r="H145" s="15">
        <v>123785</v>
      </c>
      <c r="I145" s="60">
        <v>0</v>
      </c>
      <c r="J145" s="15">
        <v>0</v>
      </c>
      <c r="K145" s="60">
        <v>0</v>
      </c>
      <c r="L145" s="109">
        <f t="shared" si="58"/>
        <v>298851</v>
      </c>
    </row>
    <row r="146" spans="1:12" ht="25.5">
      <c r="A146" s="16" t="s">
        <v>350</v>
      </c>
      <c r="B146" s="17" t="s">
        <v>351</v>
      </c>
      <c r="C146" s="109">
        <f t="shared" si="56"/>
        <v>3121607</v>
      </c>
      <c r="D146" s="18">
        <v>2369341</v>
      </c>
      <c r="E146" s="60">
        <v>0</v>
      </c>
      <c r="F146" s="15">
        <v>86759</v>
      </c>
      <c r="G146" s="60">
        <v>724</v>
      </c>
      <c r="H146" s="15">
        <v>665507</v>
      </c>
      <c r="I146" s="60">
        <v>0</v>
      </c>
      <c r="J146" s="15">
        <v>0</v>
      </c>
      <c r="K146" s="60">
        <v>0</v>
      </c>
      <c r="L146" s="109">
        <f t="shared" si="58"/>
        <v>3122331</v>
      </c>
    </row>
    <row r="147" spans="1:12" ht="76.5">
      <c r="A147" s="13" t="s">
        <v>443</v>
      </c>
      <c r="B147" s="14" t="s">
        <v>468</v>
      </c>
      <c r="C147" s="109">
        <f t="shared" si="56"/>
        <v>506613</v>
      </c>
      <c r="D147" s="15">
        <v>506613</v>
      </c>
      <c r="E147" s="60">
        <v>-8000</v>
      </c>
      <c r="F147" s="15">
        <v>0</v>
      </c>
      <c r="G147" s="60">
        <v>0</v>
      </c>
      <c r="H147" s="15">
        <v>0</v>
      </c>
      <c r="I147" s="60">
        <v>0</v>
      </c>
      <c r="J147" s="15">
        <v>0</v>
      </c>
      <c r="K147" s="60">
        <v>0</v>
      </c>
      <c r="L147" s="109">
        <f t="shared" si="58"/>
        <v>498613</v>
      </c>
    </row>
    <row r="148" spans="1:12" ht="38.25">
      <c r="A148" s="13" t="s">
        <v>490</v>
      </c>
      <c r="B148" s="14" t="s">
        <v>491</v>
      </c>
      <c r="C148" s="109">
        <f t="shared" si="56"/>
        <v>3313633</v>
      </c>
      <c r="D148" s="15">
        <v>1313633</v>
      </c>
      <c r="E148" s="60">
        <v>1240000</v>
      </c>
      <c r="F148" s="15">
        <v>0</v>
      </c>
      <c r="G148" s="60">
        <v>0</v>
      </c>
      <c r="H148" s="60">
        <v>2000000</v>
      </c>
      <c r="I148" s="60">
        <v>-1300000</v>
      </c>
      <c r="J148" s="15">
        <v>0</v>
      </c>
      <c r="K148" s="60">
        <v>0</v>
      </c>
      <c r="L148" s="109">
        <f t="shared" si="58"/>
        <v>3253633</v>
      </c>
    </row>
    <row r="149" spans="1:12" ht="51">
      <c r="A149" s="10" t="s">
        <v>352</v>
      </c>
      <c r="B149" s="11" t="s">
        <v>353</v>
      </c>
      <c r="C149" s="108">
        <f t="shared" si="56"/>
        <v>43000</v>
      </c>
      <c r="D149" s="12">
        <f>SUM(D150:D151)</f>
        <v>43000</v>
      </c>
      <c r="E149" s="61">
        <f aca="true" t="shared" si="61" ref="E149:K149">SUM(E150:E151)</f>
        <v>0</v>
      </c>
      <c r="F149" s="23">
        <f t="shared" si="61"/>
        <v>0</v>
      </c>
      <c r="G149" s="61">
        <f t="shared" si="61"/>
        <v>0</v>
      </c>
      <c r="H149" s="23">
        <f t="shared" si="61"/>
        <v>0</v>
      </c>
      <c r="I149" s="61">
        <f t="shared" si="61"/>
        <v>0</v>
      </c>
      <c r="J149" s="23">
        <f t="shared" si="61"/>
        <v>0</v>
      </c>
      <c r="K149" s="61">
        <f t="shared" si="61"/>
        <v>0</v>
      </c>
      <c r="L149" s="108">
        <f t="shared" si="58"/>
        <v>43000</v>
      </c>
    </row>
    <row r="150" spans="1:12" ht="25.5">
      <c r="A150" s="16" t="s">
        <v>44</v>
      </c>
      <c r="B150" s="17" t="s">
        <v>354</v>
      </c>
      <c r="C150" s="109">
        <f t="shared" si="56"/>
        <v>40000</v>
      </c>
      <c r="D150" s="18">
        <v>40000</v>
      </c>
      <c r="E150" s="60">
        <v>0</v>
      </c>
      <c r="F150" s="15">
        <v>0</v>
      </c>
      <c r="G150" s="60">
        <v>0</v>
      </c>
      <c r="H150" s="15">
        <v>0</v>
      </c>
      <c r="I150" s="60">
        <v>0</v>
      </c>
      <c r="J150" s="15">
        <v>0</v>
      </c>
      <c r="K150" s="60">
        <v>0</v>
      </c>
      <c r="L150" s="109">
        <f t="shared" si="58"/>
        <v>40000</v>
      </c>
    </row>
    <row r="151" spans="1:12" ht="16.5" customHeight="1">
      <c r="A151" s="16" t="s">
        <v>355</v>
      </c>
      <c r="B151" s="17" t="s">
        <v>524</v>
      </c>
      <c r="C151" s="109">
        <f t="shared" si="56"/>
        <v>3000</v>
      </c>
      <c r="D151" s="18">
        <v>3000</v>
      </c>
      <c r="E151" s="60">
        <v>0</v>
      </c>
      <c r="F151" s="15">
        <v>0</v>
      </c>
      <c r="G151" s="60">
        <v>0</v>
      </c>
      <c r="H151" s="15">
        <v>0</v>
      </c>
      <c r="I151" s="60">
        <v>0</v>
      </c>
      <c r="J151" s="15">
        <v>0</v>
      </c>
      <c r="K151" s="60">
        <v>0</v>
      </c>
      <c r="L151" s="109">
        <f t="shared" si="58"/>
        <v>3000</v>
      </c>
    </row>
    <row r="152" spans="1:12" ht="25.5">
      <c r="A152" s="10" t="s">
        <v>356</v>
      </c>
      <c r="B152" s="11" t="s">
        <v>357</v>
      </c>
      <c r="C152" s="108">
        <f t="shared" si="56"/>
        <v>1833950</v>
      </c>
      <c r="D152" s="12">
        <f>SUM(D153:D157)</f>
        <v>1291899</v>
      </c>
      <c r="E152" s="59">
        <f aca="true" t="shared" si="62" ref="E152:K152">SUM(E153:E157)</f>
        <v>0</v>
      </c>
      <c r="F152" s="12">
        <f t="shared" si="62"/>
        <v>226527</v>
      </c>
      <c r="G152" s="59">
        <f t="shared" si="62"/>
        <v>0</v>
      </c>
      <c r="H152" s="12">
        <f t="shared" si="62"/>
        <v>315524</v>
      </c>
      <c r="I152" s="59">
        <f t="shared" si="62"/>
        <v>0</v>
      </c>
      <c r="J152" s="12">
        <f t="shared" si="62"/>
        <v>0</v>
      </c>
      <c r="K152" s="59">
        <f t="shared" si="62"/>
        <v>0</v>
      </c>
      <c r="L152" s="108">
        <f t="shared" si="58"/>
        <v>1833950</v>
      </c>
    </row>
    <row r="153" spans="1:12" ht="38.25">
      <c r="A153" s="16" t="s">
        <v>358</v>
      </c>
      <c r="B153" s="17" t="s">
        <v>359</v>
      </c>
      <c r="C153" s="109">
        <f t="shared" si="56"/>
        <v>1272441</v>
      </c>
      <c r="D153" s="18">
        <v>1108260</v>
      </c>
      <c r="E153" s="60">
        <v>0</v>
      </c>
      <c r="F153" s="15">
        <v>164181</v>
      </c>
      <c r="G153" s="60">
        <v>0</v>
      </c>
      <c r="H153" s="15">
        <v>0</v>
      </c>
      <c r="I153" s="60">
        <v>0</v>
      </c>
      <c r="J153" s="15">
        <v>0</v>
      </c>
      <c r="K153" s="60">
        <v>0</v>
      </c>
      <c r="L153" s="109">
        <f t="shared" si="58"/>
        <v>1272441</v>
      </c>
    </row>
    <row r="154" spans="1:12" ht="38.25">
      <c r="A154" s="16" t="s">
        <v>360</v>
      </c>
      <c r="B154" s="17" t="s">
        <v>361</v>
      </c>
      <c r="C154" s="109">
        <f t="shared" si="56"/>
        <v>186518</v>
      </c>
      <c r="D154" s="18">
        <v>4371</v>
      </c>
      <c r="E154" s="60">
        <v>0</v>
      </c>
      <c r="F154" s="15">
        <v>62346</v>
      </c>
      <c r="G154" s="60">
        <v>0</v>
      </c>
      <c r="H154" s="15">
        <v>119801</v>
      </c>
      <c r="I154" s="60">
        <v>0</v>
      </c>
      <c r="J154" s="15">
        <v>0</v>
      </c>
      <c r="K154" s="60">
        <v>0</v>
      </c>
      <c r="L154" s="109">
        <f t="shared" si="58"/>
        <v>186518</v>
      </c>
    </row>
    <row r="155" spans="1:12" ht="15">
      <c r="A155" s="16" t="s">
        <v>362</v>
      </c>
      <c r="B155" s="17" t="s">
        <v>363</v>
      </c>
      <c r="C155" s="109">
        <f t="shared" si="56"/>
        <v>83451</v>
      </c>
      <c r="D155" s="18">
        <v>30000</v>
      </c>
      <c r="E155" s="60">
        <v>0</v>
      </c>
      <c r="F155" s="15">
        <v>0</v>
      </c>
      <c r="G155" s="60">
        <v>0</v>
      </c>
      <c r="H155" s="15">
        <v>53451</v>
      </c>
      <c r="I155" s="60">
        <v>0</v>
      </c>
      <c r="J155" s="15">
        <v>0</v>
      </c>
      <c r="K155" s="60">
        <v>0</v>
      </c>
      <c r="L155" s="109">
        <f t="shared" si="58"/>
        <v>83451</v>
      </c>
    </row>
    <row r="156" spans="1:12" ht="38.25">
      <c r="A156" s="13" t="s">
        <v>364</v>
      </c>
      <c r="B156" s="14" t="s">
        <v>365</v>
      </c>
      <c r="C156" s="109">
        <f t="shared" si="56"/>
        <v>500</v>
      </c>
      <c r="D156" s="15">
        <v>0</v>
      </c>
      <c r="E156" s="60">
        <v>0</v>
      </c>
      <c r="F156" s="15">
        <v>0</v>
      </c>
      <c r="G156" s="60">
        <v>0</v>
      </c>
      <c r="H156" s="15">
        <v>500</v>
      </c>
      <c r="I156" s="60">
        <v>0</v>
      </c>
      <c r="J156" s="15">
        <v>0</v>
      </c>
      <c r="K156" s="60">
        <v>0</v>
      </c>
      <c r="L156" s="109">
        <f t="shared" si="58"/>
        <v>500</v>
      </c>
    </row>
    <row r="157" spans="1:12" ht="38.25">
      <c r="A157" s="13" t="s">
        <v>488</v>
      </c>
      <c r="B157" s="14" t="s">
        <v>489</v>
      </c>
      <c r="C157" s="109">
        <f t="shared" si="56"/>
        <v>291040</v>
      </c>
      <c r="D157" s="15">
        <v>149268</v>
      </c>
      <c r="E157" s="60">
        <v>0</v>
      </c>
      <c r="F157" s="15">
        <v>0</v>
      </c>
      <c r="G157" s="60">
        <v>0</v>
      </c>
      <c r="H157" s="15">
        <v>141772</v>
      </c>
      <c r="I157" s="60">
        <v>0</v>
      </c>
      <c r="J157" s="15">
        <v>0</v>
      </c>
      <c r="K157" s="60">
        <v>0</v>
      </c>
      <c r="L157" s="109">
        <f aca="true" t="shared" si="63" ref="L157:L162">SUM(D157:K157)</f>
        <v>291040</v>
      </c>
    </row>
    <row r="158" spans="1:12" ht="15">
      <c r="A158" s="31" t="s">
        <v>527</v>
      </c>
      <c r="B158" s="22" t="s">
        <v>528</v>
      </c>
      <c r="C158" s="108">
        <f aca="true" t="shared" si="64" ref="C158:C166">D158+F158+H158+J158</f>
        <v>1430422</v>
      </c>
      <c r="D158" s="12">
        <f aca="true" t="shared" si="65" ref="D158:K158">D159+D161+D163</f>
        <v>814811</v>
      </c>
      <c r="E158" s="59">
        <f t="shared" si="65"/>
        <v>0</v>
      </c>
      <c r="F158" s="12">
        <f t="shared" si="65"/>
        <v>70627</v>
      </c>
      <c r="G158" s="59">
        <f t="shared" si="65"/>
        <v>16396</v>
      </c>
      <c r="H158" s="12">
        <f t="shared" si="65"/>
        <v>544984</v>
      </c>
      <c r="I158" s="59">
        <f t="shared" si="65"/>
        <v>0</v>
      </c>
      <c r="J158" s="12">
        <f t="shared" si="65"/>
        <v>0</v>
      </c>
      <c r="K158" s="59">
        <f t="shared" si="65"/>
        <v>0</v>
      </c>
      <c r="L158" s="109">
        <f t="shared" si="63"/>
        <v>1446818</v>
      </c>
    </row>
    <row r="159" spans="1:12" ht="15">
      <c r="A159" s="31" t="s">
        <v>525</v>
      </c>
      <c r="B159" s="22" t="s">
        <v>529</v>
      </c>
      <c r="C159" s="108">
        <f t="shared" si="64"/>
        <v>1025855</v>
      </c>
      <c r="D159" s="12">
        <f aca="true" t="shared" si="66" ref="D159:K159">D160</f>
        <v>503855</v>
      </c>
      <c r="E159" s="59">
        <f t="shared" si="66"/>
        <v>0</v>
      </c>
      <c r="F159" s="12">
        <f t="shared" si="66"/>
        <v>0</v>
      </c>
      <c r="G159" s="59">
        <f t="shared" si="66"/>
        <v>0</v>
      </c>
      <c r="H159" s="12">
        <f t="shared" si="66"/>
        <v>522000</v>
      </c>
      <c r="I159" s="59">
        <f t="shared" si="66"/>
        <v>0</v>
      </c>
      <c r="J159" s="12">
        <f t="shared" si="66"/>
        <v>0</v>
      </c>
      <c r="K159" s="59">
        <f t="shared" si="66"/>
        <v>0</v>
      </c>
      <c r="L159" s="109">
        <f t="shared" si="63"/>
        <v>1025855</v>
      </c>
    </row>
    <row r="160" spans="1:12" ht="25.5">
      <c r="A160" s="118" t="s">
        <v>526</v>
      </c>
      <c r="B160" s="14" t="s">
        <v>530</v>
      </c>
      <c r="C160" s="109">
        <f t="shared" si="64"/>
        <v>1025855</v>
      </c>
      <c r="D160" s="15">
        <v>503855</v>
      </c>
      <c r="E160" s="60">
        <v>0</v>
      </c>
      <c r="F160" s="15">
        <v>0</v>
      </c>
      <c r="G160" s="60">
        <v>0</v>
      </c>
      <c r="H160" s="15">
        <v>522000</v>
      </c>
      <c r="I160" s="60">
        <v>0</v>
      </c>
      <c r="J160" s="15">
        <v>0</v>
      </c>
      <c r="K160" s="60">
        <v>0</v>
      </c>
      <c r="L160" s="109">
        <f t="shared" si="63"/>
        <v>1025855</v>
      </c>
    </row>
    <row r="161" spans="1:12" ht="15">
      <c r="A161" s="31" t="s">
        <v>531</v>
      </c>
      <c r="B161" s="22" t="s">
        <v>532</v>
      </c>
      <c r="C161" s="108">
        <f t="shared" si="64"/>
        <v>135026</v>
      </c>
      <c r="D161" s="12">
        <f aca="true" t="shared" si="67" ref="D161:K161">D162</f>
        <v>105776</v>
      </c>
      <c r="E161" s="59">
        <f t="shared" si="67"/>
        <v>0</v>
      </c>
      <c r="F161" s="12">
        <f t="shared" si="67"/>
        <v>29250</v>
      </c>
      <c r="G161" s="59">
        <f t="shared" si="67"/>
        <v>0</v>
      </c>
      <c r="H161" s="12">
        <f t="shared" si="67"/>
        <v>0</v>
      </c>
      <c r="I161" s="59">
        <f t="shared" si="67"/>
        <v>0</v>
      </c>
      <c r="J161" s="12">
        <f t="shared" si="67"/>
        <v>0</v>
      </c>
      <c r="K161" s="59">
        <f t="shared" si="67"/>
        <v>0</v>
      </c>
      <c r="L161" s="109">
        <f t="shared" si="63"/>
        <v>135026</v>
      </c>
    </row>
    <row r="162" spans="1:12" ht="51">
      <c r="A162" s="118" t="s">
        <v>533</v>
      </c>
      <c r="B162" s="14" t="s">
        <v>534</v>
      </c>
      <c r="C162" s="109">
        <f t="shared" si="64"/>
        <v>135026</v>
      </c>
      <c r="D162" s="15">
        <v>105776</v>
      </c>
      <c r="E162" s="60">
        <v>0</v>
      </c>
      <c r="F162" s="15">
        <v>29250</v>
      </c>
      <c r="G162" s="60">
        <v>0</v>
      </c>
      <c r="H162" s="15">
        <v>0</v>
      </c>
      <c r="I162" s="60">
        <v>0</v>
      </c>
      <c r="J162" s="15">
        <v>0</v>
      </c>
      <c r="K162" s="60">
        <v>0</v>
      </c>
      <c r="L162" s="109">
        <f t="shared" si="63"/>
        <v>135026</v>
      </c>
    </row>
    <row r="163" spans="1:12" ht="15">
      <c r="A163" s="31" t="s">
        <v>469</v>
      </c>
      <c r="B163" s="22" t="s">
        <v>470</v>
      </c>
      <c r="C163" s="108">
        <f t="shared" si="64"/>
        <v>269541</v>
      </c>
      <c r="D163" s="12">
        <f aca="true" t="shared" si="68" ref="D163:K163">D164+D165</f>
        <v>205180</v>
      </c>
      <c r="E163" s="59">
        <f t="shared" si="68"/>
        <v>0</v>
      </c>
      <c r="F163" s="12">
        <f t="shared" si="68"/>
        <v>41377</v>
      </c>
      <c r="G163" s="59">
        <f t="shared" si="68"/>
        <v>16396</v>
      </c>
      <c r="H163" s="12">
        <f t="shared" si="68"/>
        <v>22984</v>
      </c>
      <c r="I163" s="59">
        <f t="shared" si="68"/>
        <v>0</v>
      </c>
      <c r="J163" s="12">
        <f t="shared" si="68"/>
        <v>0</v>
      </c>
      <c r="K163" s="59">
        <f t="shared" si="68"/>
        <v>0</v>
      </c>
      <c r="L163" s="108">
        <f t="shared" si="58"/>
        <v>285937</v>
      </c>
    </row>
    <row r="164" spans="1:12" ht="21" customHeight="1">
      <c r="A164" s="118" t="s">
        <v>471</v>
      </c>
      <c r="B164" s="14" t="s">
        <v>472</v>
      </c>
      <c r="C164" s="109">
        <f t="shared" si="64"/>
        <v>22984</v>
      </c>
      <c r="D164" s="15">
        <v>0</v>
      </c>
      <c r="E164" s="60">
        <v>0</v>
      </c>
      <c r="F164" s="15">
        <v>0</v>
      </c>
      <c r="G164" s="60">
        <v>0</v>
      </c>
      <c r="H164" s="15">
        <v>22984</v>
      </c>
      <c r="I164" s="60">
        <v>0</v>
      </c>
      <c r="J164" s="15">
        <v>0</v>
      </c>
      <c r="K164" s="60">
        <v>0</v>
      </c>
      <c r="L164" s="109">
        <f t="shared" si="58"/>
        <v>22984</v>
      </c>
    </row>
    <row r="165" spans="1:12" ht="51">
      <c r="A165" s="118" t="s">
        <v>535</v>
      </c>
      <c r="B165" s="14" t="s">
        <v>536</v>
      </c>
      <c r="C165" s="109">
        <f t="shared" si="64"/>
        <v>246557</v>
      </c>
      <c r="D165" s="15">
        <v>205180</v>
      </c>
      <c r="E165" s="60">
        <v>0</v>
      </c>
      <c r="F165" s="15">
        <v>41377</v>
      </c>
      <c r="G165" s="60">
        <v>16396</v>
      </c>
      <c r="H165" s="15">
        <v>0</v>
      </c>
      <c r="I165" s="60">
        <v>0</v>
      </c>
      <c r="J165" s="15">
        <v>0</v>
      </c>
      <c r="K165" s="60">
        <v>0</v>
      </c>
      <c r="L165" s="109">
        <f t="shared" si="58"/>
        <v>262953</v>
      </c>
    </row>
    <row r="166" spans="1:12" ht="15">
      <c r="A166" s="119" t="s">
        <v>538</v>
      </c>
      <c r="B166" s="11" t="s">
        <v>539</v>
      </c>
      <c r="C166" s="109">
        <f t="shared" si="64"/>
        <v>1485686</v>
      </c>
      <c r="D166" s="12">
        <f aca="true" t="shared" si="69" ref="D166:K166">D167+D171</f>
        <v>1123888</v>
      </c>
      <c r="E166" s="59">
        <f t="shared" si="69"/>
        <v>0</v>
      </c>
      <c r="F166" s="12">
        <f t="shared" si="69"/>
        <v>260</v>
      </c>
      <c r="G166" s="59">
        <f t="shared" si="69"/>
        <v>0</v>
      </c>
      <c r="H166" s="12">
        <f t="shared" si="69"/>
        <v>361538</v>
      </c>
      <c r="I166" s="59">
        <f t="shared" si="69"/>
        <v>34248</v>
      </c>
      <c r="J166" s="12">
        <f t="shared" si="69"/>
        <v>0</v>
      </c>
      <c r="K166" s="59">
        <f t="shared" si="69"/>
        <v>0</v>
      </c>
      <c r="L166" s="109">
        <f>SUM(D166:K166)</f>
        <v>1519934</v>
      </c>
    </row>
    <row r="167" spans="1:12" ht="15">
      <c r="A167" s="10" t="s">
        <v>366</v>
      </c>
      <c r="B167" s="11" t="s">
        <v>367</v>
      </c>
      <c r="C167" s="108">
        <f t="shared" si="56"/>
        <v>1386970</v>
      </c>
      <c r="D167" s="12">
        <f>SUM(D168:D170)</f>
        <v>1086241</v>
      </c>
      <c r="E167" s="61">
        <f aca="true" t="shared" si="70" ref="E167:K167">SUM(E168:E170)</f>
        <v>0</v>
      </c>
      <c r="F167" s="23">
        <f t="shared" si="70"/>
        <v>260</v>
      </c>
      <c r="G167" s="61">
        <f t="shared" si="70"/>
        <v>0</v>
      </c>
      <c r="H167" s="23">
        <f t="shared" si="70"/>
        <v>300469</v>
      </c>
      <c r="I167" s="61">
        <f t="shared" si="70"/>
        <v>34248</v>
      </c>
      <c r="J167" s="23">
        <f t="shared" si="70"/>
        <v>0</v>
      </c>
      <c r="K167" s="61">
        <f t="shared" si="70"/>
        <v>0</v>
      </c>
      <c r="L167" s="108">
        <f t="shared" si="58"/>
        <v>1421218</v>
      </c>
    </row>
    <row r="168" spans="1:12" ht="25.5">
      <c r="A168" s="16" t="s">
        <v>368</v>
      </c>
      <c r="B168" s="17" t="s">
        <v>369</v>
      </c>
      <c r="C168" s="109">
        <f t="shared" si="56"/>
        <v>963725</v>
      </c>
      <c r="D168" s="18">
        <v>963651</v>
      </c>
      <c r="E168" s="60">
        <v>0</v>
      </c>
      <c r="F168" s="15">
        <v>74</v>
      </c>
      <c r="G168" s="60">
        <v>0</v>
      </c>
      <c r="H168" s="15">
        <v>0</v>
      </c>
      <c r="I168" s="60">
        <v>0</v>
      </c>
      <c r="J168" s="15">
        <v>0</v>
      </c>
      <c r="K168" s="60">
        <v>0</v>
      </c>
      <c r="L168" s="109">
        <f t="shared" si="58"/>
        <v>963725</v>
      </c>
    </row>
    <row r="169" spans="1:12" ht="25.5">
      <c r="A169" s="13" t="s">
        <v>370</v>
      </c>
      <c r="B169" s="14" t="s">
        <v>371</v>
      </c>
      <c r="C169" s="109">
        <f t="shared" si="56"/>
        <v>300469</v>
      </c>
      <c r="D169" s="15">
        <v>0</v>
      </c>
      <c r="E169" s="60">
        <v>0</v>
      </c>
      <c r="F169" s="15">
        <v>0</v>
      </c>
      <c r="G169" s="60">
        <v>0</v>
      </c>
      <c r="H169" s="15">
        <v>300469</v>
      </c>
      <c r="I169" s="60">
        <v>34248</v>
      </c>
      <c r="J169" s="15">
        <v>0</v>
      </c>
      <c r="K169" s="60">
        <v>0</v>
      </c>
      <c r="L169" s="109">
        <f t="shared" si="58"/>
        <v>334717</v>
      </c>
    </row>
    <row r="170" spans="1:12" ht="25.5">
      <c r="A170" s="16" t="s">
        <v>372</v>
      </c>
      <c r="B170" s="17" t="s">
        <v>373</v>
      </c>
      <c r="C170" s="109">
        <f t="shared" si="56"/>
        <v>122776</v>
      </c>
      <c r="D170" s="18">
        <v>122590</v>
      </c>
      <c r="E170" s="60">
        <v>0</v>
      </c>
      <c r="F170" s="15">
        <v>186</v>
      </c>
      <c r="G170" s="60">
        <v>0</v>
      </c>
      <c r="H170" s="15">
        <v>0</v>
      </c>
      <c r="I170" s="60">
        <v>0</v>
      </c>
      <c r="J170" s="15">
        <v>0</v>
      </c>
      <c r="K170" s="60">
        <v>0</v>
      </c>
      <c r="L170" s="109">
        <f t="shared" si="58"/>
        <v>122776</v>
      </c>
    </row>
    <row r="171" spans="1:12" ht="25.5">
      <c r="A171" s="10" t="s">
        <v>374</v>
      </c>
      <c r="B171" s="11" t="s">
        <v>375</v>
      </c>
      <c r="C171" s="108">
        <f t="shared" si="56"/>
        <v>98716</v>
      </c>
      <c r="D171" s="12">
        <f aca="true" t="shared" si="71" ref="D171:K171">D172+D173</f>
        <v>37647</v>
      </c>
      <c r="E171" s="61">
        <f t="shared" si="71"/>
        <v>0</v>
      </c>
      <c r="F171" s="12">
        <f t="shared" si="71"/>
        <v>0</v>
      </c>
      <c r="G171" s="61">
        <f t="shared" si="71"/>
        <v>0</v>
      </c>
      <c r="H171" s="12">
        <f t="shared" si="71"/>
        <v>61069</v>
      </c>
      <c r="I171" s="61">
        <f t="shared" si="71"/>
        <v>0</v>
      </c>
      <c r="J171" s="12">
        <f t="shared" si="71"/>
        <v>0</v>
      </c>
      <c r="K171" s="61">
        <f t="shared" si="71"/>
        <v>0</v>
      </c>
      <c r="L171" s="108">
        <f t="shared" si="58"/>
        <v>98716</v>
      </c>
    </row>
    <row r="172" spans="1:12" ht="38.25">
      <c r="A172" s="118" t="s">
        <v>473</v>
      </c>
      <c r="B172" s="14" t="s">
        <v>483</v>
      </c>
      <c r="C172" s="109">
        <f t="shared" si="56"/>
        <v>98716</v>
      </c>
      <c r="D172" s="18">
        <v>37647</v>
      </c>
      <c r="E172" s="60">
        <v>0</v>
      </c>
      <c r="F172" s="15">
        <v>0</v>
      </c>
      <c r="G172" s="60">
        <v>0</v>
      </c>
      <c r="H172" s="15">
        <v>61069</v>
      </c>
      <c r="I172" s="60">
        <v>0</v>
      </c>
      <c r="J172" s="15">
        <v>0</v>
      </c>
      <c r="K172" s="60">
        <v>0</v>
      </c>
      <c r="L172" s="109">
        <f t="shared" si="58"/>
        <v>98716</v>
      </c>
    </row>
    <row r="173" spans="1:12" ht="15" hidden="1">
      <c r="A173" s="120" t="s">
        <v>502</v>
      </c>
      <c r="B173" s="86" t="s">
        <v>503</v>
      </c>
      <c r="C173" s="110">
        <f t="shared" si="56"/>
        <v>0</v>
      </c>
      <c r="D173" s="88"/>
      <c r="E173" s="89"/>
      <c r="F173" s="88"/>
      <c r="G173" s="89"/>
      <c r="H173" s="88"/>
      <c r="I173" s="89"/>
      <c r="J173" s="88"/>
      <c r="K173" s="89"/>
      <c r="L173" s="110">
        <f t="shared" si="58"/>
        <v>0</v>
      </c>
    </row>
    <row r="174" spans="1:12" ht="15">
      <c r="A174" s="55" t="s">
        <v>48</v>
      </c>
      <c r="B174" s="56" t="s">
        <v>165</v>
      </c>
      <c r="C174" s="9">
        <f t="shared" si="56"/>
        <v>15522543</v>
      </c>
      <c r="D174" s="57">
        <f>D175+D184+D187+D190+D192+D194+D204</f>
        <v>11429578</v>
      </c>
      <c r="E174" s="58">
        <f aca="true" t="shared" si="72" ref="E174:K174">E175+E184+E187+E191+E193+E194+E204</f>
        <v>0</v>
      </c>
      <c r="F174" s="57">
        <f t="shared" si="72"/>
        <v>68127</v>
      </c>
      <c r="G174" s="58">
        <f t="shared" si="72"/>
        <v>0</v>
      </c>
      <c r="H174" s="57">
        <f t="shared" si="72"/>
        <v>4024838</v>
      </c>
      <c r="I174" s="58">
        <f t="shared" si="72"/>
        <v>400</v>
      </c>
      <c r="J174" s="57">
        <f t="shared" si="72"/>
        <v>0</v>
      </c>
      <c r="K174" s="58">
        <f t="shared" si="72"/>
        <v>0</v>
      </c>
      <c r="L174" s="9">
        <f t="shared" si="58"/>
        <v>15522943</v>
      </c>
    </row>
    <row r="175" spans="1:12" ht="20.25" customHeight="1">
      <c r="A175" s="10" t="s">
        <v>376</v>
      </c>
      <c r="B175" s="11" t="s">
        <v>377</v>
      </c>
      <c r="C175" s="108">
        <f t="shared" si="56"/>
        <v>3617668</v>
      </c>
      <c r="D175" s="12">
        <f>SUM(D176:D183)</f>
        <v>1020199</v>
      </c>
      <c r="E175" s="59">
        <f aca="true" t="shared" si="73" ref="E175:K175">SUM(E176:E183)</f>
        <v>0</v>
      </c>
      <c r="F175" s="12">
        <f t="shared" si="73"/>
        <v>33518</v>
      </c>
      <c r="G175" s="59">
        <f t="shared" si="73"/>
        <v>0</v>
      </c>
      <c r="H175" s="12">
        <f t="shared" si="73"/>
        <v>2563951</v>
      </c>
      <c r="I175" s="59">
        <f t="shared" si="73"/>
        <v>0</v>
      </c>
      <c r="J175" s="12">
        <f t="shared" si="73"/>
        <v>0</v>
      </c>
      <c r="K175" s="59">
        <f t="shared" si="73"/>
        <v>0</v>
      </c>
      <c r="L175" s="108">
        <f t="shared" si="58"/>
        <v>3617668</v>
      </c>
    </row>
    <row r="176" spans="1:12" ht="33" customHeight="1">
      <c r="A176" s="16" t="s">
        <v>378</v>
      </c>
      <c r="B176" s="17" t="s">
        <v>379</v>
      </c>
      <c r="C176" s="109">
        <f aca="true" t="shared" si="74" ref="C176:C183">D176+F176+H176+J176</f>
        <v>1796237</v>
      </c>
      <c r="D176" s="18">
        <v>200704</v>
      </c>
      <c r="E176" s="60">
        <v>0</v>
      </c>
      <c r="F176" s="15">
        <v>0</v>
      </c>
      <c r="G176" s="60">
        <v>0</v>
      </c>
      <c r="H176" s="15">
        <v>1595533</v>
      </c>
      <c r="I176" s="60">
        <v>0</v>
      </c>
      <c r="J176" s="18">
        <v>0</v>
      </c>
      <c r="K176" s="60">
        <v>0</v>
      </c>
      <c r="L176" s="109">
        <f aca="true" t="shared" si="75" ref="L176:L183">SUM(D176:K176)</f>
        <v>1796237</v>
      </c>
    </row>
    <row r="177" spans="1:12" ht="15">
      <c r="A177" s="16" t="s">
        <v>380</v>
      </c>
      <c r="B177" s="17" t="s">
        <v>381</v>
      </c>
      <c r="C177" s="109">
        <f t="shared" si="74"/>
        <v>128811</v>
      </c>
      <c r="D177" s="18">
        <v>119079</v>
      </c>
      <c r="E177" s="60">
        <v>0</v>
      </c>
      <c r="F177" s="15">
        <v>9415</v>
      </c>
      <c r="G177" s="60">
        <v>0</v>
      </c>
      <c r="H177" s="15">
        <v>317</v>
      </c>
      <c r="I177" s="60">
        <v>0</v>
      </c>
      <c r="J177" s="18">
        <v>0</v>
      </c>
      <c r="K177" s="60">
        <v>0</v>
      </c>
      <c r="L177" s="109">
        <f t="shared" si="75"/>
        <v>128811</v>
      </c>
    </row>
    <row r="178" spans="1:12" ht="15">
      <c r="A178" s="16" t="s">
        <v>382</v>
      </c>
      <c r="B178" s="17" t="s">
        <v>383</v>
      </c>
      <c r="C178" s="109">
        <f t="shared" si="74"/>
        <v>124964</v>
      </c>
      <c r="D178" s="18">
        <v>111754</v>
      </c>
      <c r="E178" s="60">
        <v>0</v>
      </c>
      <c r="F178" s="15">
        <v>12815</v>
      </c>
      <c r="G178" s="60">
        <v>0</v>
      </c>
      <c r="H178" s="15">
        <v>395</v>
      </c>
      <c r="I178" s="60">
        <v>0</v>
      </c>
      <c r="J178" s="18">
        <v>0</v>
      </c>
      <c r="K178" s="60">
        <v>0</v>
      </c>
      <c r="L178" s="109">
        <f t="shared" si="75"/>
        <v>124964</v>
      </c>
    </row>
    <row r="179" spans="1:12" ht="15">
      <c r="A179" s="16" t="s">
        <v>384</v>
      </c>
      <c r="B179" s="17" t="s">
        <v>385</v>
      </c>
      <c r="C179" s="109">
        <f t="shared" si="74"/>
        <v>137159</v>
      </c>
      <c r="D179" s="18">
        <v>136578</v>
      </c>
      <c r="E179" s="60">
        <v>0</v>
      </c>
      <c r="F179" s="15">
        <v>468</v>
      </c>
      <c r="G179" s="60">
        <v>0</v>
      </c>
      <c r="H179" s="15">
        <v>113</v>
      </c>
      <c r="I179" s="60">
        <v>0</v>
      </c>
      <c r="J179" s="18">
        <v>0</v>
      </c>
      <c r="K179" s="60">
        <v>0</v>
      </c>
      <c r="L179" s="109">
        <f t="shared" si="75"/>
        <v>137159</v>
      </c>
    </row>
    <row r="180" spans="1:12" ht="15">
      <c r="A180" s="16" t="s">
        <v>386</v>
      </c>
      <c r="B180" s="17" t="s">
        <v>387</v>
      </c>
      <c r="C180" s="109">
        <f t="shared" si="74"/>
        <v>151774</v>
      </c>
      <c r="D180" s="18">
        <v>67762</v>
      </c>
      <c r="E180" s="60">
        <v>0</v>
      </c>
      <c r="F180" s="15">
        <v>5645</v>
      </c>
      <c r="G180" s="60">
        <v>0</v>
      </c>
      <c r="H180" s="15">
        <v>78367</v>
      </c>
      <c r="I180" s="60">
        <v>0</v>
      </c>
      <c r="J180" s="15">
        <v>0</v>
      </c>
      <c r="K180" s="60">
        <v>0</v>
      </c>
      <c r="L180" s="109">
        <f t="shared" si="75"/>
        <v>151774</v>
      </c>
    </row>
    <row r="181" spans="1:12" ht="15">
      <c r="A181" s="16" t="s">
        <v>474</v>
      </c>
      <c r="B181" s="17" t="s">
        <v>475</v>
      </c>
      <c r="C181" s="109">
        <f t="shared" si="74"/>
        <v>169981</v>
      </c>
      <c r="D181" s="18">
        <v>164459</v>
      </c>
      <c r="E181" s="60">
        <v>0</v>
      </c>
      <c r="F181" s="15">
        <v>5175</v>
      </c>
      <c r="G181" s="60">
        <v>0</v>
      </c>
      <c r="H181" s="15">
        <v>347</v>
      </c>
      <c r="I181" s="60">
        <v>0</v>
      </c>
      <c r="J181" s="15">
        <v>0</v>
      </c>
      <c r="K181" s="60">
        <v>0</v>
      </c>
      <c r="L181" s="109">
        <f t="shared" si="75"/>
        <v>169981</v>
      </c>
    </row>
    <row r="182" spans="1:12" ht="15">
      <c r="A182" s="16" t="s">
        <v>540</v>
      </c>
      <c r="B182" s="17" t="s">
        <v>541</v>
      </c>
      <c r="C182" s="109">
        <f t="shared" si="74"/>
        <v>59863</v>
      </c>
      <c r="D182" s="18">
        <v>59863</v>
      </c>
      <c r="E182" s="60">
        <v>0</v>
      </c>
      <c r="F182" s="15">
        <v>0</v>
      </c>
      <c r="G182" s="60">
        <v>0</v>
      </c>
      <c r="H182" s="15">
        <v>0</v>
      </c>
      <c r="I182" s="60">
        <v>0</v>
      </c>
      <c r="J182" s="15">
        <v>0</v>
      </c>
      <c r="K182" s="60">
        <v>0</v>
      </c>
      <c r="L182" s="109">
        <f t="shared" si="75"/>
        <v>59863</v>
      </c>
    </row>
    <row r="183" spans="1:12" ht="15">
      <c r="A183" s="16" t="s">
        <v>388</v>
      </c>
      <c r="B183" s="17" t="s">
        <v>389</v>
      </c>
      <c r="C183" s="109">
        <f t="shared" si="74"/>
        <v>1048879</v>
      </c>
      <c r="D183" s="15">
        <v>160000</v>
      </c>
      <c r="E183" s="60">
        <v>0</v>
      </c>
      <c r="F183" s="15">
        <v>0</v>
      </c>
      <c r="G183" s="60">
        <v>0</v>
      </c>
      <c r="H183" s="15">
        <v>888879</v>
      </c>
      <c r="I183" s="60">
        <v>0</v>
      </c>
      <c r="J183" s="15">
        <v>0</v>
      </c>
      <c r="K183" s="60">
        <v>0</v>
      </c>
      <c r="L183" s="109">
        <f t="shared" si="75"/>
        <v>1048879</v>
      </c>
    </row>
    <row r="184" spans="1:12" ht="15">
      <c r="A184" s="10" t="s">
        <v>390</v>
      </c>
      <c r="B184" s="11" t="s">
        <v>391</v>
      </c>
      <c r="C184" s="108">
        <f aca="true" t="shared" si="76" ref="C184:C194">D184+F184+H184+J184</f>
        <v>1765296</v>
      </c>
      <c r="D184" s="12">
        <f>SUM(D185:D186)</f>
        <v>1718231</v>
      </c>
      <c r="E184" s="61">
        <f aca="true" t="shared" si="77" ref="E184:K184">SUM(E185:E186)</f>
        <v>0</v>
      </c>
      <c r="F184" s="23">
        <f t="shared" si="77"/>
        <v>822</v>
      </c>
      <c r="G184" s="61">
        <f t="shared" si="77"/>
        <v>0</v>
      </c>
      <c r="H184" s="23">
        <f t="shared" si="77"/>
        <v>46243</v>
      </c>
      <c r="I184" s="61">
        <f t="shared" si="77"/>
        <v>0</v>
      </c>
      <c r="J184" s="23">
        <f t="shared" si="77"/>
        <v>0</v>
      </c>
      <c r="K184" s="59">
        <f t="shared" si="77"/>
        <v>0</v>
      </c>
      <c r="L184" s="108">
        <f aca="true" t="shared" si="78" ref="L184:L194">SUM(D184:K184)</f>
        <v>1765296</v>
      </c>
    </row>
    <row r="185" spans="1:12" ht="25.5">
      <c r="A185" s="16" t="s">
        <v>392</v>
      </c>
      <c r="B185" s="17" t="s">
        <v>393</v>
      </c>
      <c r="C185" s="109">
        <f t="shared" si="76"/>
        <v>367739</v>
      </c>
      <c r="D185" s="18">
        <v>367219</v>
      </c>
      <c r="E185" s="60">
        <v>0</v>
      </c>
      <c r="F185" s="15">
        <v>369</v>
      </c>
      <c r="G185" s="60">
        <v>0</v>
      </c>
      <c r="H185" s="15">
        <v>151</v>
      </c>
      <c r="I185" s="60">
        <v>0</v>
      </c>
      <c r="J185" s="15">
        <v>0</v>
      </c>
      <c r="K185" s="60">
        <v>0</v>
      </c>
      <c r="L185" s="109">
        <f t="shared" si="78"/>
        <v>367739</v>
      </c>
    </row>
    <row r="186" spans="1:12" ht="15">
      <c r="A186" s="16" t="s">
        <v>394</v>
      </c>
      <c r="B186" s="17" t="s">
        <v>395</v>
      </c>
      <c r="C186" s="109">
        <f t="shared" si="76"/>
        <v>1397557</v>
      </c>
      <c r="D186" s="18">
        <v>1351012</v>
      </c>
      <c r="E186" s="60">
        <v>0</v>
      </c>
      <c r="F186" s="15">
        <v>453</v>
      </c>
      <c r="G186" s="60">
        <v>0</v>
      </c>
      <c r="H186" s="15">
        <v>46092</v>
      </c>
      <c r="I186" s="60">
        <v>0</v>
      </c>
      <c r="J186" s="15">
        <v>0</v>
      </c>
      <c r="K186" s="60">
        <v>0</v>
      </c>
      <c r="L186" s="109">
        <f t="shared" si="78"/>
        <v>1397557</v>
      </c>
    </row>
    <row r="187" spans="1:12" ht="15">
      <c r="A187" s="10" t="s">
        <v>396</v>
      </c>
      <c r="B187" s="11" t="s">
        <v>397</v>
      </c>
      <c r="C187" s="108">
        <f t="shared" si="76"/>
        <v>1997225</v>
      </c>
      <c r="D187" s="12">
        <f aca="true" t="shared" si="79" ref="D187:K187">SUM(D188:D189)</f>
        <v>1849674</v>
      </c>
      <c r="E187" s="61">
        <f t="shared" si="79"/>
        <v>0</v>
      </c>
      <c r="F187" s="23">
        <f t="shared" si="79"/>
        <v>13052</v>
      </c>
      <c r="G187" s="61">
        <f t="shared" si="79"/>
        <v>0</v>
      </c>
      <c r="H187" s="23">
        <f t="shared" si="79"/>
        <v>134499</v>
      </c>
      <c r="I187" s="61">
        <f t="shared" si="79"/>
        <v>0</v>
      </c>
      <c r="J187" s="23">
        <f t="shared" si="79"/>
        <v>0</v>
      </c>
      <c r="K187" s="59">
        <f t="shared" si="79"/>
        <v>0</v>
      </c>
      <c r="L187" s="108">
        <f t="shared" si="78"/>
        <v>1997225</v>
      </c>
    </row>
    <row r="188" spans="1:12" ht="38.25">
      <c r="A188" s="16" t="s">
        <v>398</v>
      </c>
      <c r="B188" s="17" t="s">
        <v>399</v>
      </c>
      <c r="C188" s="109">
        <f t="shared" si="76"/>
        <v>1767985</v>
      </c>
      <c r="D188" s="18">
        <v>1620434</v>
      </c>
      <c r="E188" s="60">
        <v>0</v>
      </c>
      <c r="F188" s="15">
        <v>13052</v>
      </c>
      <c r="G188" s="60">
        <v>0</v>
      </c>
      <c r="H188" s="15">
        <v>134499</v>
      </c>
      <c r="I188" s="60">
        <v>0</v>
      </c>
      <c r="J188" s="15">
        <v>0</v>
      </c>
      <c r="K188" s="60">
        <v>0</v>
      </c>
      <c r="L188" s="109">
        <f t="shared" si="78"/>
        <v>1767985</v>
      </c>
    </row>
    <row r="189" spans="1:12" ht="25.5">
      <c r="A189" s="16" t="s">
        <v>400</v>
      </c>
      <c r="B189" s="17" t="s">
        <v>542</v>
      </c>
      <c r="C189" s="109">
        <f t="shared" si="76"/>
        <v>229240</v>
      </c>
      <c r="D189" s="18">
        <v>229240</v>
      </c>
      <c r="E189" s="60">
        <v>0</v>
      </c>
      <c r="F189" s="15">
        <v>0</v>
      </c>
      <c r="G189" s="60">
        <v>0</v>
      </c>
      <c r="H189" s="15">
        <v>0</v>
      </c>
      <c r="I189" s="60">
        <v>0</v>
      </c>
      <c r="J189" s="15">
        <v>0</v>
      </c>
      <c r="K189" s="60">
        <v>0</v>
      </c>
      <c r="L189" s="109">
        <f t="shared" si="78"/>
        <v>229240</v>
      </c>
    </row>
    <row r="190" spans="1:12" ht="15">
      <c r="A190" s="10" t="s">
        <v>401</v>
      </c>
      <c r="B190" s="11" t="s">
        <v>402</v>
      </c>
      <c r="C190" s="108">
        <f t="shared" si="76"/>
        <v>53800</v>
      </c>
      <c r="D190" s="12">
        <f>D191</f>
        <v>28000</v>
      </c>
      <c r="E190" s="59">
        <f aca="true" t="shared" si="80" ref="E190:K190">E191</f>
        <v>0</v>
      </c>
      <c r="F190" s="12">
        <f t="shared" si="80"/>
        <v>0</v>
      </c>
      <c r="G190" s="59">
        <f t="shared" si="80"/>
        <v>0</v>
      </c>
      <c r="H190" s="12">
        <f t="shared" si="80"/>
        <v>25800</v>
      </c>
      <c r="I190" s="59">
        <f t="shared" si="80"/>
        <v>0</v>
      </c>
      <c r="J190" s="12">
        <f t="shared" si="80"/>
        <v>0</v>
      </c>
      <c r="K190" s="59">
        <f t="shared" si="80"/>
        <v>0</v>
      </c>
      <c r="L190" s="108">
        <f t="shared" si="78"/>
        <v>53800</v>
      </c>
    </row>
    <row r="191" spans="1:12" ht="15">
      <c r="A191" s="16" t="s">
        <v>403</v>
      </c>
      <c r="B191" s="17" t="s">
        <v>402</v>
      </c>
      <c r="C191" s="109">
        <f t="shared" si="76"/>
        <v>53800</v>
      </c>
      <c r="D191" s="18">
        <v>28000</v>
      </c>
      <c r="E191" s="60">
        <v>0</v>
      </c>
      <c r="F191" s="15">
        <v>0</v>
      </c>
      <c r="G191" s="60">
        <v>0</v>
      </c>
      <c r="H191" s="15">
        <v>25800</v>
      </c>
      <c r="I191" s="60">
        <v>0</v>
      </c>
      <c r="J191" s="15">
        <v>0</v>
      </c>
      <c r="K191" s="60">
        <v>0</v>
      </c>
      <c r="L191" s="109">
        <f t="shared" si="78"/>
        <v>53800</v>
      </c>
    </row>
    <row r="192" spans="1:12" ht="15">
      <c r="A192" s="10" t="s">
        <v>404</v>
      </c>
      <c r="B192" s="11" t="s">
        <v>405</v>
      </c>
      <c r="C192" s="108">
        <f t="shared" si="76"/>
        <v>1250552</v>
      </c>
      <c r="D192" s="12">
        <f>D193</f>
        <v>724104</v>
      </c>
      <c r="E192" s="59">
        <f aca="true" t="shared" si="81" ref="E192:K192">E193</f>
        <v>0</v>
      </c>
      <c r="F192" s="12">
        <f t="shared" si="81"/>
        <v>0</v>
      </c>
      <c r="G192" s="59">
        <f t="shared" si="81"/>
        <v>0</v>
      </c>
      <c r="H192" s="12">
        <f t="shared" si="81"/>
        <v>526448</v>
      </c>
      <c r="I192" s="59">
        <f t="shared" si="81"/>
        <v>0</v>
      </c>
      <c r="J192" s="12">
        <f t="shared" si="81"/>
        <v>0</v>
      </c>
      <c r="K192" s="59">
        <f t="shared" si="81"/>
        <v>0</v>
      </c>
      <c r="L192" s="108">
        <f t="shared" si="78"/>
        <v>1250552</v>
      </c>
    </row>
    <row r="193" spans="1:12" ht="32.25" customHeight="1">
      <c r="A193" s="16" t="s">
        <v>406</v>
      </c>
      <c r="B193" s="17" t="s">
        <v>476</v>
      </c>
      <c r="C193" s="109">
        <f t="shared" si="76"/>
        <v>1250552</v>
      </c>
      <c r="D193" s="18">
        <v>724104</v>
      </c>
      <c r="E193" s="60">
        <v>0</v>
      </c>
      <c r="F193" s="15">
        <v>0</v>
      </c>
      <c r="G193" s="60">
        <v>0</v>
      </c>
      <c r="H193" s="15">
        <v>526448</v>
      </c>
      <c r="I193" s="60">
        <v>0</v>
      </c>
      <c r="J193" s="15">
        <v>0</v>
      </c>
      <c r="K193" s="60">
        <v>0</v>
      </c>
      <c r="L193" s="109">
        <f t="shared" si="78"/>
        <v>1250552</v>
      </c>
    </row>
    <row r="194" spans="1:12" ht="25.5">
      <c r="A194" s="10" t="s">
        <v>407</v>
      </c>
      <c r="B194" s="11" t="s">
        <v>408</v>
      </c>
      <c r="C194" s="108">
        <f t="shared" si="76"/>
        <v>4398546</v>
      </c>
      <c r="D194" s="12">
        <f>SUM(D195:D203)</f>
        <v>4026659</v>
      </c>
      <c r="E194" s="59">
        <f aca="true" t="shared" si="82" ref="E194:K194">SUM(E195:E203)</f>
        <v>0</v>
      </c>
      <c r="F194" s="12">
        <f t="shared" si="82"/>
        <v>19604</v>
      </c>
      <c r="G194" s="59">
        <f t="shared" si="82"/>
        <v>0</v>
      </c>
      <c r="H194" s="12">
        <f t="shared" si="82"/>
        <v>352283</v>
      </c>
      <c r="I194" s="59">
        <f t="shared" si="82"/>
        <v>400</v>
      </c>
      <c r="J194" s="12">
        <f t="shared" si="82"/>
        <v>0</v>
      </c>
      <c r="K194" s="59">
        <f t="shared" si="82"/>
        <v>0</v>
      </c>
      <c r="L194" s="108">
        <f t="shared" si="78"/>
        <v>4398946</v>
      </c>
    </row>
    <row r="195" spans="1:12" ht="15">
      <c r="A195" s="16" t="s">
        <v>409</v>
      </c>
      <c r="B195" s="17" t="s">
        <v>410</v>
      </c>
      <c r="C195" s="109">
        <f aca="true" t="shared" si="83" ref="C195:C203">D195+F195+H195+J195</f>
        <v>18793</v>
      </c>
      <c r="D195" s="18">
        <v>18445</v>
      </c>
      <c r="E195" s="60">
        <v>0</v>
      </c>
      <c r="F195" s="15">
        <v>348</v>
      </c>
      <c r="G195" s="60">
        <v>0</v>
      </c>
      <c r="H195" s="15">
        <v>0</v>
      </c>
      <c r="I195" s="60">
        <v>0</v>
      </c>
      <c r="J195" s="15">
        <v>0</v>
      </c>
      <c r="K195" s="60">
        <v>0</v>
      </c>
      <c r="L195" s="109">
        <f aca="true" t="shared" si="84" ref="L195:L203">SUM(D195:K195)</f>
        <v>18793</v>
      </c>
    </row>
    <row r="196" spans="1:12" ht="51">
      <c r="A196" s="16" t="s">
        <v>411</v>
      </c>
      <c r="B196" s="17" t="s">
        <v>412</v>
      </c>
      <c r="C196" s="109">
        <f t="shared" si="83"/>
        <v>498132</v>
      </c>
      <c r="D196" s="18">
        <v>157852</v>
      </c>
      <c r="E196" s="60">
        <v>0</v>
      </c>
      <c r="F196" s="15">
        <v>0</v>
      </c>
      <c r="G196" s="60">
        <v>0</v>
      </c>
      <c r="H196" s="15">
        <v>340280</v>
      </c>
      <c r="I196" s="60">
        <v>400</v>
      </c>
      <c r="J196" s="15">
        <v>0</v>
      </c>
      <c r="K196" s="60">
        <v>0</v>
      </c>
      <c r="L196" s="109">
        <f t="shared" si="84"/>
        <v>498532</v>
      </c>
    </row>
    <row r="197" spans="1:12" ht="15">
      <c r="A197" s="16" t="s">
        <v>413</v>
      </c>
      <c r="B197" s="17" t="s">
        <v>414</v>
      </c>
      <c r="C197" s="109">
        <f t="shared" si="83"/>
        <v>100436</v>
      </c>
      <c r="D197" s="18">
        <v>96454</v>
      </c>
      <c r="E197" s="60">
        <v>0</v>
      </c>
      <c r="F197" s="15">
        <v>3650</v>
      </c>
      <c r="G197" s="60">
        <v>0</v>
      </c>
      <c r="H197" s="15">
        <v>332</v>
      </c>
      <c r="I197" s="60">
        <v>0</v>
      </c>
      <c r="J197" s="15">
        <v>0</v>
      </c>
      <c r="K197" s="60">
        <v>0</v>
      </c>
      <c r="L197" s="109">
        <f t="shared" si="84"/>
        <v>100436</v>
      </c>
    </row>
    <row r="198" spans="1:12" ht="15">
      <c r="A198" s="16" t="s">
        <v>415</v>
      </c>
      <c r="B198" s="17" t="s">
        <v>416</v>
      </c>
      <c r="C198" s="109">
        <f t="shared" si="83"/>
        <v>18632</v>
      </c>
      <c r="D198" s="18">
        <v>15882</v>
      </c>
      <c r="E198" s="60">
        <v>0</v>
      </c>
      <c r="F198" s="15">
        <v>2750</v>
      </c>
      <c r="G198" s="60">
        <v>0</v>
      </c>
      <c r="H198" s="15">
        <v>0</v>
      </c>
      <c r="I198" s="60">
        <v>0</v>
      </c>
      <c r="J198" s="15">
        <v>0</v>
      </c>
      <c r="K198" s="60">
        <v>0</v>
      </c>
      <c r="L198" s="109">
        <f t="shared" si="84"/>
        <v>18632</v>
      </c>
    </row>
    <row r="199" spans="1:12" ht="15">
      <c r="A199" s="16" t="s">
        <v>417</v>
      </c>
      <c r="B199" s="17" t="s">
        <v>418</v>
      </c>
      <c r="C199" s="109">
        <f t="shared" si="83"/>
        <v>380081</v>
      </c>
      <c r="D199" s="18">
        <v>367063</v>
      </c>
      <c r="E199" s="60">
        <v>0</v>
      </c>
      <c r="F199" s="15">
        <v>12856</v>
      </c>
      <c r="G199" s="60">
        <v>0</v>
      </c>
      <c r="H199" s="15">
        <v>162</v>
      </c>
      <c r="I199" s="60">
        <v>0</v>
      </c>
      <c r="J199" s="15">
        <v>0</v>
      </c>
      <c r="K199" s="60">
        <v>0</v>
      </c>
      <c r="L199" s="109">
        <f t="shared" si="84"/>
        <v>380081</v>
      </c>
    </row>
    <row r="200" spans="1:12" ht="38.25">
      <c r="A200" s="16" t="s">
        <v>419</v>
      </c>
      <c r="B200" s="17" t="s">
        <v>444</v>
      </c>
      <c r="C200" s="109">
        <f t="shared" si="83"/>
        <v>2438683</v>
      </c>
      <c r="D200" s="18">
        <v>2427352</v>
      </c>
      <c r="E200" s="60">
        <v>0</v>
      </c>
      <c r="F200" s="15">
        <v>0</v>
      </c>
      <c r="G200" s="60">
        <v>0</v>
      </c>
      <c r="H200" s="15">
        <v>11331</v>
      </c>
      <c r="I200" s="60">
        <v>0</v>
      </c>
      <c r="J200" s="15">
        <v>0</v>
      </c>
      <c r="K200" s="60">
        <v>0</v>
      </c>
      <c r="L200" s="109">
        <f t="shared" si="84"/>
        <v>2438683</v>
      </c>
    </row>
    <row r="201" spans="1:12" ht="51">
      <c r="A201" s="16" t="s">
        <v>445</v>
      </c>
      <c r="B201" s="17" t="s">
        <v>446</v>
      </c>
      <c r="C201" s="109">
        <f t="shared" si="83"/>
        <v>822854</v>
      </c>
      <c r="D201" s="18">
        <v>822854</v>
      </c>
      <c r="E201" s="60">
        <v>0</v>
      </c>
      <c r="F201" s="15">
        <v>0</v>
      </c>
      <c r="G201" s="60">
        <v>0</v>
      </c>
      <c r="H201" s="15">
        <v>0</v>
      </c>
      <c r="I201" s="60">
        <v>0</v>
      </c>
      <c r="J201" s="15">
        <v>0</v>
      </c>
      <c r="K201" s="60">
        <v>0</v>
      </c>
      <c r="L201" s="109">
        <f t="shared" si="84"/>
        <v>822854</v>
      </c>
    </row>
    <row r="202" spans="1:12" ht="15">
      <c r="A202" s="117" t="s">
        <v>477</v>
      </c>
      <c r="B202" s="14" t="s">
        <v>478</v>
      </c>
      <c r="C202" s="109">
        <f t="shared" si="83"/>
        <v>120935</v>
      </c>
      <c r="D202" s="18">
        <v>120757</v>
      </c>
      <c r="E202" s="60">
        <v>0</v>
      </c>
      <c r="F202" s="15">
        <v>0</v>
      </c>
      <c r="G202" s="60">
        <v>0</v>
      </c>
      <c r="H202" s="15">
        <v>178</v>
      </c>
      <c r="I202" s="60">
        <v>0</v>
      </c>
      <c r="J202" s="15">
        <v>0</v>
      </c>
      <c r="K202" s="60">
        <v>0</v>
      </c>
      <c r="L202" s="109">
        <f t="shared" si="84"/>
        <v>120935</v>
      </c>
    </row>
    <row r="203" spans="1:12" ht="15" hidden="1">
      <c r="A203" s="120" t="s">
        <v>502</v>
      </c>
      <c r="B203" s="86" t="s">
        <v>503</v>
      </c>
      <c r="C203" s="110">
        <f t="shared" si="83"/>
        <v>0</v>
      </c>
      <c r="D203" s="88"/>
      <c r="E203" s="89"/>
      <c r="F203" s="88"/>
      <c r="G203" s="89"/>
      <c r="H203" s="88"/>
      <c r="I203" s="89"/>
      <c r="J203" s="88"/>
      <c r="K203" s="89"/>
      <c r="L203" s="110">
        <f t="shared" si="84"/>
        <v>0</v>
      </c>
    </row>
    <row r="204" spans="1:12" ht="25.5">
      <c r="A204" s="10" t="s">
        <v>420</v>
      </c>
      <c r="B204" s="11" t="s">
        <v>421</v>
      </c>
      <c r="C204" s="108">
        <f aca="true" t="shared" si="85" ref="C204:C217">D204+F204+H204+J204</f>
        <v>2439456</v>
      </c>
      <c r="D204" s="12">
        <f>SUM(D205:D208)</f>
        <v>2062711</v>
      </c>
      <c r="E204" s="61">
        <f aca="true" t="shared" si="86" ref="E204:K204">SUM(E205:E208)</f>
        <v>0</v>
      </c>
      <c r="F204" s="23">
        <f t="shared" si="86"/>
        <v>1131</v>
      </c>
      <c r="G204" s="61">
        <f t="shared" si="86"/>
        <v>0</v>
      </c>
      <c r="H204" s="23">
        <f t="shared" si="86"/>
        <v>375614</v>
      </c>
      <c r="I204" s="61">
        <f t="shared" si="86"/>
        <v>0</v>
      </c>
      <c r="J204" s="23">
        <f t="shared" si="86"/>
        <v>0</v>
      </c>
      <c r="K204" s="59">
        <f t="shared" si="86"/>
        <v>0</v>
      </c>
      <c r="L204" s="108">
        <f aca="true" t="shared" si="87" ref="L204:L211">SUM(D204:K204)</f>
        <v>2439456</v>
      </c>
    </row>
    <row r="205" spans="1:12" ht="25.5">
      <c r="A205" s="16" t="s">
        <v>422</v>
      </c>
      <c r="B205" s="17" t="s">
        <v>423</v>
      </c>
      <c r="C205" s="109">
        <f t="shared" si="85"/>
        <v>1736843</v>
      </c>
      <c r="D205" s="18">
        <v>1672428</v>
      </c>
      <c r="E205" s="60">
        <v>0</v>
      </c>
      <c r="F205" s="15">
        <v>1131</v>
      </c>
      <c r="G205" s="60">
        <v>0</v>
      </c>
      <c r="H205" s="15">
        <v>63284</v>
      </c>
      <c r="I205" s="60">
        <v>0</v>
      </c>
      <c r="J205" s="15">
        <v>0</v>
      </c>
      <c r="K205" s="60">
        <v>0</v>
      </c>
      <c r="L205" s="109">
        <f t="shared" si="87"/>
        <v>1736843</v>
      </c>
    </row>
    <row r="206" spans="1:12" ht="25.5">
      <c r="A206" s="16" t="s">
        <v>424</v>
      </c>
      <c r="B206" s="17" t="s">
        <v>425</v>
      </c>
      <c r="C206" s="109">
        <f t="shared" si="85"/>
        <v>100613</v>
      </c>
      <c r="D206" s="18">
        <v>8283</v>
      </c>
      <c r="E206" s="60">
        <v>0</v>
      </c>
      <c r="F206" s="15">
        <v>0</v>
      </c>
      <c r="G206" s="60">
        <v>0</v>
      </c>
      <c r="H206" s="15">
        <v>92330</v>
      </c>
      <c r="I206" s="60">
        <v>0</v>
      </c>
      <c r="J206" s="15">
        <v>0</v>
      </c>
      <c r="K206" s="60">
        <v>0</v>
      </c>
      <c r="L206" s="109">
        <f t="shared" si="87"/>
        <v>100613</v>
      </c>
    </row>
    <row r="207" spans="1:12" ht="25.5">
      <c r="A207" s="16" t="s">
        <v>426</v>
      </c>
      <c r="B207" s="17" t="s">
        <v>427</v>
      </c>
      <c r="C207" s="109">
        <f t="shared" si="85"/>
        <v>382000</v>
      </c>
      <c r="D207" s="18">
        <v>382000</v>
      </c>
      <c r="E207" s="60">
        <v>0</v>
      </c>
      <c r="F207" s="18">
        <v>0</v>
      </c>
      <c r="G207" s="60">
        <v>0</v>
      </c>
      <c r="H207" s="18">
        <v>0</v>
      </c>
      <c r="I207" s="60">
        <v>0</v>
      </c>
      <c r="J207" s="18">
        <v>0</v>
      </c>
      <c r="K207" s="60">
        <v>0</v>
      </c>
      <c r="L207" s="109">
        <f t="shared" si="87"/>
        <v>382000</v>
      </c>
    </row>
    <row r="208" spans="1:12" ht="38.25">
      <c r="A208" s="13" t="s">
        <v>492</v>
      </c>
      <c r="B208" s="14" t="s">
        <v>493</v>
      </c>
      <c r="C208" s="109">
        <f t="shared" si="85"/>
        <v>220000</v>
      </c>
      <c r="D208" s="15">
        <v>0</v>
      </c>
      <c r="E208" s="60">
        <v>0</v>
      </c>
      <c r="F208" s="15">
        <v>0</v>
      </c>
      <c r="G208" s="60">
        <v>0</v>
      </c>
      <c r="H208" s="15">
        <v>220000</v>
      </c>
      <c r="I208" s="60">
        <v>0</v>
      </c>
      <c r="J208" s="15">
        <v>0</v>
      </c>
      <c r="K208" s="60">
        <v>0</v>
      </c>
      <c r="L208" s="109">
        <f t="shared" si="87"/>
        <v>220000</v>
      </c>
    </row>
    <row r="209" spans="1:12" ht="15">
      <c r="A209" s="54"/>
      <c r="B209" s="121" t="s">
        <v>166</v>
      </c>
      <c r="C209" s="9">
        <f t="shared" si="85"/>
        <v>5471248</v>
      </c>
      <c r="D209" s="9">
        <f>D210+D211+D217</f>
        <v>4988364</v>
      </c>
      <c r="E209" s="82">
        <f aca="true" t="shared" si="88" ref="E209:K209">E210+E211+E217</f>
        <v>-233852</v>
      </c>
      <c r="F209" s="9">
        <f t="shared" si="88"/>
        <v>0</v>
      </c>
      <c r="G209" s="82">
        <f t="shared" si="88"/>
        <v>0</v>
      </c>
      <c r="H209" s="9">
        <f t="shared" si="88"/>
        <v>482884</v>
      </c>
      <c r="I209" s="82">
        <f t="shared" si="88"/>
        <v>53325</v>
      </c>
      <c r="J209" s="9">
        <f t="shared" si="88"/>
        <v>0</v>
      </c>
      <c r="K209" s="82">
        <f t="shared" si="88"/>
        <v>0</v>
      </c>
      <c r="L209" s="9">
        <f t="shared" si="87"/>
        <v>5290721</v>
      </c>
    </row>
    <row r="210" spans="1:12" ht="15">
      <c r="A210" s="10" t="s">
        <v>167</v>
      </c>
      <c r="B210" s="11" t="s">
        <v>168</v>
      </c>
      <c r="C210" s="108">
        <f t="shared" si="85"/>
        <v>4893582</v>
      </c>
      <c r="D210" s="12">
        <v>4539763</v>
      </c>
      <c r="E210" s="60">
        <v>0</v>
      </c>
      <c r="F210" s="23">
        <v>0</v>
      </c>
      <c r="G210" s="60">
        <v>0</v>
      </c>
      <c r="H210" s="23">
        <v>353819</v>
      </c>
      <c r="I210" s="60">
        <v>0</v>
      </c>
      <c r="J210" s="23">
        <v>0</v>
      </c>
      <c r="K210" s="60">
        <v>0</v>
      </c>
      <c r="L210" s="108">
        <f t="shared" si="87"/>
        <v>4893582</v>
      </c>
    </row>
    <row r="211" spans="1:12" ht="25.5">
      <c r="A211" s="10" t="s">
        <v>169</v>
      </c>
      <c r="B211" s="11" t="s">
        <v>170</v>
      </c>
      <c r="C211" s="108">
        <f t="shared" si="85"/>
        <v>379088</v>
      </c>
      <c r="D211" s="12">
        <f>SUM(D212:D216)</f>
        <v>379088</v>
      </c>
      <c r="E211" s="61">
        <f aca="true" t="shared" si="89" ref="E211:K211">SUM(E212:E216)</f>
        <v>0</v>
      </c>
      <c r="F211" s="23">
        <f t="shared" si="89"/>
        <v>0</v>
      </c>
      <c r="G211" s="61">
        <f t="shared" si="89"/>
        <v>0</v>
      </c>
      <c r="H211" s="23">
        <f t="shared" si="89"/>
        <v>0</v>
      </c>
      <c r="I211" s="61">
        <f t="shared" si="89"/>
        <v>0</v>
      </c>
      <c r="J211" s="23">
        <f t="shared" si="89"/>
        <v>0</v>
      </c>
      <c r="K211" s="59">
        <f t="shared" si="89"/>
        <v>0</v>
      </c>
      <c r="L211" s="108">
        <f t="shared" si="87"/>
        <v>379088</v>
      </c>
    </row>
    <row r="212" spans="1:12" ht="25.5" hidden="1">
      <c r="A212" s="122"/>
      <c r="B212" s="26" t="s">
        <v>428</v>
      </c>
      <c r="C212" s="110">
        <f t="shared" si="85"/>
        <v>0</v>
      </c>
      <c r="D212" s="27"/>
      <c r="E212" s="123"/>
      <c r="F212" s="27"/>
      <c r="G212" s="123"/>
      <c r="H212" s="27"/>
      <c r="I212" s="123"/>
      <c r="J212" s="27"/>
      <c r="K212" s="123"/>
      <c r="L212" s="110">
        <f aca="true" t="shared" si="90" ref="L212:L217">SUM(D212:K212)</f>
        <v>0</v>
      </c>
    </row>
    <row r="213" spans="1:12" ht="15" hidden="1">
      <c r="A213" s="122"/>
      <c r="B213" s="26" t="s">
        <v>172</v>
      </c>
      <c r="C213" s="110">
        <f t="shared" si="85"/>
        <v>0</v>
      </c>
      <c r="D213" s="27"/>
      <c r="E213" s="123"/>
      <c r="F213" s="27"/>
      <c r="G213" s="123"/>
      <c r="H213" s="27"/>
      <c r="I213" s="123"/>
      <c r="J213" s="27"/>
      <c r="K213" s="123"/>
      <c r="L213" s="110">
        <f t="shared" si="90"/>
        <v>0</v>
      </c>
    </row>
    <row r="214" spans="1:12" ht="15">
      <c r="A214" s="37"/>
      <c r="B214" s="17" t="s">
        <v>173</v>
      </c>
      <c r="C214" s="109">
        <f t="shared" si="85"/>
        <v>379088</v>
      </c>
      <c r="D214" s="18">
        <v>379088</v>
      </c>
      <c r="E214" s="60">
        <v>0</v>
      </c>
      <c r="F214" s="15">
        <v>0</v>
      </c>
      <c r="G214" s="60">
        <v>0</v>
      </c>
      <c r="H214" s="15">
        <v>0</v>
      </c>
      <c r="I214" s="81">
        <v>0</v>
      </c>
      <c r="J214" s="18">
        <v>0</v>
      </c>
      <c r="K214" s="81">
        <v>0</v>
      </c>
      <c r="L214" s="109">
        <f t="shared" si="90"/>
        <v>379088</v>
      </c>
    </row>
    <row r="215" spans="1:12" ht="15" hidden="1">
      <c r="A215" s="122"/>
      <c r="B215" s="26" t="s">
        <v>174</v>
      </c>
      <c r="C215" s="110">
        <f t="shared" si="85"/>
        <v>0</v>
      </c>
      <c r="D215" s="27"/>
      <c r="E215" s="123"/>
      <c r="F215" s="27"/>
      <c r="G215" s="123"/>
      <c r="H215" s="27"/>
      <c r="I215" s="123"/>
      <c r="J215" s="27"/>
      <c r="K215" s="123"/>
      <c r="L215" s="110">
        <f t="shared" si="90"/>
        <v>0</v>
      </c>
    </row>
    <row r="216" spans="1:12" ht="15" hidden="1">
      <c r="A216" s="122"/>
      <c r="B216" s="26" t="s">
        <v>175</v>
      </c>
      <c r="C216" s="110">
        <f t="shared" si="85"/>
        <v>0</v>
      </c>
      <c r="D216" s="27"/>
      <c r="E216" s="123"/>
      <c r="F216" s="27"/>
      <c r="G216" s="123"/>
      <c r="H216" s="27"/>
      <c r="I216" s="123"/>
      <c r="J216" s="27"/>
      <c r="K216" s="123"/>
      <c r="L216" s="110">
        <f t="shared" si="90"/>
        <v>0</v>
      </c>
    </row>
    <row r="217" spans="1:12" ht="25.5">
      <c r="A217" s="10" t="s">
        <v>139</v>
      </c>
      <c r="B217" s="11" t="s">
        <v>176</v>
      </c>
      <c r="C217" s="108">
        <f t="shared" si="85"/>
        <v>198578</v>
      </c>
      <c r="D217" s="124">
        <v>69513</v>
      </c>
      <c r="E217" s="60">
        <v>-233852</v>
      </c>
      <c r="F217" s="32">
        <v>0</v>
      </c>
      <c r="G217" s="125">
        <v>0</v>
      </c>
      <c r="H217" s="32">
        <v>129065</v>
      </c>
      <c r="I217" s="125">
        <v>53325</v>
      </c>
      <c r="J217" s="124">
        <v>0</v>
      </c>
      <c r="K217" s="126">
        <v>0</v>
      </c>
      <c r="L217" s="109">
        <f t="shared" si="90"/>
        <v>18051</v>
      </c>
    </row>
    <row r="218" spans="1:12" ht="15">
      <c r="A218" s="127"/>
      <c r="B218" s="128" t="s">
        <v>429</v>
      </c>
      <c r="C218" s="129">
        <f>C11+C209</f>
        <v>115028225</v>
      </c>
      <c r="D218" s="129">
        <f aca="true" t="shared" si="91" ref="D218:L218">D11+D209</f>
        <v>82760868</v>
      </c>
      <c r="E218" s="130">
        <f t="shared" si="91"/>
        <v>4856487</v>
      </c>
      <c r="F218" s="129">
        <f t="shared" si="91"/>
        <v>2348689</v>
      </c>
      <c r="G218" s="130">
        <f t="shared" si="91"/>
        <v>297567</v>
      </c>
      <c r="H218" s="129">
        <f t="shared" si="91"/>
        <v>29069840</v>
      </c>
      <c r="I218" s="130">
        <f t="shared" si="91"/>
        <v>133498</v>
      </c>
      <c r="J218" s="129">
        <f t="shared" si="91"/>
        <v>848828</v>
      </c>
      <c r="K218" s="130">
        <f t="shared" si="91"/>
        <v>0</v>
      </c>
      <c r="L218" s="129">
        <f t="shared" si="91"/>
        <v>120315777</v>
      </c>
    </row>
    <row r="219" spans="1:11" ht="15">
      <c r="A219" s="95"/>
      <c r="B219" s="96"/>
      <c r="C219" s="111"/>
      <c r="D219" s="95"/>
      <c r="E219" s="97"/>
      <c r="F219" s="95"/>
      <c r="G219" s="97"/>
      <c r="H219" s="95"/>
      <c r="I219" s="97"/>
      <c r="J219" s="95"/>
      <c r="K219" s="97"/>
    </row>
    <row r="220" spans="1:12" ht="18.75" customHeight="1">
      <c r="A220" s="393" t="s">
        <v>977</v>
      </c>
      <c r="B220" s="393"/>
      <c r="C220" s="393"/>
      <c r="D220" s="393"/>
      <c r="E220" s="393"/>
      <c r="F220" s="393"/>
      <c r="G220" s="393"/>
      <c r="H220" s="393"/>
      <c r="I220" s="393"/>
      <c r="J220" s="393"/>
      <c r="K220" s="393"/>
      <c r="L220" s="393"/>
    </row>
    <row r="221" spans="1:11" ht="15">
      <c r="A221" s="95"/>
      <c r="B221" s="96"/>
      <c r="D221" s="95"/>
      <c r="E221" s="97"/>
      <c r="F221" s="95"/>
      <c r="G221" s="97"/>
      <c r="H221" s="95"/>
      <c r="I221" s="97"/>
      <c r="J221" s="95"/>
      <c r="K221" s="97"/>
    </row>
    <row r="222" spans="1:11" ht="15">
      <c r="A222" s="95"/>
      <c r="B222" s="96"/>
      <c r="D222" s="95"/>
      <c r="E222" s="104"/>
      <c r="F222" s="95"/>
      <c r="G222" s="97"/>
      <c r="H222" s="95"/>
      <c r="I222" s="97"/>
      <c r="J222" s="95"/>
      <c r="K222" s="97"/>
    </row>
    <row r="223" spans="1:11" ht="15">
      <c r="A223" s="95"/>
      <c r="D223" s="95"/>
      <c r="E223" s="97"/>
      <c r="F223" s="95"/>
      <c r="G223" s="97"/>
      <c r="H223" s="95"/>
      <c r="I223" s="97"/>
      <c r="J223" s="95"/>
      <c r="K223" s="97"/>
    </row>
    <row r="224" spans="1:11" ht="15">
      <c r="A224" s="95"/>
      <c r="D224" s="95"/>
      <c r="E224" s="97"/>
      <c r="F224" s="95"/>
      <c r="G224" s="97"/>
      <c r="H224" s="95"/>
      <c r="I224" s="97"/>
      <c r="J224" s="95"/>
      <c r="K224" s="97"/>
    </row>
    <row r="225" spans="1:11" ht="15">
      <c r="A225" s="95"/>
      <c r="D225" s="95"/>
      <c r="E225" s="97"/>
      <c r="F225" s="95"/>
      <c r="G225" s="97"/>
      <c r="H225" s="95"/>
      <c r="I225" s="97"/>
      <c r="J225" s="95"/>
      <c r="K225" s="97"/>
    </row>
    <row r="226" spans="1:11" ht="15">
      <c r="A226" s="95"/>
      <c r="D226" s="95"/>
      <c r="E226" s="97"/>
      <c r="F226" s="95"/>
      <c r="G226" s="97"/>
      <c r="H226" s="95"/>
      <c r="I226" s="97"/>
      <c r="J226" s="95"/>
      <c r="K226" s="97"/>
    </row>
    <row r="227" spans="1:11" ht="15">
      <c r="A227" s="95"/>
      <c r="D227" s="95"/>
      <c r="E227" s="97"/>
      <c r="F227" s="95"/>
      <c r="G227" s="97"/>
      <c r="H227" s="95"/>
      <c r="I227" s="97"/>
      <c r="J227" s="95"/>
      <c r="K227" s="97"/>
    </row>
    <row r="228" spans="1:11" ht="15">
      <c r="A228" s="95"/>
      <c r="B228" s="96"/>
      <c r="D228" s="95"/>
      <c r="E228" s="97"/>
      <c r="F228" s="95"/>
      <c r="G228" s="97"/>
      <c r="H228" s="95"/>
      <c r="I228" s="97"/>
      <c r="J228" s="95"/>
      <c r="K228" s="97"/>
    </row>
    <row r="229" spans="1:11" ht="15">
      <c r="A229" s="95"/>
      <c r="B229" s="96"/>
      <c r="D229" s="95"/>
      <c r="E229" s="97"/>
      <c r="F229" s="95"/>
      <c r="G229" s="97"/>
      <c r="H229" s="95"/>
      <c r="I229" s="97"/>
      <c r="J229" s="95"/>
      <c r="K229" s="97"/>
    </row>
    <row r="230" spans="1:11" ht="15">
      <c r="A230" s="95"/>
      <c r="B230" s="96"/>
      <c r="D230" s="95"/>
      <c r="E230" s="97"/>
      <c r="F230" s="95"/>
      <c r="G230" s="97"/>
      <c r="H230" s="95"/>
      <c r="I230" s="97"/>
      <c r="J230" s="95"/>
      <c r="K230" s="97"/>
    </row>
    <row r="231" spans="1:11" ht="15">
      <c r="A231" s="95"/>
      <c r="B231" s="96"/>
      <c r="D231" s="95"/>
      <c r="E231" s="97"/>
      <c r="F231" s="95"/>
      <c r="G231" s="97"/>
      <c r="H231" s="95"/>
      <c r="I231" s="97"/>
      <c r="J231" s="95"/>
      <c r="K231" s="97"/>
    </row>
    <row r="232" spans="1:11" ht="15">
      <c r="A232" s="95"/>
      <c r="B232" s="96"/>
      <c r="D232" s="95"/>
      <c r="E232" s="97"/>
      <c r="F232" s="95"/>
      <c r="G232" s="97"/>
      <c r="H232" s="95"/>
      <c r="I232" s="97"/>
      <c r="J232" s="95"/>
      <c r="K232" s="97"/>
    </row>
    <row r="233" spans="1:11" ht="15">
      <c r="A233" s="95"/>
      <c r="B233" s="96"/>
      <c r="D233" s="95"/>
      <c r="E233" s="97"/>
      <c r="F233" s="95"/>
      <c r="G233" s="97"/>
      <c r="H233" s="95"/>
      <c r="I233" s="97"/>
      <c r="J233" s="95"/>
      <c r="K233" s="97"/>
    </row>
    <row r="234" spans="1:11" ht="15">
      <c r="A234" s="95"/>
      <c r="B234" s="96"/>
      <c r="D234" s="95"/>
      <c r="E234" s="97"/>
      <c r="F234" s="95"/>
      <c r="G234" s="97"/>
      <c r="H234" s="95"/>
      <c r="I234" s="97"/>
      <c r="J234" s="95"/>
      <c r="K234" s="97"/>
    </row>
    <row r="235" spans="1:11" ht="15">
      <c r="A235" s="95"/>
      <c r="B235" s="96"/>
      <c r="D235" s="95"/>
      <c r="E235" s="97"/>
      <c r="F235" s="95"/>
      <c r="G235" s="97"/>
      <c r="H235" s="95"/>
      <c r="I235" s="97"/>
      <c r="J235" s="95"/>
      <c r="K235" s="97"/>
    </row>
    <row r="236" spans="1:11" ht="15">
      <c r="A236" s="95"/>
      <c r="B236" s="96"/>
      <c r="D236" s="95"/>
      <c r="E236" s="97"/>
      <c r="F236" s="95"/>
      <c r="G236" s="97"/>
      <c r="H236" s="95"/>
      <c r="I236" s="97"/>
      <c r="J236" s="95"/>
      <c r="K236" s="97"/>
    </row>
    <row r="237" spans="1:11" ht="15">
      <c r="A237" s="95"/>
      <c r="B237" s="96"/>
      <c r="D237" s="95"/>
      <c r="E237" s="97"/>
      <c r="F237" s="95"/>
      <c r="G237" s="97"/>
      <c r="H237" s="95"/>
      <c r="I237" s="97"/>
      <c r="J237" s="95"/>
      <c r="K237" s="97"/>
    </row>
    <row r="238" spans="1:11" ht="15">
      <c r="A238" s="95"/>
      <c r="B238" s="96"/>
      <c r="D238" s="95"/>
      <c r="E238" s="97"/>
      <c r="F238" s="95"/>
      <c r="G238" s="97"/>
      <c r="H238" s="95"/>
      <c r="I238" s="97"/>
      <c r="J238" s="95"/>
      <c r="K238" s="97"/>
    </row>
    <row r="239" spans="1:11" ht="15">
      <c r="A239" s="95"/>
      <c r="B239" s="96"/>
      <c r="D239" s="95"/>
      <c r="E239" s="97"/>
      <c r="F239" s="95"/>
      <c r="G239" s="97"/>
      <c r="H239" s="95"/>
      <c r="I239" s="97"/>
      <c r="J239" s="95"/>
      <c r="K239" s="97"/>
    </row>
    <row r="240" spans="1:11" ht="15">
      <c r="A240" s="95"/>
      <c r="B240" s="96"/>
      <c r="D240" s="95"/>
      <c r="E240" s="97"/>
      <c r="F240" s="95"/>
      <c r="G240" s="97"/>
      <c r="H240" s="95"/>
      <c r="I240" s="97"/>
      <c r="J240" s="95"/>
      <c r="K240" s="97"/>
    </row>
    <row r="241" spans="1:11" ht="15">
      <c r="A241" s="95"/>
      <c r="B241" s="96"/>
      <c r="D241" s="95"/>
      <c r="E241" s="97"/>
      <c r="F241" s="95"/>
      <c r="G241" s="97"/>
      <c r="H241" s="95"/>
      <c r="I241" s="97"/>
      <c r="J241" s="95"/>
      <c r="K241" s="97"/>
    </row>
    <row r="242" spans="1:11" ht="15">
      <c r="A242" s="95"/>
      <c r="B242" s="96"/>
      <c r="D242" s="95"/>
      <c r="E242" s="97"/>
      <c r="F242" s="95"/>
      <c r="G242" s="97"/>
      <c r="H242" s="95"/>
      <c r="I242" s="97"/>
      <c r="J242" s="95"/>
      <c r="K242" s="97"/>
    </row>
    <row r="243" spans="1:11" ht="15">
      <c r="A243" s="95"/>
      <c r="B243" s="96"/>
      <c r="D243" s="95"/>
      <c r="E243" s="97"/>
      <c r="F243" s="95"/>
      <c r="G243" s="97"/>
      <c r="H243" s="95"/>
      <c r="I243" s="97"/>
      <c r="J243" s="95"/>
      <c r="K243" s="97"/>
    </row>
    <row r="244" spans="1:11" ht="15">
      <c r="A244" s="95"/>
      <c r="B244" s="96"/>
      <c r="D244" s="95"/>
      <c r="E244" s="97"/>
      <c r="F244" s="95"/>
      <c r="G244" s="97"/>
      <c r="H244" s="95"/>
      <c r="I244" s="97"/>
      <c r="J244" s="95"/>
      <c r="K244" s="97"/>
    </row>
    <row r="245" spans="1:11" ht="15">
      <c r="A245" s="95"/>
      <c r="B245" s="96"/>
      <c r="D245" s="95"/>
      <c r="E245" s="97"/>
      <c r="F245" s="95"/>
      <c r="G245" s="97"/>
      <c r="H245" s="95"/>
      <c r="I245" s="97"/>
      <c r="J245" s="95"/>
      <c r="K245" s="97"/>
    </row>
    <row r="246" spans="1:11" ht="15">
      <c r="A246" s="95"/>
      <c r="B246" s="96"/>
      <c r="D246" s="95"/>
      <c r="E246" s="97"/>
      <c r="F246" s="95"/>
      <c r="G246" s="97"/>
      <c r="H246" s="95"/>
      <c r="I246" s="97"/>
      <c r="J246" s="95"/>
      <c r="K246" s="97"/>
    </row>
    <row r="247" spans="1:11" ht="15">
      <c r="A247" s="95"/>
      <c r="B247" s="96"/>
      <c r="D247" s="95"/>
      <c r="E247" s="97"/>
      <c r="F247" s="95"/>
      <c r="G247" s="97"/>
      <c r="H247" s="95"/>
      <c r="I247" s="97"/>
      <c r="J247" s="95"/>
      <c r="K247" s="97"/>
    </row>
    <row r="248" spans="1:11" ht="15">
      <c r="A248" s="95"/>
      <c r="B248" s="96"/>
      <c r="D248" s="95"/>
      <c r="E248" s="97"/>
      <c r="F248" s="95"/>
      <c r="G248" s="97"/>
      <c r="H248" s="95"/>
      <c r="I248" s="97"/>
      <c r="J248" s="95"/>
      <c r="K248" s="97"/>
    </row>
    <row r="249" spans="1:11" ht="15">
      <c r="A249" s="95"/>
      <c r="B249" s="96"/>
      <c r="D249" s="95"/>
      <c r="E249" s="97"/>
      <c r="F249" s="95"/>
      <c r="G249" s="97"/>
      <c r="H249" s="95"/>
      <c r="I249" s="97"/>
      <c r="J249" s="95"/>
      <c r="K249" s="97"/>
    </row>
    <row r="250" spans="1:11" ht="15">
      <c r="A250" s="95"/>
      <c r="B250" s="96"/>
      <c r="D250" s="95"/>
      <c r="E250" s="97"/>
      <c r="F250" s="95"/>
      <c r="G250" s="97"/>
      <c r="H250" s="95"/>
      <c r="I250" s="97"/>
      <c r="J250" s="95"/>
      <c r="K250" s="97"/>
    </row>
  </sheetData>
  <sheetProtection/>
  <mergeCells count="10">
    <mergeCell ref="A220:L220"/>
    <mergeCell ref="B8:B9"/>
    <mergeCell ref="C8:C9"/>
    <mergeCell ref="J1:K1"/>
    <mergeCell ref="H2:K2"/>
    <mergeCell ref="L8:L9"/>
    <mergeCell ref="D8:K8"/>
    <mergeCell ref="A5:L5"/>
    <mergeCell ref="A6:L6"/>
    <mergeCell ref="A8:A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14"/>
  <sheetViews>
    <sheetView showGridLines="0" tabSelected="1" zoomScalePageLayoutView="0" workbookViewId="0" topLeftCell="A1">
      <selection activeCell="C2" sqref="C2:E2"/>
    </sheetView>
  </sheetViews>
  <sheetFormatPr defaultColWidth="9.140625" defaultRowHeight="15"/>
  <cols>
    <col min="1" max="1" width="8.421875" style="346" customWidth="1"/>
    <col min="2" max="2" width="41.8515625" style="346" customWidth="1"/>
    <col min="3" max="3" width="15.00390625" style="346" customWidth="1"/>
    <col min="4" max="4" width="13.57421875" style="346" customWidth="1"/>
    <col min="5" max="5" width="17.421875" style="346" customWidth="1"/>
    <col min="6" max="16384" width="9.140625" style="346" customWidth="1"/>
  </cols>
  <sheetData>
    <row r="1" spans="3:5" ht="15.75">
      <c r="C1" s="351"/>
      <c r="D1" s="351"/>
      <c r="E1" s="352" t="s">
        <v>979</v>
      </c>
    </row>
    <row r="2" spans="3:5" ht="15">
      <c r="C2" s="405" t="s">
        <v>972</v>
      </c>
      <c r="D2" s="406"/>
      <c r="E2" s="406"/>
    </row>
    <row r="3" spans="3:5" ht="15.75" customHeight="1">
      <c r="C3" s="405" t="s">
        <v>971</v>
      </c>
      <c r="D3" s="406"/>
      <c r="E3" s="406"/>
    </row>
    <row r="5" spans="1:5" ht="56.25" customHeight="1">
      <c r="A5" s="407" t="s">
        <v>980</v>
      </c>
      <c r="B5" s="408"/>
      <c r="C5" s="408"/>
      <c r="D5" s="408"/>
      <c r="E5" s="408"/>
    </row>
    <row r="6" spans="1:5" ht="28.5" customHeight="1">
      <c r="A6" s="409" t="s">
        <v>965</v>
      </c>
      <c r="B6" s="410"/>
      <c r="C6" s="353" t="s">
        <v>968</v>
      </c>
      <c r="D6" s="353" t="s">
        <v>966</v>
      </c>
      <c r="E6" s="353" t="s">
        <v>967</v>
      </c>
    </row>
    <row r="7" spans="1:5" ht="12.75">
      <c r="A7" s="357"/>
      <c r="B7" s="357"/>
      <c r="C7" s="357"/>
      <c r="D7" s="357"/>
      <c r="E7" s="357"/>
    </row>
    <row r="8" spans="1:5" ht="15.75" customHeight="1">
      <c r="A8" s="402" t="s">
        <v>964</v>
      </c>
      <c r="B8" s="401"/>
      <c r="C8" s="401"/>
      <c r="D8" s="401"/>
      <c r="E8" s="401"/>
    </row>
    <row r="9" spans="1:5" ht="14.25">
      <c r="A9" s="357"/>
      <c r="B9" s="358" t="s">
        <v>823</v>
      </c>
      <c r="C9" s="359">
        <v>29920155</v>
      </c>
      <c r="D9" s="359">
        <v>864456</v>
      </c>
      <c r="E9" s="359">
        <v>30784611</v>
      </c>
    </row>
    <row r="10" spans="1:5" ht="14.25">
      <c r="A10" s="357"/>
      <c r="B10" s="358" t="s">
        <v>822</v>
      </c>
      <c r="C10" s="359">
        <v>4173314</v>
      </c>
      <c r="D10" s="359">
        <v>18469</v>
      </c>
      <c r="E10" s="359">
        <v>4191783</v>
      </c>
    </row>
    <row r="11" spans="1:5" ht="14.25">
      <c r="A11" s="357"/>
      <c r="B11" s="358" t="s">
        <v>821</v>
      </c>
      <c r="C11" s="359">
        <v>2947262</v>
      </c>
      <c r="D11" s="359">
        <v>-10000</v>
      </c>
      <c r="E11" s="359">
        <v>2937262</v>
      </c>
    </row>
    <row r="12" spans="1:5" ht="14.25">
      <c r="A12" s="357"/>
      <c r="B12" s="358" t="s">
        <v>820</v>
      </c>
      <c r="C12" s="359">
        <v>46000</v>
      </c>
      <c r="D12" s="359">
        <v>0</v>
      </c>
      <c r="E12" s="359">
        <v>46000</v>
      </c>
    </row>
    <row r="13" spans="1:5" ht="14.25">
      <c r="A13" s="357"/>
      <c r="B13" s="358" t="s">
        <v>818</v>
      </c>
      <c r="C13" s="359">
        <v>22063381</v>
      </c>
      <c r="D13" s="359">
        <v>855987</v>
      </c>
      <c r="E13" s="359">
        <v>22919368</v>
      </c>
    </row>
    <row r="14" spans="1:5" ht="14.25">
      <c r="A14" s="357"/>
      <c r="B14" s="358" t="s">
        <v>817</v>
      </c>
      <c r="C14" s="359">
        <v>213504</v>
      </c>
      <c r="D14" s="359">
        <v>0</v>
      </c>
      <c r="E14" s="359">
        <v>213504</v>
      </c>
    </row>
    <row r="15" spans="1:5" ht="29.25" customHeight="1">
      <c r="A15" s="357"/>
      <c r="B15" s="358" t="s">
        <v>816</v>
      </c>
      <c r="C15" s="359">
        <v>476694</v>
      </c>
      <c r="D15" s="359">
        <v>0</v>
      </c>
      <c r="E15" s="359">
        <v>476694</v>
      </c>
    </row>
    <row r="17" spans="1:5" ht="15.75" customHeight="1">
      <c r="A17" s="400" t="s">
        <v>963</v>
      </c>
      <c r="B17" s="401"/>
      <c r="C17" s="401"/>
      <c r="D17" s="401"/>
      <c r="E17" s="401"/>
    </row>
    <row r="18" spans="2:5" s="360" customFormat="1" ht="14.25">
      <c r="B18" s="361" t="s">
        <v>823</v>
      </c>
      <c r="C18" s="362">
        <v>4869359</v>
      </c>
      <c r="D18" s="362">
        <v>18469</v>
      </c>
      <c r="E18" s="362">
        <v>4887828</v>
      </c>
    </row>
    <row r="19" spans="2:5" ht="15">
      <c r="B19" s="349" t="s">
        <v>822</v>
      </c>
      <c r="C19" s="347">
        <v>3787139</v>
      </c>
      <c r="D19" s="347">
        <v>18469</v>
      </c>
      <c r="E19" s="347">
        <v>3805608</v>
      </c>
    </row>
    <row r="20" spans="2:5" ht="15">
      <c r="B20" s="349" t="s">
        <v>821</v>
      </c>
      <c r="C20" s="347">
        <v>1007269</v>
      </c>
      <c r="D20" s="347">
        <v>0</v>
      </c>
      <c r="E20" s="347">
        <v>1007269</v>
      </c>
    </row>
    <row r="21" spans="2:5" ht="15">
      <c r="B21" s="349" t="s">
        <v>818</v>
      </c>
      <c r="C21" s="347">
        <v>70651</v>
      </c>
      <c r="D21" s="347">
        <v>0</v>
      </c>
      <c r="E21" s="347">
        <v>70651</v>
      </c>
    </row>
    <row r="22" spans="2:5" ht="15">
      <c r="B22" s="349" t="s">
        <v>817</v>
      </c>
      <c r="C22" s="347">
        <v>4300</v>
      </c>
      <c r="D22" s="347">
        <v>0</v>
      </c>
      <c r="E22" s="347">
        <v>4300</v>
      </c>
    </row>
    <row r="24" spans="1:5" ht="15.75" customHeight="1">
      <c r="A24" s="400" t="s">
        <v>962</v>
      </c>
      <c r="B24" s="401"/>
      <c r="C24" s="401"/>
      <c r="D24" s="401"/>
      <c r="E24" s="401"/>
    </row>
    <row r="25" spans="2:5" s="360" customFormat="1" ht="14.25">
      <c r="B25" s="361" t="s">
        <v>823</v>
      </c>
      <c r="C25" s="362">
        <v>8482</v>
      </c>
      <c r="D25" s="362">
        <v>0</v>
      </c>
      <c r="E25" s="362">
        <v>8482</v>
      </c>
    </row>
    <row r="26" spans="2:5" ht="15">
      <c r="B26" s="349" t="s">
        <v>821</v>
      </c>
      <c r="C26" s="347">
        <v>8482</v>
      </c>
      <c r="D26" s="347">
        <v>0</v>
      </c>
      <c r="E26" s="347">
        <v>8482</v>
      </c>
    </row>
    <row r="28" spans="1:5" ht="15.75" customHeight="1">
      <c r="A28" s="400" t="s">
        <v>961</v>
      </c>
      <c r="B28" s="401"/>
      <c r="C28" s="401"/>
      <c r="D28" s="401"/>
      <c r="E28" s="401"/>
    </row>
    <row r="29" spans="2:5" s="360" customFormat="1" ht="14.25">
      <c r="B29" s="361" t="s">
        <v>823</v>
      </c>
      <c r="C29" s="362">
        <v>480367</v>
      </c>
      <c r="D29" s="362">
        <v>150000</v>
      </c>
      <c r="E29" s="362">
        <v>630367</v>
      </c>
    </row>
    <row r="30" spans="2:5" ht="15">
      <c r="B30" s="349" t="s">
        <v>821</v>
      </c>
      <c r="C30" s="347">
        <v>15381</v>
      </c>
      <c r="D30" s="347">
        <v>0</v>
      </c>
      <c r="E30" s="347">
        <v>15381</v>
      </c>
    </row>
    <row r="31" spans="2:5" ht="15">
      <c r="B31" s="349" t="s">
        <v>818</v>
      </c>
      <c r="C31" s="347">
        <v>464986</v>
      </c>
      <c r="D31" s="347">
        <v>150000</v>
      </c>
      <c r="E31" s="347">
        <v>614986</v>
      </c>
    </row>
    <row r="33" spans="1:5" ht="31.5" customHeight="1">
      <c r="A33" s="400" t="s">
        <v>960</v>
      </c>
      <c r="B33" s="401"/>
      <c r="C33" s="401"/>
      <c r="D33" s="401"/>
      <c r="E33" s="401"/>
    </row>
    <row r="34" spans="2:5" s="360" customFormat="1" ht="14.25">
      <c r="B34" s="361" t="s">
        <v>823</v>
      </c>
      <c r="C34" s="362">
        <v>1631931</v>
      </c>
      <c r="D34" s="362">
        <v>0</v>
      </c>
      <c r="E34" s="362">
        <v>1631931</v>
      </c>
    </row>
    <row r="35" spans="2:5" ht="15">
      <c r="B35" s="349" t="s">
        <v>818</v>
      </c>
      <c r="C35" s="347">
        <v>1631931</v>
      </c>
      <c r="D35" s="347">
        <v>0</v>
      </c>
      <c r="E35" s="347">
        <v>1631931</v>
      </c>
    </row>
    <row r="37" spans="1:5" ht="31.5" customHeight="1">
      <c r="A37" s="400" t="s">
        <v>959</v>
      </c>
      <c r="B37" s="401"/>
      <c r="C37" s="401"/>
      <c r="D37" s="401"/>
      <c r="E37" s="401"/>
    </row>
    <row r="38" spans="2:5" s="360" customFormat="1" ht="14.25">
      <c r="B38" s="361" t="s">
        <v>823</v>
      </c>
      <c r="C38" s="362">
        <v>189481</v>
      </c>
      <c r="D38" s="362">
        <v>0</v>
      </c>
      <c r="E38" s="362">
        <v>189481</v>
      </c>
    </row>
    <row r="39" spans="2:5" ht="15">
      <c r="B39" s="349" t="s">
        <v>818</v>
      </c>
      <c r="C39" s="347">
        <v>26000</v>
      </c>
      <c r="D39" s="347">
        <v>0</v>
      </c>
      <c r="E39" s="347">
        <v>26000</v>
      </c>
    </row>
    <row r="40" spans="2:5" ht="30">
      <c r="B40" s="349" t="s">
        <v>816</v>
      </c>
      <c r="C40" s="347">
        <v>163481</v>
      </c>
      <c r="D40" s="347">
        <v>0</v>
      </c>
      <c r="E40" s="347">
        <v>163481</v>
      </c>
    </row>
    <row r="42" spans="1:5" ht="31.5" customHeight="1">
      <c r="A42" s="400" t="s">
        <v>958</v>
      </c>
      <c r="B42" s="401"/>
      <c r="C42" s="401"/>
      <c r="D42" s="401"/>
      <c r="E42" s="401"/>
    </row>
    <row r="43" spans="2:5" s="360" customFormat="1" ht="14.25">
      <c r="B43" s="361" t="s">
        <v>823</v>
      </c>
      <c r="C43" s="362">
        <v>411725</v>
      </c>
      <c r="D43" s="362">
        <v>0</v>
      </c>
      <c r="E43" s="362">
        <v>411725</v>
      </c>
    </row>
    <row r="44" spans="2:5" ht="15">
      <c r="B44" s="349" t="s">
        <v>821</v>
      </c>
      <c r="C44" s="347">
        <v>53152</v>
      </c>
      <c r="D44" s="347">
        <v>0</v>
      </c>
      <c r="E44" s="347">
        <v>53152</v>
      </c>
    </row>
    <row r="45" spans="2:5" ht="15">
      <c r="B45" s="349" t="s">
        <v>818</v>
      </c>
      <c r="C45" s="347">
        <v>45360</v>
      </c>
      <c r="D45" s="347">
        <v>0</v>
      </c>
      <c r="E45" s="347">
        <v>45360</v>
      </c>
    </row>
    <row r="46" spans="2:5" ht="30">
      <c r="B46" s="349" t="s">
        <v>816</v>
      </c>
      <c r="C46" s="347">
        <v>313213</v>
      </c>
      <c r="D46" s="347">
        <v>0</v>
      </c>
      <c r="E46" s="347">
        <v>313213</v>
      </c>
    </row>
    <row r="48" spans="1:5" ht="15.75" customHeight="1">
      <c r="A48" s="400" t="s">
        <v>957</v>
      </c>
      <c r="B48" s="401"/>
      <c r="C48" s="401"/>
      <c r="D48" s="401"/>
      <c r="E48" s="401"/>
    </row>
    <row r="49" spans="2:5" s="360" customFormat="1" ht="14.25">
      <c r="B49" s="361" t="s">
        <v>823</v>
      </c>
      <c r="C49" s="362">
        <v>64741</v>
      </c>
      <c r="D49" s="362">
        <v>-12137</v>
      </c>
      <c r="E49" s="362">
        <v>52604</v>
      </c>
    </row>
    <row r="50" spans="2:5" ht="15">
      <c r="B50" s="349" t="s">
        <v>821</v>
      </c>
      <c r="C50" s="347">
        <v>10000</v>
      </c>
      <c r="D50" s="347">
        <v>-10000</v>
      </c>
      <c r="E50" s="347">
        <v>0</v>
      </c>
    </row>
    <row r="51" spans="2:5" ht="15">
      <c r="B51" s="349" t="s">
        <v>818</v>
      </c>
      <c r="C51" s="347">
        <v>54741</v>
      </c>
      <c r="D51" s="347">
        <v>-2137</v>
      </c>
      <c r="E51" s="347">
        <v>52604</v>
      </c>
    </row>
    <row r="53" spans="1:5" ht="15.75" customHeight="1">
      <c r="A53" s="400" t="s">
        <v>956</v>
      </c>
      <c r="B53" s="401"/>
      <c r="C53" s="401"/>
      <c r="D53" s="401"/>
      <c r="E53" s="401"/>
    </row>
    <row r="54" spans="2:5" s="360" customFormat="1" ht="14.25">
      <c r="B54" s="361" t="s">
        <v>823</v>
      </c>
      <c r="C54" s="362">
        <v>5695000</v>
      </c>
      <c r="D54" s="362">
        <v>0</v>
      </c>
      <c r="E54" s="362">
        <v>5695000</v>
      </c>
    </row>
    <row r="55" spans="2:5" ht="15">
      <c r="B55" s="349" t="s">
        <v>818</v>
      </c>
      <c r="C55" s="347">
        <v>5695000</v>
      </c>
      <c r="D55" s="347">
        <v>0</v>
      </c>
      <c r="E55" s="347">
        <v>5695000</v>
      </c>
    </row>
    <row r="57" spans="1:5" ht="15.75" customHeight="1">
      <c r="A57" s="400" t="s">
        <v>955</v>
      </c>
      <c r="B57" s="401"/>
      <c r="C57" s="401"/>
      <c r="D57" s="401"/>
      <c r="E57" s="401"/>
    </row>
    <row r="58" spans="2:5" s="360" customFormat="1" ht="14.25">
      <c r="B58" s="361" t="s">
        <v>823</v>
      </c>
      <c r="C58" s="362">
        <v>61900</v>
      </c>
      <c r="D58" s="362">
        <v>0</v>
      </c>
      <c r="E58" s="362">
        <v>61900</v>
      </c>
    </row>
    <row r="59" spans="2:5" ht="15">
      <c r="B59" s="349" t="s">
        <v>821</v>
      </c>
      <c r="C59" s="347">
        <v>57900</v>
      </c>
      <c r="D59" s="347">
        <v>0</v>
      </c>
      <c r="E59" s="347">
        <v>57900</v>
      </c>
    </row>
    <row r="60" spans="2:5" ht="15">
      <c r="B60" s="349" t="s">
        <v>818</v>
      </c>
      <c r="C60" s="347">
        <v>4000</v>
      </c>
      <c r="D60" s="347">
        <v>0</v>
      </c>
      <c r="E60" s="347">
        <v>4000</v>
      </c>
    </row>
    <row r="62" spans="1:5" ht="15.75" customHeight="1">
      <c r="A62" s="400" t="s">
        <v>954</v>
      </c>
      <c r="B62" s="401"/>
      <c r="C62" s="401"/>
      <c r="D62" s="401"/>
      <c r="E62" s="401"/>
    </row>
    <row r="63" spans="2:5" s="360" customFormat="1" ht="14.25">
      <c r="B63" s="361" t="s">
        <v>823</v>
      </c>
      <c r="C63" s="362">
        <v>242632</v>
      </c>
      <c r="D63" s="362">
        <v>0</v>
      </c>
      <c r="E63" s="362">
        <v>242632</v>
      </c>
    </row>
    <row r="64" spans="2:5" ht="15">
      <c r="B64" s="349" t="s">
        <v>821</v>
      </c>
      <c r="C64" s="347">
        <v>52500</v>
      </c>
      <c r="D64" s="347">
        <v>0</v>
      </c>
      <c r="E64" s="347">
        <v>52500</v>
      </c>
    </row>
    <row r="65" spans="2:5" ht="15">
      <c r="B65" s="349" t="s">
        <v>818</v>
      </c>
      <c r="C65" s="347">
        <v>190132</v>
      </c>
      <c r="D65" s="347">
        <v>0</v>
      </c>
      <c r="E65" s="347">
        <v>190132</v>
      </c>
    </row>
    <row r="67" spans="1:5" ht="15.75" customHeight="1">
      <c r="A67" s="400" t="s">
        <v>953</v>
      </c>
      <c r="B67" s="401"/>
      <c r="C67" s="401"/>
      <c r="D67" s="401"/>
      <c r="E67" s="401"/>
    </row>
    <row r="68" spans="2:5" s="360" customFormat="1" ht="14.25">
      <c r="B68" s="361" t="s">
        <v>823</v>
      </c>
      <c r="C68" s="362">
        <v>488404</v>
      </c>
      <c r="D68" s="362">
        <v>0</v>
      </c>
      <c r="E68" s="362">
        <v>488404</v>
      </c>
    </row>
    <row r="69" spans="2:5" ht="15">
      <c r="B69" s="349" t="s">
        <v>821</v>
      </c>
      <c r="C69" s="347">
        <v>183200</v>
      </c>
      <c r="D69" s="347">
        <v>0</v>
      </c>
      <c r="E69" s="347">
        <v>183200</v>
      </c>
    </row>
    <row r="70" spans="2:5" ht="15">
      <c r="B70" s="349" t="s">
        <v>820</v>
      </c>
      <c r="C70" s="347">
        <v>25000</v>
      </c>
      <c r="D70" s="347">
        <v>0</v>
      </c>
      <c r="E70" s="347">
        <v>25000</v>
      </c>
    </row>
    <row r="71" spans="2:5" ht="15">
      <c r="B71" s="349" t="s">
        <v>818</v>
      </c>
      <c r="C71" s="347">
        <v>81000</v>
      </c>
      <c r="D71" s="347">
        <v>0</v>
      </c>
      <c r="E71" s="347">
        <v>81000</v>
      </c>
    </row>
    <row r="72" spans="2:5" ht="15">
      <c r="B72" s="349" t="s">
        <v>817</v>
      </c>
      <c r="C72" s="347">
        <v>199204</v>
      </c>
      <c r="D72" s="347">
        <v>0</v>
      </c>
      <c r="E72" s="347">
        <v>199204</v>
      </c>
    </row>
    <row r="74" spans="1:5" ht="15.75" customHeight="1">
      <c r="A74" s="400" t="s">
        <v>952</v>
      </c>
      <c r="B74" s="401"/>
      <c r="C74" s="401"/>
      <c r="D74" s="401"/>
      <c r="E74" s="401"/>
    </row>
    <row r="75" spans="2:5" s="360" customFormat="1" ht="14.25">
      <c r="B75" s="361" t="s">
        <v>823</v>
      </c>
      <c r="C75" s="362">
        <v>7000</v>
      </c>
      <c r="D75" s="362">
        <v>0</v>
      </c>
      <c r="E75" s="362">
        <v>7000</v>
      </c>
    </row>
    <row r="76" spans="2:5" ht="15">
      <c r="B76" s="349" t="s">
        <v>822</v>
      </c>
      <c r="C76" s="347">
        <v>3500</v>
      </c>
      <c r="D76" s="347">
        <v>0</v>
      </c>
      <c r="E76" s="347">
        <v>3500</v>
      </c>
    </row>
    <row r="77" spans="2:5" ht="15">
      <c r="B77" s="349" t="s">
        <v>821</v>
      </c>
      <c r="C77" s="347">
        <v>3500</v>
      </c>
      <c r="D77" s="347">
        <v>0</v>
      </c>
      <c r="E77" s="347">
        <v>3500</v>
      </c>
    </row>
    <row r="79" spans="1:5" ht="31.5" customHeight="1">
      <c r="A79" s="400" t="s">
        <v>951</v>
      </c>
      <c r="B79" s="401"/>
      <c r="C79" s="401"/>
      <c r="D79" s="401"/>
      <c r="E79" s="401"/>
    </row>
    <row r="80" spans="2:5" s="360" customFormat="1" ht="14.25">
      <c r="B80" s="361" t="s">
        <v>823</v>
      </c>
      <c r="C80" s="362">
        <v>21000</v>
      </c>
      <c r="D80" s="362">
        <v>0</v>
      </c>
      <c r="E80" s="362">
        <v>21000</v>
      </c>
    </row>
    <row r="81" spans="2:5" ht="15">
      <c r="B81" s="349" t="s">
        <v>820</v>
      </c>
      <c r="C81" s="347">
        <v>21000</v>
      </c>
      <c r="D81" s="347">
        <v>0</v>
      </c>
      <c r="E81" s="347">
        <v>21000</v>
      </c>
    </row>
    <row r="83" spans="1:5" ht="15.75" customHeight="1">
      <c r="A83" s="400" t="s">
        <v>950</v>
      </c>
      <c r="B83" s="401"/>
      <c r="C83" s="401"/>
      <c r="D83" s="401"/>
      <c r="E83" s="401"/>
    </row>
    <row r="84" spans="2:5" s="360" customFormat="1" ht="14.25">
      <c r="B84" s="361" t="s">
        <v>823</v>
      </c>
      <c r="C84" s="362">
        <v>161134</v>
      </c>
      <c r="D84" s="362">
        <v>0</v>
      </c>
      <c r="E84" s="362">
        <v>161134</v>
      </c>
    </row>
    <row r="85" spans="2:5" ht="15">
      <c r="B85" s="349" t="s">
        <v>822</v>
      </c>
      <c r="C85" s="347">
        <v>14089</v>
      </c>
      <c r="D85" s="347">
        <v>0</v>
      </c>
      <c r="E85" s="347">
        <v>14089</v>
      </c>
    </row>
    <row r="86" spans="2:5" ht="15">
      <c r="B86" s="349" t="s">
        <v>821</v>
      </c>
      <c r="C86" s="347">
        <v>147045</v>
      </c>
      <c r="D86" s="347">
        <v>0</v>
      </c>
      <c r="E86" s="347">
        <v>147045</v>
      </c>
    </row>
    <row r="88" spans="1:5" ht="15.75" customHeight="1">
      <c r="A88" s="400" t="s">
        <v>949</v>
      </c>
      <c r="B88" s="401"/>
      <c r="C88" s="401"/>
      <c r="D88" s="401"/>
      <c r="E88" s="401"/>
    </row>
    <row r="89" spans="2:5" s="360" customFormat="1" ht="14.25">
      <c r="B89" s="361" t="s">
        <v>823</v>
      </c>
      <c r="C89" s="362">
        <v>461544</v>
      </c>
      <c r="D89" s="362">
        <v>0</v>
      </c>
      <c r="E89" s="362">
        <v>461544</v>
      </c>
    </row>
    <row r="90" spans="2:5" ht="15">
      <c r="B90" s="349" t="s">
        <v>822</v>
      </c>
      <c r="C90" s="347">
        <v>31109</v>
      </c>
      <c r="D90" s="347">
        <v>0</v>
      </c>
      <c r="E90" s="347">
        <v>31109</v>
      </c>
    </row>
    <row r="91" spans="2:5" ht="15">
      <c r="B91" s="349" t="s">
        <v>821</v>
      </c>
      <c r="C91" s="347">
        <v>387435</v>
      </c>
      <c r="D91" s="347">
        <v>0</v>
      </c>
      <c r="E91" s="347">
        <v>387435</v>
      </c>
    </row>
    <row r="92" spans="2:5" ht="15">
      <c r="B92" s="349" t="s">
        <v>818</v>
      </c>
      <c r="C92" s="347">
        <v>33000</v>
      </c>
      <c r="D92" s="347">
        <v>0</v>
      </c>
      <c r="E92" s="347">
        <v>33000</v>
      </c>
    </row>
    <row r="93" spans="2:5" ht="15">
      <c r="B93" s="349" t="s">
        <v>817</v>
      </c>
      <c r="C93" s="347">
        <v>10000</v>
      </c>
      <c r="D93" s="347">
        <v>0</v>
      </c>
      <c r="E93" s="347">
        <v>10000</v>
      </c>
    </row>
    <row r="95" spans="1:5" ht="15.75" customHeight="1">
      <c r="A95" s="400" t="s">
        <v>948</v>
      </c>
      <c r="B95" s="401"/>
      <c r="C95" s="401"/>
      <c r="D95" s="401"/>
      <c r="E95" s="401"/>
    </row>
    <row r="96" spans="2:5" s="360" customFormat="1" ht="14.25">
      <c r="B96" s="361" t="s">
        <v>823</v>
      </c>
      <c r="C96" s="362">
        <v>156527</v>
      </c>
      <c r="D96" s="362">
        <v>-23703</v>
      </c>
      <c r="E96" s="362">
        <v>132824</v>
      </c>
    </row>
    <row r="97" spans="2:5" ht="15">
      <c r="B97" s="349" t="s">
        <v>818</v>
      </c>
      <c r="C97" s="347">
        <v>156527</v>
      </c>
      <c r="D97" s="347">
        <v>-23703</v>
      </c>
      <c r="E97" s="347">
        <v>132824</v>
      </c>
    </row>
    <row r="99" spans="1:5" ht="31.5" customHeight="1">
      <c r="A99" s="400" t="s">
        <v>947</v>
      </c>
      <c r="B99" s="401"/>
      <c r="C99" s="401"/>
      <c r="D99" s="401"/>
      <c r="E99" s="401"/>
    </row>
    <row r="100" spans="2:5" s="360" customFormat="1" ht="14.25">
      <c r="B100" s="361" t="s">
        <v>823</v>
      </c>
      <c r="C100" s="362">
        <v>4385395</v>
      </c>
      <c r="D100" s="362">
        <v>519983</v>
      </c>
      <c r="E100" s="362">
        <v>4905378</v>
      </c>
    </row>
    <row r="101" spans="2:5" ht="15">
      <c r="B101" s="349" t="s">
        <v>818</v>
      </c>
      <c r="C101" s="347">
        <v>4385395</v>
      </c>
      <c r="D101" s="347">
        <v>519983</v>
      </c>
      <c r="E101" s="347">
        <v>4905378</v>
      </c>
    </row>
    <row r="103" spans="1:5" ht="31.5" customHeight="1">
      <c r="A103" s="400" t="s">
        <v>946</v>
      </c>
      <c r="B103" s="401"/>
      <c r="C103" s="401"/>
      <c r="D103" s="401"/>
      <c r="E103" s="401"/>
    </row>
    <row r="104" spans="2:5" s="360" customFormat="1" ht="14.25">
      <c r="B104" s="361" t="s">
        <v>823</v>
      </c>
      <c r="C104" s="362">
        <v>1026833</v>
      </c>
      <c r="D104" s="362">
        <v>157724</v>
      </c>
      <c r="E104" s="362">
        <v>1184557</v>
      </c>
    </row>
    <row r="105" spans="2:5" ht="15">
      <c r="B105" s="349" t="s">
        <v>818</v>
      </c>
      <c r="C105" s="347">
        <v>1026833</v>
      </c>
      <c r="D105" s="347">
        <v>157724</v>
      </c>
      <c r="E105" s="347">
        <v>1184557</v>
      </c>
    </row>
    <row r="107" spans="1:5" ht="31.5" customHeight="1">
      <c r="A107" s="400" t="s">
        <v>945</v>
      </c>
      <c r="B107" s="401"/>
      <c r="C107" s="401"/>
      <c r="D107" s="401"/>
      <c r="E107" s="401"/>
    </row>
    <row r="108" spans="2:5" s="360" customFormat="1" ht="14.25">
      <c r="B108" s="361" t="s">
        <v>823</v>
      </c>
      <c r="C108" s="362">
        <v>952331</v>
      </c>
      <c r="D108" s="362">
        <v>122120</v>
      </c>
      <c r="E108" s="362">
        <v>1074451</v>
      </c>
    </row>
    <row r="109" spans="2:5" ht="15">
      <c r="B109" s="349" t="s">
        <v>818</v>
      </c>
      <c r="C109" s="347">
        <v>952331</v>
      </c>
      <c r="D109" s="347">
        <v>122120</v>
      </c>
      <c r="E109" s="347">
        <v>1074451</v>
      </c>
    </row>
    <row r="111" spans="1:5" ht="31.5" customHeight="1">
      <c r="A111" s="400" t="s">
        <v>944</v>
      </c>
      <c r="B111" s="401"/>
      <c r="C111" s="401"/>
      <c r="D111" s="401"/>
      <c r="E111" s="401"/>
    </row>
    <row r="112" spans="2:5" s="360" customFormat="1" ht="14.25">
      <c r="B112" s="361" t="s">
        <v>823</v>
      </c>
      <c r="C112" s="362">
        <v>506613</v>
      </c>
      <c r="D112" s="362">
        <v>-8000</v>
      </c>
      <c r="E112" s="362">
        <v>498613</v>
      </c>
    </row>
    <row r="113" spans="2:5" ht="15">
      <c r="B113" s="349" t="s">
        <v>821</v>
      </c>
      <c r="C113" s="347">
        <v>104210</v>
      </c>
      <c r="D113" s="347">
        <v>0</v>
      </c>
      <c r="E113" s="347">
        <v>104210</v>
      </c>
    </row>
    <row r="114" spans="2:5" ht="15">
      <c r="B114" s="349" t="s">
        <v>818</v>
      </c>
      <c r="C114" s="347">
        <v>402403</v>
      </c>
      <c r="D114" s="347">
        <v>-8000</v>
      </c>
      <c r="E114" s="347">
        <v>394403</v>
      </c>
    </row>
    <row r="116" spans="1:5" ht="31.5" customHeight="1">
      <c r="A116" s="400" t="s">
        <v>943</v>
      </c>
      <c r="B116" s="401"/>
      <c r="C116" s="401"/>
      <c r="D116" s="401"/>
      <c r="E116" s="401"/>
    </row>
    <row r="117" spans="2:5" s="360" customFormat="1" ht="14.25">
      <c r="B117" s="361" t="s">
        <v>823</v>
      </c>
      <c r="C117" s="362">
        <v>3313633</v>
      </c>
      <c r="D117" s="362">
        <v>-60000</v>
      </c>
      <c r="E117" s="362">
        <v>3253633</v>
      </c>
    </row>
    <row r="118" spans="2:5" ht="15">
      <c r="B118" s="349" t="s">
        <v>818</v>
      </c>
      <c r="C118" s="347">
        <v>3313633</v>
      </c>
      <c r="D118" s="347">
        <v>-60000</v>
      </c>
      <c r="E118" s="347">
        <v>3253633</v>
      </c>
    </row>
    <row r="120" spans="1:5" ht="15.75" customHeight="1">
      <c r="A120" s="400" t="s">
        <v>942</v>
      </c>
      <c r="B120" s="401"/>
      <c r="C120" s="401"/>
      <c r="D120" s="401"/>
      <c r="E120" s="401"/>
    </row>
    <row r="121" spans="2:5" s="360" customFormat="1" ht="14.25">
      <c r="B121" s="361" t="s">
        <v>823</v>
      </c>
      <c r="C121" s="362">
        <v>83451</v>
      </c>
      <c r="D121" s="362">
        <v>0</v>
      </c>
      <c r="E121" s="362">
        <v>83451</v>
      </c>
    </row>
    <row r="122" spans="2:5" ht="15">
      <c r="B122" s="349" t="s">
        <v>822</v>
      </c>
      <c r="C122" s="347">
        <v>36977</v>
      </c>
      <c r="D122" s="347">
        <v>0</v>
      </c>
      <c r="E122" s="347">
        <v>36977</v>
      </c>
    </row>
    <row r="123" spans="2:5" ht="15">
      <c r="B123" s="349" t="s">
        <v>821</v>
      </c>
      <c r="C123" s="347">
        <v>46474</v>
      </c>
      <c r="D123" s="347">
        <v>0</v>
      </c>
      <c r="E123" s="347">
        <v>46474</v>
      </c>
    </row>
    <row r="125" spans="1:5" ht="15.75" customHeight="1">
      <c r="A125" s="400" t="s">
        <v>941</v>
      </c>
      <c r="B125" s="401"/>
      <c r="C125" s="401"/>
      <c r="D125" s="401"/>
      <c r="E125" s="401"/>
    </row>
    <row r="126" spans="2:5" s="360" customFormat="1" ht="14.25">
      <c r="B126" s="361" t="s">
        <v>823</v>
      </c>
      <c r="C126" s="362">
        <v>500</v>
      </c>
      <c r="D126" s="362">
        <v>0</v>
      </c>
      <c r="E126" s="362">
        <v>500</v>
      </c>
    </row>
    <row r="127" spans="2:5" ht="15">
      <c r="B127" s="349" t="s">
        <v>822</v>
      </c>
      <c r="C127" s="347">
        <v>500</v>
      </c>
      <c r="D127" s="347">
        <v>0</v>
      </c>
      <c r="E127" s="347">
        <v>500</v>
      </c>
    </row>
    <row r="129" spans="1:5" ht="15.75" customHeight="1">
      <c r="A129" s="400" t="s">
        <v>940</v>
      </c>
      <c r="B129" s="401"/>
      <c r="C129" s="401"/>
      <c r="D129" s="401"/>
      <c r="E129" s="401"/>
    </row>
    <row r="130" spans="2:5" ht="15">
      <c r="B130" s="349" t="s">
        <v>823</v>
      </c>
      <c r="C130" s="347">
        <v>291040</v>
      </c>
      <c r="D130" s="347">
        <v>0</v>
      </c>
      <c r="E130" s="347">
        <v>291040</v>
      </c>
    </row>
    <row r="131" spans="2:5" ht="15">
      <c r="B131" s="349" t="s">
        <v>818</v>
      </c>
      <c r="C131" s="347">
        <v>291040</v>
      </c>
      <c r="D131" s="347">
        <v>0</v>
      </c>
      <c r="E131" s="347">
        <v>291040</v>
      </c>
    </row>
    <row r="133" spans="1:5" ht="15.75" customHeight="1">
      <c r="A133" s="400" t="s">
        <v>939</v>
      </c>
      <c r="B133" s="401"/>
      <c r="C133" s="401"/>
      <c r="D133" s="401"/>
      <c r="E133" s="401"/>
    </row>
    <row r="134" spans="2:5" s="360" customFormat="1" ht="14.25">
      <c r="B134" s="361" t="s">
        <v>823</v>
      </c>
      <c r="C134" s="362">
        <v>98716</v>
      </c>
      <c r="D134" s="362">
        <v>0</v>
      </c>
      <c r="E134" s="362">
        <v>98716</v>
      </c>
    </row>
    <row r="135" spans="2:5" ht="15">
      <c r="B135" s="349" t="s">
        <v>821</v>
      </c>
      <c r="C135" s="347">
        <v>37647</v>
      </c>
      <c r="D135" s="347">
        <v>0</v>
      </c>
      <c r="E135" s="347">
        <v>37647</v>
      </c>
    </row>
    <row r="136" spans="2:5" ht="15">
      <c r="B136" s="349" t="s">
        <v>818</v>
      </c>
      <c r="C136" s="347">
        <v>61069</v>
      </c>
      <c r="D136" s="347">
        <v>0</v>
      </c>
      <c r="E136" s="347">
        <v>61069</v>
      </c>
    </row>
    <row r="138" spans="1:5" ht="15.75" customHeight="1">
      <c r="A138" s="400" t="s">
        <v>938</v>
      </c>
      <c r="B138" s="401"/>
      <c r="C138" s="401"/>
      <c r="D138" s="401"/>
      <c r="E138" s="401"/>
    </row>
    <row r="139" spans="2:5" s="360" customFormat="1" ht="14.25">
      <c r="B139" s="361" t="s">
        <v>823</v>
      </c>
      <c r="C139" s="362">
        <v>1048879</v>
      </c>
      <c r="D139" s="362">
        <v>0</v>
      </c>
      <c r="E139" s="362">
        <v>1048879</v>
      </c>
    </row>
    <row r="140" spans="2:5" ht="15">
      <c r="B140" s="349" t="s">
        <v>822</v>
      </c>
      <c r="C140" s="347">
        <v>300000</v>
      </c>
      <c r="D140" s="347">
        <v>0</v>
      </c>
      <c r="E140" s="347">
        <v>300000</v>
      </c>
    </row>
    <row r="141" spans="2:5" ht="15">
      <c r="B141" s="349" t="s">
        <v>821</v>
      </c>
      <c r="C141" s="347">
        <v>748879</v>
      </c>
      <c r="D141" s="347">
        <v>0</v>
      </c>
      <c r="E141" s="347">
        <v>748879</v>
      </c>
    </row>
    <row r="143" spans="1:5" ht="15.75" customHeight="1">
      <c r="A143" s="400" t="s">
        <v>937</v>
      </c>
      <c r="B143" s="401"/>
      <c r="C143" s="401"/>
      <c r="D143" s="401"/>
      <c r="E143" s="401"/>
    </row>
    <row r="144" spans="2:5" s="360" customFormat="1" ht="14.25">
      <c r="B144" s="361" t="s">
        <v>823</v>
      </c>
      <c r="C144" s="362">
        <v>2438683</v>
      </c>
      <c r="D144" s="362">
        <v>0</v>
      </c>
      <c r="E144" s="362">
        <v>2438683</v>
      </c>
    </row>
    <row r="145" spans="2:5" ht="15">
      <c r="B145" s="349" t="s">
        <v>821</v>
      </c>
      <c r="C145" s="347">
        <v>84188</v>
      </c>
      <c r="D145" s="347">
        <v>0</v>
      </c>
      <c r="E145" s="347">
        <v>84188</v>
      </c>
    </row>
    <row r="146" spans="2:5" ht="15">
      <c r="B146" s="349" t="s">
        <v>818</v>
      </c>
      <c r="C146" s="347">
        <v>2354495</v>
      </c>
      <c r="D146" s="347">
        <v>0</v>
      </c>
      <c r="E146" s="347">
        <v>2354495</v>
      </c>
    </row>
    <row r="148" spans="1:5" ht="31.5" customHeight="1">
      <c r="A148" s="400" t="s">
        <v>936</v>
      </c>
      <c r="B148" s="401"/>
      <c r="C148" s="401"/>
      <c r="D148" s="401"/>
      <c r="E148" s="401"/>
    </row>
    <row r="149" spans="2:5" s="360" customFormat="1" ht="14.25">
      <c r="B149" s="361" t="s">
        <v>823</v>
      </c>
      <c r="C149" s="362">
        <v>822854</v>
      </c>
      <c r="D149" s="362">
        <v>0</v>
      </c>
      <c r="E149" s="362">
        <v>822854</v>
      </c>
    </row>
    <row r="150" spans="2:5" ht="15">
      <c r="B150" s="349" t="s">
        <v>818</v>
      </c>
      <c r="C150" s="347">
        <v>822854</v>
      </c>
      <c r="D150" s="347">
        <v>0</v>
      </c>
      <c r="E150" s="347">
        <v>822854</v>
      </c>
    </row>
    <row r="152" spans="1:5" ht="47.25" customHeight="1">
      <c r="A152" s="402" t="s">
        <v>935</v>
      </c>
      <c r="B152" s="403"/>
      <c r="C152" s="403"/>
      <c r="D152" s="403"/>
      <c r="E152" s="403"/>
    </row>
    <row r="153" spans="1:5" ht="14.25">
      <c r="A153" s="357"/>
      <c r="B153" s="358" t="s">
        <v>823</v>
      </c>
      <c r="C153" s="359">
        <v>252291</v>
      </c>
      <c r="D153" s="359">
        <v>0</v>
      </c>
      <c r="E153" s="359">
        <v>252291</v>
      </c>
    </row>
    <row r="154" spans="1:5" ht="14.25">
      <c r="A154" s="357"/>
      <c r="B154" s="358" t="s">
        <v>822</v>
      </c>
      <c r="C154" s="359">
        <v>205595</v>
      </c>
      <c r="D154" s="359">
        <v>0</v>
      </c>
      <c r="E154" s="359">
        <v>205595</v>
      </c>
    </row>
    <row r="155" spans="1:5" ht="14.25">
      <c r="A155" s="357"/>
      <c r="B155" s="358" t="s">
        <v>821</v>
      </c>
      <c r="C155" s="359">
        <v>45016</v>
      </c>
      <c r="D155" s="359">
        <v>0</v>
      </c>
      <c r="E155" s="359">
        <v>45016</v>
      </c>
    </row>
    <row r="156" spans="1:5" ht="42.75">
      <c r="A156" s="357"/>
      <c r="B156" s="358" t="s">
        <v>816</v>
      </c>
      <c r="C156" s="359">
        <v>1680</v>
      </c>
      <c r="D156" s="359">
        <v>0</v>
      </c>
      <c r="E156" s="359">
        <v>1680</v>
      </c>
    </row>
    <row r="158" spans="1:5" ht="31.5" customHeight="1">
      <c r="A158" s="400" t="s">
        <v>934</v>
      </c>
      <c r="B158" s="401"/>
      <c r="C158" s="401"/>
      <c r="D158" s="401"/>
      <c r="E158" s="401"/>
    </row>
    <row r="159" spans="2:5" s="360" customFormat="1" ht="14.25">
      <c r="B159" s="361" t="s">
        <v>823</v>
      </c>
      <c r="C159" s="362">
        <v>252291</v>
      </c>
      <c r="D159" s="362">
        <v>0</v>
      </c>
      <c r="E159" s="362">
        <v>252291</v>
      </c>
    </row>
    <row r="160" spans="2:5" ht="15">
      <c r="B160" s="349" t="s">
        <v>822</v>
      </c>
      <c r="C160" s="347">
        <v>205595</v>
      </c>
      <c r="D160" s="347">
        <v>0</v>
      </c>
      <c r="E160" s="347">
        <v>205595</v>
      </c>
    </row>
    <row r="161" spans="2:5" ht="15">
      <c r="B161" s="349" t="s">
        <v>821</v>
      </c>
      <c r="C161" s="347">
        <v>45016</v>
      </c>
      <c r="D161" s="347">
        <v>0</v>
      </c>
      <c r="E161" s="347">
        <v>45016</v>
      </c>
    </row>
    <row r="162" spans="2:5" ht="30">
      <c r="B162" s="349" t="s">
        <v>816</v>
      </c>
      <c r="C162" s="347">
        <v>1680</v>
      </c>
      <c r="D162" s="347">
        <v>0</v>
      </c>
      <c r="E162" s="347">
        <v>1680</v>
      </c>
    </row>
    <row r="164" spans="1:5" ht="31.5" customHeight="1">
      <c r="A164" s="400" t="s">
        <v>933</v>
      </c>
      <c r="B164" s="401"/>
      <c r="C164" s="401"/>
      <c r="D164" s="401"/>
      <c r="E164" s="401"/>
    </row>
    <row r="165" spans="2:5" s="360" customFormat="1" ht="14.25">
      <c r="B165" s="361" t="s">
        <v>823</v>
      </c>
      <c r="C165" s="362">
        <v>7910787</v>
      </c>
      <c r="D165" s="362">
        <v>386</v>
      </c>
      <c r="E165" s="362">
        <v>7911173</v>
      </c>
    </row>
    <row r="166" spans="2:5" ht="15">
      <c r="B166" s="349" t="s">
        <v>821</v>
      </c>
      <c r="C166" s="347">
        <v>1057641</v>
      </c>
      <c r="D166" s="347">
        <v>-614</v>
      </c>
      <c r="E166" s="347">
        <v>1057027</v>
      </c>
    </row>
    <row r="167" spans="2:5" ht="15">
      <c r="B167" s="349" t="s">
        <v>820</v>
      </c>
      <c r="C167" s="347">
        <v>4540646</v>
      </c>
      <c r="D167" s="347">
        <v>1000</v>
      </c>
      <c r="E167" s="347">
        <v>4541646</v>
      </c>
    </row>
    <row r="168" spans="2:5" ht="15">
      <c r="B168" s="349" t="s">
        <v>819</v>
      </c>
      <c r="C168" s="347">
        <v>2086500</v>
      </c>
      <c r="D168" s="347">
        <v>0</v>
      </c>
      <c r="E168" s="347">
        <v>2086500</v>
      </c>
    </row>
    <row r="169" spans="2:5" ht="15">
      <c r="B169" s="349" t="s">
        <v>817</v>
      </c>
      <c r="C169" s="347">
        <v>220000</v>
      </c>
      <c r="D169" s="347">
        <v>0</v>
      </c>
      <c r="E169" s="347">
        <v>220000</v>
      </c>
    </row>
    <row r="170" spans="2:5" ht="30">
      <c r="B170" s="349" t="s">
        <v>816</v>
      </c>
      <c r="C170" s="347">
        <v>6000</v>
      </c>
      <c r="D170" s="347">
        <v>0</v>
      </c>
      <c r="E170" s="347">
        <v>6000</v>
      </c>
    </row>
    <row r="172" spans="1:5" ht="15.75" customHeight="1">
      <c r="A172" s="400" t="s">
        <v>932</v>
      </c>
      <c r="B172" s="401"/>
      <c r="C172" s="401"/>
      <c r="D172" s="401"/>
      <c r="E172" s="401"/>
    </row>
    <row r="173" spans="2:5" s="360" customFormat="1" ht="14.25">
      <c r="B173" s="361" t="s">
        <v>823</v>
      </c>
      <c r="C173" s="362">
        <v>51219</v>
      </c>
      <c r="D173" s="362">
        <v>0</v>
      </c>
      <c r="E173" s="362">
        <v>51219</v>
      </c>
    </row>
    <row r="174" spans="2:5" ht="15">
      <c r="B174" s="349" t="s">
        <v>821</v>
      </c>
      <c r="C174" s="347">
        <v>51219</v>
      </c>
      <c r="D174" s="347">
        <v>0</v>
      </c>
      <c r="E174" s="347">
        <v>51219</v>
      </c>
    </row>
    <row r="176" spans="1:5" ht="15.75" customHeight="1">
      <c r="A176" s="400" t="s">
        <v>931</v>
      </c>
      <c r="B176" s="401"/>
      <c r="C176" s="401"/>
      <c r="D176" s="401"/>
      <c r="E176" s="401"/>
    </row>
    <row r="177" spans="2:5" s="360" customFormat="1" ht="14.25">
      <c r="B177" s="361" t="s">
        <v>823</v>
      </c>
      <c r="C177" s="362">
        <v>2585405</v>
      </c>
      <c r="D177" s="362">
        <v>0</v>
      </c>
      <c r="E177" s="362">
        <v>2585405</v>
      </c>
    </row>
    <row r="178" spans="2:5" ht="15">
      <c r="B178" s="349" t="s">
        <v>821</v>
      </c>
      <c r="C178" s="347">
        <v>498905</v>
      </c>
      <c r="D178" s="347">
        <v>0</v>
      </c>
      <c r="E178" s="347">
        <v>498905</v>
      </c>
    </row>
    <row r="179" spans="2:5" ht="15">
      <c r="B179" s="349" t="s">
        <v>819</v>
      </c>
      <c r="C179" s="347">
        <v>2086500</v>
      </c>
      <c r="D179" s="347">
        <v>0</v>
      </c>
      <c r="E179" s="347">
        <v>2086500</v>
      </c>
    </row>
    <row r="181" spans="1:5" ht="15.75" customHeight="1">
      <c r="A181" s="400" t="s">
        <v>930</v>
      </c>
      <c r="B181" s="401"/>
      <c r="C181" s="401"/>
      <c r="D181" s="401"/>
      <c r="E181" s="401"/>
    </row>
    <row r="182" spans="2:5" s="360" customFormat="1" ht="14.25">
      <c r="B182" s="361" t="s">
        <v>823</v>
      </c>
      <c r="C182" s="362">
        <v>400000</v>
      </c>
      <c r="D182" s="362">
        <v>-1000</v>
      </c>
      <c r="E182" s="362">
        <v>399000</v>
      </c>
    </row>
    <row r="183" spans="2:5" ht="15">
      <c r="B183" s="349" t="s">
        <v>821</v>
      </c>
      <c r="C183" s="347">
        <v>400000</v>
      </c>
      <c r="D183" s="347">
        <v>-1000</v>
      </c>
      <c r="E183" s="347">
        <v>399000</v>
      </c>
    </row>
    <row r="185" spans="1:5" ht="31.5" customHeight="1">
      <c r="A185" s="400" t="s">
        <v>929</v>
      </c>
      <c r="B185" s="401"/>
      <c r="C185" s="401"/>
      <c r="D185" s="401"/>
      <c r="E185" s="401"/>
    </row>
    <row r="186" spans="2:5" s="360" customFormat="1" ht="14.25">
      <c r="B186" s="361" t="s">
        <v>823</v>
      </c>
      <c r="C186" s="362">
        <v>3186109</v>
      </c>
      <c r="D186" s="362">
        <v>0</v>
      </c>
      <c r="E186" s="362">
        <v>3186109</v>
      </c>
    </row>
    <row r="187" spans="2:5" ht="15">
      <c r="B187" s="349" t="s">
        <v>820</v>
      </c>
      <c r="C187" s="347">
        <v>3186109</v>
      </c>
      <c r="D187" s="347">
        <v>0</v>
      </c>
      <c r="E187" s="347">
        <v>3186109</v>
      </c>
    </row>
    <row r="189" spans="1:5" ht="15.75" customHeight="1">
      <c r="A189" s="400" t="s">
        <v>928</v>
      </c>
      <c r="B189" s="401"/>
      <c r="C189" s="401"/>
      <c r="D189" s="401"/>
      <c r="E189" s="401"/>
    </row>
    <row r="190" spans="2:5" s="360" customFormat="1" ht="14.25">
      <c r="B190" s="361" t="s">
        <v>823</v>
      </c>
      <c r="C190" s="362">
        <v>6000</v>
      </c>
      <c r="D190" s="362">
        <v>0</v>
      </c>
      <c r="E190" s="362">
        <v>6000</v>
      </c>
    </row>
    <row r="191" spans="2:5" ht="30">
      <c r="B191" s="349" t="s">
        <v>816</v>
      </c>
      <c r="C191" s="347">
        <v>6000</v>
      </c>
      <c r="D191" s="347">
        <v>0</v>
      </c>
      <c r="E191" s="347">
        <v>6000</v>
      </c>
    </row>
    <row r="193" spans="1:5" ht="31.5" customHeight="1">
      <c r="A193" s="400" t="s">
        <v>927</v>
      </c>
      <c r="B193" s="401"/>
      <c r="C193" s="401"/>
      <c r="D193" s="401"/>
      <c r="E193" s="401"/>
    </row>
    <row r="194" spans="2:5" s="360" customFormat="1" ht="14.25">
      <c r="B194" s="361" t="s">
        <v>823</v>
      </c>
      <c r="C194" s="362">
        <v>50000</v>
      </c>
      <c r="D194" s="362">
        <v>0</v>
      </c>
      <c r="E194" s="362">
        <v>50000</v>
      </c>
    </row>
    <row r="195" spans="2:5" ht="15">
      <c r="B195" s="349" t="s">
        <v>820</v>
      </c>
      <c r="C195" s="347">
        <v>50000</v>
      </c>
      <c r="D195" s="347">
        <v>0</v>
      </c>
      <c r="E195" s="347">
        <v>50000</v>
      </c>
    </row>
    <row r="197" spans="1:5" ht="15.75" customHeight="1">
      <c r="A197" s="400" t="s">
        <v>926</v>
      </c>
      <c r="B197" s="401"/>
      <c r="C197" s="401"/>
      <c r="D197" s="401"/>
      <c r="E197" s="401"/>
    </row>
    <row r="198" spans="2:5" s="360" customFormat="1" ht="14.25">
      <c r="B198" s="361" t="s">
        <v>823</v>
      </c>
      <c r="C198" s="362">
        <v>741179</v>
      </c>
      <c r="D198" s="362">
        <v>0</v>
      </c>
      <c r="E198" s="362">
        <v>741179</v>
      </c>
    </row>
    <row r="199" spans="2:5" ht="15">
      <c r="B199" s="349" t="s">
        <v>820</v>
      </c>
      <c r="C199" s="347">
        <v>741179</v>
      </c>
      <c r="D199" s="347">
        <v>0</v>
      </c>
      <c r="E199" s="347">
        <v>741179</v>
      </c>
    </row>
    <row r="201" spans="1:5" ht="15.75" customHeight="1">
      <c r="A201" s="400" t="s">
        <v>925</v>
      </c>
      <c r="B201" s="401"/>
      <c r="C201" s="401"/>
      <c r="D201" s="401"/>
      <c r="E201" s="401"/>
    </row>
    <row r="202" spans="2:5" s="360" customFormat="1" ht="14.25">
      <c r="B202" s="361" t="s">
        <v>823</v>
      </c>
      <c r="C202" s="362">
        <v>151850</v>
      </c>
      <c r="D202" s="362">
        <v>0</v>
      </c>
      <c r="E202" s="362">
        <v>151850</v>
      </c>
    </row>
    <row r="203" spans="2:5" ht="15">
      <c r="B203" s="349" t="s">
        <v>820</v>
      </c>
      <c r="C203" s="347">
        <v>151850</v>
      </c>
      <c r="D203" s="347">
        <v>0</v>
      </c>
      <c r="E203" s="347">
        <v>151850</v>
      </c>
    </row>
    <row r="205" spans="1:5" ht="31.5" customHeight="1">
      <c r="A205" s="400" t="s">
        <v>924</v>
      </c>
      <c r="B205" s="401"/>
      <c r="C205" s="401"/>
      <c r="D205" s="401"/>
      <c r="E205" s="401"/>
    </row>
    <row r="206" spans="2:5" s="360" customFormat="1" ht="14.25">
      <c r="B206" s="361" t="s">
        <v>823</v>
      </c>
      <c r="C206" s="362">
        <v>256508</v>
      </c>
      <c r="D206" s="362">
        <v>0</v>
      </c>
      <c r="E206" s="362">
        <v>256508</v>
      </c>
    </row>
    <row r="207" spans="2:5" ht="15">
      <c r="B207" s="349" t="s">
        <v>820</v>
      </c>
      <c r="C207" s="347">
        <v>256508</v>
      </c>
      <c r="D207" s="347">
        <v>0</v>
      </c>
      <c r="E207" s="347">
        <v>256508</v>
      </c>
    </row>
    <row r="209" spans="1:5" ht="15.75" customHeight="1">
      <c r="A209" s="400" t="s">
        <v>923</v>
      </c>
      <c r="B209" s="401"/>
      <c r="C209" s="401"/>
      <c r="D209" s="401"/>
      <c r="E209" s="401"/>
    </row>
    <row r="210" spans="2:5" s="360" customFormat="1" ht="14.25">
      <c r="B210" s="361" t="s">
        <v>823</v>
      </c>
      <c r="C210" s="362">
        <v>2000</v>
      </c>
      <c r="D210" s="362">
        <v>0</v>
      </c>
      <c r="E210" s="362">
        <v>2000</v>
      </c>
    </row>
    <row r="211" spans="2:5" ht="15">
      <c r="B211" s="349" t="s">
        <v>820</v>
      </c>
      <c r="C211" s="347">
        <v>2000</v>
      </c>
      <c r="D211" s="347">
        <v>0</v>
      </c>
      <c r="E211" s="347">
        <v>2000</v>
      </c>
    </row>
    <row r="213" spans="1:5" ht="15.75" customHeight="1">
      <c r="A213" s="400" t="s">
        <v>922</v>
      </c>
      <c r="B213" s="401"/>
      <c r="C213" s="401"/>
      <c r="D213" s="401"/>
      <c r="E213" s="401"/>
    </row>
    <row r="214" spans="2:5" s="360" customFormat="1" ht="14.25">
      <c r="B214" s="361" t="s">
        <v>823</v>
      </c>
      <c r="C214" s="362">
        <v>5000</v>
      </c>
      <c r="D214" s="362">
        <v>0</v>
      </c>
      <c r="E214" s="362">
        <v>5000</v>
      </c>
    </row>
    <row r="215" spans="2:5" ht="15">
      <c r="B215" s="349" t="s">
        <v>820</v>
      </c>
      <c r="C215" s="347">
        <v>5000</v>
      </c>
      <c r="D215" s="347">
        <v>0</v>
      </c>
      <c r="E215" s="347">
        <v>5000</v>
      </c>
    </row>
    <row r="217" spans="1:5" ht="15.75" customHeight="1">
      <c r="A217" s="400" t="s">
        <v>921</v>
      </c>
      <c r="B217" s="401"/>
      <c r="C217" s="401"/>
      <c r="D217" s="401"/>
      <c r="E217" s="401"/>
    </row>
    <row r="218" spans="2:5" s="360" customFormat="1" ht="14.25">
      <c r="B218" s="361" t="s">
        <v>823</v>
      </c>
      <c r="C218" s="362">
        <v>102000</v>
      </c>
      <c r="D218" s="362">
        <v>1000</v>
      </c>
      <c r="E218" s="362">
        <v>103000</v>
      </c>
    </row>
    <row r="219" spans="2:5" ht="15">
      <c r="B219" s="349" t="s">
        <v>820</v>
      </c>
      <c r="C219" s="347">
        <v>102000</v>
      </c>
      <c r="D219" s="347">
        <v>1000</v>
      </c>
      <c r="E219" s="347">
        <v>103000</v>
      </c>
    </row>
    <row r="221" spans="1:5" ht="15.75" customHeight="1">
      <c r="A221" s="400" t="s">
        <v>920</v>
      </c>
      <c r="B221" s="401"/>
      <c r="C221" s="401"/>
      <c r="D221" s="401"/>
      <c r="E221" s="401"/>
    </row>
    <row r="222" spans="2:5" s="360" customFormat="1" ht="14.25">
      <c r="B222" s="361" t="s">
        <v>823</v>
      </c>
      <c r="C222" s="362">
        <v>3000</v>
      </c>
      <c r="D222" s="362">
        <v>0</v>
      </c>
      <c r="E222" s="362">
        <v>3000</v>
      </c>
    </row>
    <row r="223" spans="2:5" ht="15">
      <c r="B223" s="349" t="s">
        <v>820</v>
      </c>
      <c r="C223" s="347">
        <v>3000</v>
      </c>
      <c r="D223" s="347">
        <v>0</v>
      </c>
      <c r="E223" s="347">
        <v>3000</v>
      </c>
    </row>
    <row r="225" spans="1:5" ht="15.75" customHeight="1">
      <c r="A225" s="400" t="s">
        <v>919</v>
      </c>
      <c r="B225" s="401"/>
      <c r="C225" s="401"/>
      <c r="D225" s="401"/>
      <c r="E225" s="401"/>
    </row>
    <row r="226" spans="2:5" s="360" customFormat="1" ht="14.25">
      <c r="B226" s="361" t="s">
        <v>823</v>
      </c>
      <c r="C226" s="362">
        <v>107517</v>
      </c>
      <c r="D226" s="362">
        <v>386</v>
      </c>
      <c r="E226" s="362">
        <v>107903</v>
      </c>
    </row>
    <row r="227" spans="2:5" ht="15">
      <c r="B227" s="349" t="s">
        <v>821</v>
      </c>
      <c r="C227" s="347">
        <v>107517</v>
      </c>
      <c r="D227" s="347">
        <v>386</v>
      </c>
      <c r="E227" s="347">
        <v>107903</v>
      </c>
    </row>
    <row r="229" spans="1:5" ht="15.75" customHeight="1">
      <c r="A229" s="400" t="s">
        <v>918</v>
      </c>
      <c r="B229" s="401"/>
      <c r="C229" s="401"/>
      <c r="D229" s="401"/>
      <c r="E229" s="401"/>
    </row>
    <row r="230" spans="2:5" s="360" customFormat="1" ht="14.25">
      <c r="B230" s="361" t="s">
        <v>823</v>
      </c>
      <c r="C230" s="362">
        <v>40000</v>
      </c>
      <c r="D230" s="362">
        <v>0</v>
      </c>
      <c r="E230" s="362">
        <v>40000</v>
      </c>
    </row>
    <row r="231" spans="2:5" ht="15">
      <c r="B231" s="349" t="s">
        <v>820</v>
      </c>
      <c r="C231" s="347">
        <v>40000</v>
      </c>
      <c r="D231" s="347">
        <v>0</v>
      </c>
      <c r="E231" s="347">
        <v>40000</v>
      </c>
    </row>
    <row r="233" spans="1:5" ht="15.75" customHeight="1">
      <c r="A233" s="400" t="s">
        <v>917</v>
      </c>
      <c r="B233" s="401"/>
      <c r="C233" s="401"/>
      <c r="D233" s="401"/>
      <c r="E233" s="401"/>
    </row>
    <row r="234" spans="2:5" s="360" customFormat="1" ht="14.25">
      <c r="B234" s="361" t="s">
        <v>823</v>
      </c>
      <c r="C234" s="362">
        <v>3000</v>
      </c>
      <c r="D234" s="362">
        <v>0</v>
      </c>
      <c r="E234" s="362">
        <v>3000</v>
      </c>
    </row>
    <row r="235" spans="2:5" ht="15">
      <c r="B235" s="349" t="s">
        <v>820</v>
      </c>
      <c r="C235" s="347">
        <v>3000</v>
      </c>
      <c r="D235" s="347">
        <v>0</v>
      </c>
      <c r="E235" s="347">
        <v>3000</v>
      </c>
    </row>
    <row r="237" spans="1:5" ht="15.75" customHeight="1">
      <c r="A237" s="400" t="s">
        <v>916</v>
      </c>
      <c r="B237" s="401"/>
      <c r="C237" s="401"/>
      <c r="D237" s="401"/>
      <c r="E237" s="401"/>
    </row>
    <row r="238" spans="2:5" s="360" customFormat="1" ht="14.25">
      <c r="B238" s="361" t="s">
        <v>823</v>
      </c>
      <c r="C238" s="362">
        <v>220000</v>
      </c>
      <c r="D238" s="362">
        <v>0</v>
      </c>
      <c r="E238" s="362">
        <v>220000</v>
      </c>
    </row>
    <row r="239" spans="2:5" ht="15">
      <c r="B239" s="349" t="s">
        <v>817</v>
      </c>
      <c r="C239" s="347">
        <v>220000</v>
      </c>
      <c r="D239" s="347">
        <v>0</v>
      </c>
      <c r="E239" s="347">
        <v>220000</v>
      </c>
    </row>
    <row r="240" ht="28.5" customHeight="1"/>
    <row r="241" spans="1:5" ht="31.5" customHeight="1">
      <c r="A241" s="402" t="s">
        <v>915</v>
      </c>
      <c r="B241" s="403"/>
      <c r="C241" s="403"/>
      <c r="D241" s="403"/>
      <c r="E241" s="403"/>
    </row>
    <row r="242" spans="1:5" ht="14.25">
      <c r="A242" s="357"/>
      <c r="B242" s="358" t="s">
        <v>823</v>
      </c>
      <c r="C242" s="359">
        <v>304960</v>
      </c>
      <c r="D242" s="359">
        <v>0</v>
      </c>
      <c r="E242" s="359">
        <v>304960</v>
      </c>
    </row>
    <row r="243" spans="1:5" ht="14.25">
      <c r="A243" s="357"/>
      <c r="B243" s="358" t="s">
        <v>822</v>
      </c>
      <c r="C243" s="359">
        <v>294083</v>
      </c>
      <c r="D243" s="359">
        <v>0</v>
      </c>
      <c r="E243" s="359">
        <v>294083</v>
      </c>
    </row>
    <row r="244" spans="1:5" ht="14.25">
      <c r="A244" s="357"/>
      <c r="B244" s="358" t="s">
        <v>821</v>
      </c>
      <c r="C244" s="359">
        <v>9877</v>
      </c>
      <c r="D244" s="359">
        <v>0</v>
      </c>
      <c r="E244" s="359">
        <v>9877</v>
      </c>
    </row>
    <row r="245" spans="1:5" ht="14.25">
      <c r="A245" s="357"/>
      <c r="B245" s="358" t="s">
        <v>818</v>
      </c>
      <c r="C245" s="359">
        <v>1000</v>
      </c>
      <c r="D245" s="359">
        <v>0</v>
      </c>
      <c r="E245" s="359">
        <v>1000</v>
      </c>
    </row>
    <row r="247" spans="1:5" ht="15.75" customHeight="1">
      <c r="A247" s="400" t="s">
        <v>914</v>
      </c>
      <c r="B247" s="401"/>
      <c r="C247" s="401"/>
      <c r="D247" s="401"/>
      <c r="E247" s="401"/>
    </row>
    <row r="248" spans="2:5" s="360" customFormat="1" ht="14.25">
      <c r="B248" s="361" t="s">
        <v>823</v>
      </c>
      <c r="C248" s="362">
        <v>304960</v>
      </c>
      <c r="D248" s="362">
        <v>0</v>
      </c>
      <c r="E248" s="362">
        <v>304960</v>
      </c>
    </row>
    <row r="249" spans="2:5" ht="15">
      <c r="B249" s="349" t="s">
        <v>822</v>
      </c>
      <c r="C249" s="347">
        <v>294083</v>
      </c>
      <c r="D249" s="347">
        <v>0</v>
      </c>
      <c r="E249" s="347">
        <v>294083</v>
      </c>
    </row>
    <row r="250" spans="2:5" ht="15">
      <c r="B250" s="349" t="s">
        <v>821</v>
      </c>
      <c r="C250" s="347">
        <v>9877</v>
      </c>
      <c r="D250" s="347">
        <v>0</v>
      </c>
      <c r="E250" s="347">
        <v>9877</v>
      </c>
    </row>
    <row r="251" spans="2:5" ht="15">
      <c r="B251" s="349" t="s">
        <v>818</v>
      </c>
      <c r="C251" s="347">
        <v>1000</v>
      </c>
      <c r="D251" s="347">
        <v>0</v>
      </c>
      <c r="E251" s="347">
        <v>1000</v>
      </c>
    </row>
    <row r="252" ht="21.75" customHeight="1"/>
    <row r="253" spans="1:5" ht="31.5" customHeight="1">
      <c r="A253" s="402" t="s">
        <v>913</v>
      </c>
      <c r="B253" s="404"/>
      <c r="C253" s="404"/>
      <c r="D253" s="404"/>
      <c r="E253" s="404"/>
    </row>
    <row r="254" spans="1:5" s="360" customFormat="1" ht="14.25">
      <c r="A254" s="357"/>
      <c r="B254" s="358" t="s">
        <v>823</v>
      </c>
      <c r="C254" s="359">
        <v>4043066</v>
      </c>
      <c r="D254" s="359">
        <v>15000</v>
      </c>
      <c r="E254" s="359">
        <v>4058066</v>
      </c>
    </row>
    <row r="255" spans="1:5" ht="14.25">
      <c r="A255" s="354"/>
      <c r="B255" s="358" t="s">
        <v>822</v>
      </c>
      <c r="C255" s="359">
        <v>3624064</v>
      </c>
      <c r="D255" s="359">
        <v>0</v>
      </c>
      <c r="E255" s="359">
        <v>3624064</v>
      </c>
    </row>
    <row r="256" spans="1:5" ht="14.25">
      <c r="A256" s="354"/>
      <c r="B256" s="358" t="s">
        <v>821</v>
      </c>
      <c r="C256" s="359">
        <v>402988</v>
      </c>
      <c r="D256" s="359">
        <v>15000</v>
      </c>
      <c r="E256" s="359">
        <v>417988</v>
      </c>
    </row>
    <row r="257" spans="1:5" ht="14.25">
      <c r="A257" s="354"/>
      <c r="B257" s="358" t="s">
        <v>818</v>
      </c>
      <c r="C257" s="359">
        <v>13514</v>
      </c>
      <c r="D257" s="359">
        <v>0</v>
      </c>
      <c r="E257" s="359">
        <v>13514</v>
      </c>
    </row>
    <row r="258" spans="1:5" ht="14.25">
      <c r="A258" s="354"/>
      <c r="B258" s="358" t="s">
        <v>817</v>
      </c>
      <c r="C258" s="359">
        <v>2500</v>
      </c>
      <c r="D258" s="359">
        <v>0</v>
      </c>
      <c r="E258" s="359">
        <v>2500</v>
      </c>
    </row>
    <row r="260" spans="1:5" ht="15.75" customHeight="1">
      <c r="A260" s="400" t="s">
        <v>912</v>
      </c>
      <c r="B260" s="401"/>
      <c r="C260" s="401"/>
      <c r="D260" s="401"/>
      <c r="E260" s="401"/>
    </row>
    <row r="261" spans="2:5" s="360" customFormat="1" ht="14.25">
      <c r="B261" s="361" t="s">
        <v>823</v>
      </c>
      <c r="C261" s="362">
        <v>4043066</v>
      </c>
      <c r="D261" s="362">
        <v>15000</v>
      </c>
      <c r="E261" s="362">
        <v>4058066</v>
      </c>
    </row>
    <row r="262" spans="2:5" ht="15">
      <c r="B262" s="349" t="s">
        <v>822</v>
      </c>
      <c r="C262" s="347">
        <v>3624064</v>
      </c>
      <c r="D262" s="347">
        <v>0</v>
      </c>
      <c r="E262" s="347">
        <v>3624064</v>
      </c>
    </row>
    <row r="263" spans="2:5" ht="15">
      <c r="B263" s="349" t="s">
        <v>821</v>
      </c>
      <c r="C263" s="347">
        <v>402988</v>
      </c>
      <c r="D263" s="347">
        <v>15000</v>
      </c>
      <c r="E263" s="347">
        <v>417988</v>
      </c>
    </row>
    <row r="264" spans="2:5" ht="15">
      <c r="B264" s="349" t="s">
        <v>818</v>
      </c>
      <c r="C264" s="347">
        <v>13514</v>
      </c>
      <c r="D264" s="347">
        <v>0</v>
      </c>
      <c r="E264" s="347">
        <v>13514</v>
      </c>
    </row>
    <row r="265" spans="2:5" ht="15">
      <c r="B265" s="349" t="s">
        <v>817</v>
      </c>
      <c r="C265" s="347">
        <v>2500</v>
      </c>
      <c r="D265" s="347">
        <v>0</v>
      </c>
      <c r="E265" s="347">
        <v>2500</v>
      </c>
    </row>
    <row r="266" ht="20.25" customHeight="1"/>
    <row r="267" spans="1:5" ht="31.5" customHeight="1">
      <c r="A267" s="402" t="s">
        <v>911</v>
      </c>
      <c r="B267" s="404"/>
      <c r="C267" s="404"/>
      <c r="D267" s="404"/>
      <c r="E267" s="404"/>
    </row>
    <row r="268" spans="1:5" ht="14.25">
      <c r="A268" s="357"/>
      <c r="B268" s="358" t="s">
        <v>823</v>
      </c>
      <c r="C268" s="359">
        <v>1797448</v>
      </c>
      <c r="D268" s="359">
        <v>-18469</v>
      </c>
      <c r="E268" s="359">
        <v>1778979</v>
      </c>
    </row>
    <row r="269" spans="1:5" ht="14.25">
      <c r="A269" s="357"/>
      <c r="B269" s="358" t="s">
        <v>822</v>
      </c>
      <c r="C269" s="359">
        <v>803014</v>
      </c>
      <c r="D269" s="359">
        <v>-18469</v>
      </c>
      <c r="E269" s="359">
        <v>784545</v>
      </c>
    </row>
    <row r="270" spans="1:5" ht="14.25">
      <c r="A270" s="357"/>
      <c r="B270" s="358" t="s">
        <v>821</v>
      </c>
      <c r="C270" s="359">
        <v>861631</v>
      </c>
      <c r="D270" s="359">
        <v>-3630</v>
      </c>
      <c r="E270" s="359">
        <v>858001</v>
      </c>
    </row>
    <row r="271" spans="1:5" ht="14.25">
      <c r="A271" s="357"/>
      <c r="B271" s="358" t="s">
        <v>818</v>
      </c>
      <c r="C271" s="359">
        <v>132803</v>
      </c>
      <c r="D271" s="359">
        <v>3630</v>
      </c>
      <c r="E271" s="359">
        <v>136433</v>
      </c>
    </row>
    <row r="273" spans="1:5" ht="15.75" customHeight="1">
      <c r="A273" s="400" t="s">
        <v>910</v>
      </c>
      <c r="B273" s="401"/>
      <c r="C273" s="401"/>
      <c r="D273" s="401"/>
      <c r="E273" s="401"/>
    </row>
    <row r="274" spans="2:5" s="360" customFormat="1" ht="14.25">
      <c r="B274" s="361" t="s">
        <v>823</v>
      </c>
      <c r="C274" s="362">
        <v>698661</v>
      </c>
      <c r="D274" s="362">
        <v>0</v>
      </c>
      <c r="E274" s="362">
        <v>698661</v>
      </c>
    </row>
    <row r="275" spans="2:5" ht="15">
      <c r="B275" s="349" t="s">
        <v>821</v>
      </c>
      <c r="C275" s="347">
        <v>647861</v>
      </c>
      <c r="D275" s="347">
        <v>0</v>
      </c>
      <c r="E275" s="347">
        <v>647861</v>
      </c>
    </row>
    <row r="276" spans="2:5" ht="15">
      <c r="B276" s="349" t="s">
        <v>818</v>
      </c>
      <c r="C276" s="347">
        <v>50800</v>
      </c>
      <c r="D276" s="347">
        <v>0</v>
      </c>
      <c r="E276" s="347">
        <v>50800</v>
      </c>
    </row>
    <row r="278" spans="1:5" ht="15.75" customHeight="1">
      <c r="A278" s="400" t="s">
        <v>909</v>
      </c>
      <c r="B278" s="401"/>
      <c r="C278" s="401"/>
      <c r="D278" s="401"/>
      <c r="E278" s="401"/>
    </row>
    <row r="279" spans="2:5" s="360" customFormat="1" ht="14.25">
      <c r="B279" s="361" t="s">
        <v>823</v>
      </c>
      <c r="C279" s="362">
        <v>738453</v>
      </c>
      <c r="D279" s="362">
        <v>-18469</v>
      </c>
      <c r="E279" s="362">
        <v>719984</v>
      </c>
    </row>
    <row r="280" spans="2:5" ht="15">
      <c r="B280" s="349" t="s">
        <v>822</v>
      </c>
      <c r="C280" s="347">
        <v>582040</v>
      </c>
      <c r="D280" s="347">
        <v>-18469</v>
      </c>
      <c r="E280" s="347">
        <v>563571</v>
      </c>
    </row>
    <row r="281" spans="2:5" ht="15">
      <c r="B281" s="349" t="s">
        <v>821</v>
      </c>
      <c r="C281" s="347">
        <v>144410</v>
      </c>
      <c r="D281" s="347">
        <v>-3630</v>
      </c>
      <c r="E281" s="347">
        <v>140780</v>
      </c>
    </row>
    <row r="282" spans="2:5" ht="15">
      <c r="B282" s="349" t="s">
        <v>818</v>
      </c>
      <c r="C282" s="347">
        <v>12003</v>
      </c>
      <c r="D282" s="347">
        <v>3630</v>
      </c>
      <c r="E282" s="347">
        <v>15633</v>
      </c>
    </row>
    <row r="284" spans="1:5" ht="15.75" customHeight="1">
      <c r="A284" s="400" t="s">
        <v>908</v>
      </c>
      <c r="B284" s="401"/>
      <c r="C284" s="401"/>
      <c r="D284" s="401"/>
      <c r="E284" s="401"/>
    </row>
    <row r="285" spans="2:5" s="360" customFormat="1" ht="14.25">
      <c r="B285" s="361" t="s">
        <v>823</v>
      </c>
      <c r="C285" s="362">
        <v>176274</v>
      </c>
      <c r="D285" s="362">
        <v>0</v>
      </c>
      <c r="E285" s="362">
        <v>176274</v>
      </c>
    </row>
    <row r="286" spans="2:5" ht="15">
      <c r="B286" s="349" t="s">
        <v>822</v>
      </c>
      <c r="C286" s="347">
        <v>165574</v>
      </c>
      <c r="D286" s="347">
        <v>0</v>
      </c>
      <c r="E286" s="347">
        <v>165574</v>
      </c>
    </row>
    <row r="287" spans="2:5" ht="15">
      <c r="B287" s="349" t="s">
        <v>821</v>
      </c>
      <c r="C287" s="347">
        <v>10700</v>
      </c>
      <c r="D287" s="347">
        <v>0</v>
      </c>
      <c r="E287" s="347">
        <v>10700</v>
      </c>
    </row>
    <row r="289" spans="1:5" ht="15.75" customHeight="1">
      <c r="A289" s="400" t="s">
        <v>907</v>
      </c>
      <c r="B289" s="401"/>
      <c r="C289" s="401"/>
      <c r="D289" s="401"/>
      <c r="E289" s="401"/>
    </row>
    <row r="290" spans="2:5" s="360" customFormat="1" ht="14.25">
      <c r="B290" s="361" t="s">
        <v>823</v>
      </c>
      <c r="C290" s="362">
        <v>49724</v>
      </c>
      <c r="D290" s="362">
        <v>0</v>
      </c>
      <c r="E290" s="362">
        <v>49724</v>
      </c>
    </row>
    <row r="291" spans="2:5" ht="15">
      <c r="B291" s="349" t="s">
        <v>822</v>
      </c>
      <c r="C291" s="347">
        <v>24500</v>
      </c>
      <c r="D291" s="347">
        <v>0</v>
      </c>
      <c r="E291" s="347">
        <v>24500</v>
      </c>
    </row>
    <row r="292" spans="2:5" ht="15">
      <c r="B292" s="349" t="s">
        <v>821</v>
      </c>
      <c r="C292" s="347">
        <v>25224</v>
      </c>
      <c r="D292" s="347">
        <v>0</v>
      </c>
      <c r="E292" s="347">
        <v>25224</v>
      </c>
    </row>
    <row r="294" spans="1:5" ht="15.75" customHeight="1">
      <c r="A294" s="400" t="s">
        <v>906</v>
      </c>
      <c r="B294" s="401"/>
      <c r="C294" s="401"/>
      <c r="D294" s="401"/>
      <c r="E294" s="401"/>
    </row>
    <row r="295" spans="2:5" s="360" customFormat="1" ht="14.25">
      <c r="B295" s="361" t="s">
        <v>823</v>
      </c>
      <c r="C295" s="362">
        <v>134336</v>
      </c>
      <c r="D295" s="362">
        <v>0</v>
      </c>
      <c r="E295" s="362">
        <v>134336</v>
      </c>
    </row>
    <row r="296" spans="2:5" ht="15">
      <c r="B296" s="349" t="s">
        <v>822</v>
      </c>
      <c r="C296" s="347">
        <v>30900</v>
      </c>
      <c r="D296" s="347">
        <v>0</v>
      </c>
      <c r="E296" s="347">
        <v>30900</v>
      </c>
    </row>
    <row r="297" spans="2:5" ht="15">
      <c r="B297" s="349" t="s">
        <v>821</v>
      </c>
      <c r="C297" s="347">
        <v>33436</v>
      </c>
      <c r="D297" s="347">
        <v>0</v>
      </c>
      <c r="E297" s="347">
        <v>33436</v>
      </c>
    </row>
    <row r="298" spans="2:5" ht="15">
      <c r="B298" s="349" t="s">
        <v>818</v>
      </c>
      <c r="C298" s="347">
        <v>70000</v>
      </c>
      <c r="D298" s="347">
        <v>0</v>
      </c>
      <c r="E298" s="347">
        <v>70000</v>
      </c>
    </row>
    <row r="300" spans="1:5" ht="31.5" customHeight="1">
      <c r="A300" s="402" t="s">
        <v>905</v>
      </c>
      <c r="B300" s="404"/>
      <c r="C300" s="404"/>
      <c r="D300" s="404"/>
      <c r="E300" s="404"/>
    </row>
    <row r="301" spans="1:5" s="360" customFormat="1" ht="14.25">
      <c r="A301" s="357"/>
      <c r="B301" s="358" t="s">
        <v>823</v>
      </c>
      <c r="C301" s="359">
        <v>734409</v>
      </c>
      <c r="D301" s="359">
        <v>0</v>
      </c>
      <c r="E301" s="359">
        <v>734409</v>
      </c>
    </row>
    <row r="302" spans="1:5" ht="15">
      <c r="A302" s="354"/>
      <c r="B302" s="355" t="s">
        <v>822</v>
      </c>
      <c r="C302" s="356">
        <v>490596</v>
      </c>
      <c r="D302" s="356">
        <v>0</v>
      </c>
      <c r="E302" s="356">
        <v>490596</v>
      </c>
    </row>
    <row r="303" spans="1:5" ht="15">
      <c r="A303" s="354"/>
      <c r="B303" s="355" t="s">
        <v>821</v>
      </c>
      <c r="C303" s="356">
        <v>219533</v>
      </c>
      <c r="D303" s="356">
        <v>0</v>
      </c>
      <c r="E303" s="356">
        <v>219533</v>
      </c>
    </row>
    <row r="304" spans="1:5" ht="15">
      <c r="A304" s="354"/>
      <c r="B304" s="355" t="s">
        <v>818</v>
      </c>
      <c r="C304" s="356">
        <v>24280</v>
      </c>
      <c r="D304" s="356">
        <v>0</v>
      </c>
      <c r="E304" s="356">
        <v>24280</v>
      </c>
    </row>
    <row r="306" spans="1:5" ht="15.75" customHeight="1">
      <c r="A306" s="400" t="s">
        <v>904</v>
      </c>
      <c r="B306" s="401"/>
      <c r="C306" s="401"/>
      <c r="D306" s="401"/>
      <c r="E306" s="401"/>
    </row>
    <row r="307" spans="2:5" s="360" customFormat="1" ht="14.25">
      <c r="B307" s="361" t="s">
        <v>823</v>
      </c>
      <c r="C307" s="362">
        <v>734409</v>
      </c>
      <c r="D307" s="362">
        <v>0</v>
      </c>
      <c r="E307" s="362">
        <v>734409</v>
      </c>
    </row>
    <row r="308" spans="2:5" ht="15">
      <c r="B308" s="349" t="s">
        <v>822</v>
      </c>
      <c r="C308" s="347">
        <v>490596</v>
      </c>
      <c r="D308" s="347">
        <v>0</v>
      </c>
      <c r="E308" s="347">
        <v>490596</v>
      </c>
    </row>
    <row r="309" spans="2:5" ht="15">
      <c r="B309" s="349" t="s">
        <v>821</v>
      </c>
      <c r="C309" s="347">
        <v>219533</v>
      </c>
      <c r="D309" s="347">
        <v>0</v>
      </c>
      <c r="E309" s="347">
        <v>219533</v>
      </c>
    </row>
    <row r="310" spans="2:5" ht="15">
      <c r="B310" s="349" t="s">
        <v>818</v>
      </c>
      <c r="C310" s="347">
        <v>24280</v>
      </c>
      <c r="D310" s="347">
        <v>0</v>
      </c>
      <c r="E310" s="347">
        <v>24280</v>
      </c>
    </row>
    <row r="311" ht="23.25" customHeight="1"/>
    <row r="312" spans="1:5" ht="20.25" customHeight="1">
      <c r="A312" s="402" t="s">
        <v>903</v>
      </c>
      <c r="B312" s="404"/>
      <c r="C312" s="404"/>
      <c r="D312" s="404"/>
      <c r="E312" s="404"/>
    </row>
    <row r="313" spans="1:5" ht="14.25">
      <c r="A313" s="357"/>
      <c r="B313" s="358" t="s">
        <v>823</v>
      </c>
      <c r="C313" s="359">
        <v>7844362</v>
      </c>
      <c r="D313" s="359">
        <v>2639858</v>
      </c>
      <c r="E313" s="359">
        <v>10484220</v>
      </c>
    </row>
    <row r="314" spans="1:5" ht="14.25">
      <c r="A314" s="357"/>
      <c r="B314" s="358" t="s">
        <v>822</v>
      </c>
      <c r="C314" s="359">
        <v>1006007</v>
      </c>
      <c r="D314" s="359">
        <v>0</v>
      </c>
      <c r="E314" s="359">
        <v>1006007</v>
      </c>
    </row>
    <row r="315" spans="1:5" ht="14.25">
      <c r="A315" s="357"/>
      <c r="B315" s="358" t="s">
        <v>821</v>
      </c>
      <c r="C315" s="359">
        <v>6350909</v>
      </c>
      <c r="D315" s="359">
        <v>230154</v>
      </c>
      <c r="E315" s="359">
        <v>6581063</v>
      </c>
    </row>
    <row r="316" spans="1:5" ht="14.25">
      <c r="A316" s="357"/>
      <c r="B316" s="358" t="s">
        <v>820</v>
      </c>
      <c r="C316" s="359">
        <v>140000</v>
      </c>
      <c r="D316" s="359">
        <v>0</v>
      </c>
      <c r="E316" s="359">
        <v>140000</v>
      </c>
    </row>
    <row r="317" spans="1:5" ht="14.25">
      <c r="A317" s="357"/>
      <c r="B317" s="358" t="s">
        <v>818</v>
      </c>
      <c r="C317" s="359">
        <v>318646</v>
      </c>
      <c r="D317" s="359">
        <v>2409704</v>
      </c>
      <c r="E317" s="359">
        <v>2728350</v>
      </c>
    </row>
    <row r="318" spans="1:5" ht="14.25">
      <c r="A318" s="357"/>
      <c r="B318" s="358" t="s">
        <v>817</v>
      </c>
      <c r="C318" s="359">
        <v>28800</v>
      </c>
      <c r="D318" s="359">
        <v>0</v>
      </c>
      <c r="E318" s="359">
        <v>28800</v>
      </c>
    </row>
    <row r="320" spans="1:5" ht="15.75" customHeight="1">
      <c r="A320" s="400" t="s">
        <v>902</v>
      </c>
      <c r="B320" s="401"/>
      <c r="C320" s="401"/>
      <c r="D320" s="401"/>
      <c r="E320" s="401"/>
    </row>
    <row r="321" spans="2:5" s="360" customFormat="1" ht="14.25">
      <c r="B321" s="361" t="s">
        <v>823</v>
      </c>
      <c r="C321" s="362">
        <v>1930642</v>
      </c>
      <c r="D321" s="362">
        <v>131210</v>
      </c>
      <c r="E321" s="362">
        <v>2061852</v>
      </c>
    </row>
    <row r="322" spans="2:5" ht="15">
      <c r="B322" s="349" t="s">
        <v>822</v>
      </c>
      <c r="C322" s="347">
        <v>85000</v>
      </c>
      <c r="D322" s="347">
        <v>0</v>
      </c>
      <c r="E322" s="347">
        <v>85000</v>
      </c>
    </row>
    <row r="323" spans="2:5" ht="15">
      <c r="B323" s="349" t="s">
        <v>821</v>
      </c>
      <c r="C323" s="347">
        <v>1714149</v>
      </c>
      <c r="D323" s="347">
        <v>0</v>
      </c>
      <c r="E323" s="347">
        <v>1714149</v>
      </c>
    </row>
    <row r="324" spans="2:5" ht="15">
      <c r="B324" s="349" t="s">
        <v>818</v>
      </c>
      <c r="C324" s="347">
        <v>131493</v>
      </c>
      <c r="D324" s="347">
        <v>131210</v>
      </c>
      <c r="E324" s="347">
        <v>262703</v>
      </c>
    </row>
    <row r="326" spans="1:5" ht="15.75" customHeight="1">
      <c r="A326" s="400" t="s">
        <v>901</v>
      </c>
      <c r="B326" s="401"/>
      <c r="C326" s="401"/>
      <c r="D326" s="401"/>
      <c r="E326" s="401"/>
    </row>
    <row r="327" spans="2:5" s="360" customFormat="1" ht="14.25">
      <c r="B327" s="361" t="s">
        <v>823</v>
      </c>
      <c r="C327" s="362">
        <v>0</v>
      </c>
      <c r="D327" s="362">
        <v>2000000</v>
      </c>
      <c r="E327" s="362">
        <v>2000000</v>
      </c>
    </row>
    <row r="328" spans="2:5" ht="15">
      <c r="B328" s="349" t="s">
        <v>818</v>
      </c>
      <c r="C328" s="347">
        <v>0</v>
      </c>
      <c r="D328" s="347">
        <v>2000000</v>
      </c>
      <c r="E328" s="347">
        <v>2000000</v>
      </c>
    </row>
    <row r="330" spans="1:5" ht="15.75" customHeight="1">
      <c r="A330" s="400" t="s">
        <v>900</v>
      </c>
      <c r="B330" s="401"/>
      <c r="C330" s="401"/>
      <c r="D330" s="401"/>
      <c r="E330" s="401"/>
    </row>
    <row r="331" spans="2:5" s="360" customFormat="1" ht="14.25">
      <c r="B331" s="361" t="s">
        <v>823</v>
      </c>
      <c r="C331" s="362">
        <v>1612428</v>
      </c>
      <c r="D331" s="362">
        <v>78000</v>
      </c>
      <c r="E331" s="362">
        <v>1690428</v>
      </c>
    </row>
    <row r="332" spans="2:5" ht="15">
      <c r="B332" s="349" t="s">
        <v>821</v>
      </c>
      <c r="C332" s="347">
        <v>1612428</v>
      </c>
      <c r="D332" s="347">
        <v>78000</v>
      </c>
      <c r="E332" s="347">
        <v>1690428</v>
      </c>
    </row>
    <row r="334" spans="1:5" ht="15.75" customHeight="1">
      <c r="A334" s="400" t="s">
        <v>899</v>
      </c>
      <c r="B334" s="401"/>
      <c r="C334" s="401"/>
      <c r="D334" s="401"/>
      <c r="E334" s="401"/>
    </row>
    <row r="335" spans="2:5" s="360" customFormat="1" ht="14.25">
      <c r="B335" s="361" t="s">
        <v>823</v>
      </c>
      <c r="C335" s="362">
        <v>568399</v>
      </c>
      <c r="D335" s="362">
        <v>-19740</v>
      </c>
      <c r="E335" s="362">
        <v>548659</v>
      </c>
    </row>
    <row r="336" spans="2:5" ht="15">
      <c r="B336" s="349" t="s">
        <v>821</v>
      </c>
      <c r="C336" s="347">
        <v>568399</v>
      </c>
      <c r="D336" s="347">
        <v>-19740</v>
      </c>
      <c r="E336" s="347">
        <v>548659</v>
      </c>
    </row>
    <row r="338" spans="1:5" ht="15.75" customHeight="1">
      <c r="A338" s="400" t="s">
        <v>898</v>
      </c>
      <c r="B338" s="401"/>
      <c r="C338" s="401"/>
      <c r="D338" s="401"/>
      <c r="E338" s="401"/>
    </row>
    <row r="339" spans="2:5" s="360" customFormat="1" ht="14.25">
      <c r="B339" s="361" t="s">
        <v>823</v>
      </c>
      <c r="C339" s="362">
        <v>641494</v>
      </c>
      <c r="D339" s="362">
        <v>5000</v>
      </c>
      <c r="E339" s="362">
        <v>646494</v>
      </c>
    </row>
    <row r="340" spans="2:5" ht="15">
      <c r="B340" s="349" t="s">
        <v>821</v>
      </c>
      <c r="C340" s="347">
        <v>641494</v>
      </c>
      <c r="D340" s="347">
        <v>-9477</v>
      </c>
      <c r="E340" s="347">
        <v>632017</v>
      </c>
    </row>
    <row r="341" spans="2:5" ht="15">
      <c r="B341" s="349" t="s">
        <v>818</v>
      </c>
      <c r="C341" s="347">
        <v>0</v>
      </c>
      <c r="D341" s="347">
        <v>14477</v>
      </c>
      <c r="E341" s="347">
        <v>14477</v>
      </c>
    </row>
    <row r="343" spans="1:5" ht="33.75" customHeight="1">
      <c r="A343" s="400" t="s">
        <v>897</v>
      </c>
      <c r="B343" s="401"/>
      <c r="C343" s="401"/>
      <c r="D343" s="401"/>
      <c r="E343" s="401"/>
    </row>
    <row r="344" spans="2:5" s="360" customFormat="1" ht="14.25">
      <c r="B344" s="361" t="s">
        <v>823</v>
      </c>
      <c r="C344" s="362">
        <v>0</v>
      </c>
      <c r="D344" s="362">
        <v>254691</v>
      </c>
      <c r="E344" s="362">
        <v>254691</v>
      </c>
    </row>
    <row r="345" spans="2:5" ht="15">
      <c r="B345" s="349" t="s">
        <v>818</v>
      </c>
      <c r="C345" s="347">
        <v>0</v>
      </c>
      <c r="D345" s="347">
        <v>254691</v>
      </c>
      <c r="E345" s="347">
        <v>254691</v>
      </c>
    </row>
    <row r="347" spans="1:5" ht="15.75" customHeight="1">
      <c r="A347" s="400" t="s">
        <v>896</v>
      </c>
      <c r="B347" s="401"/>
      <c r="C347" s="401"/>
      <c r="D347" s="401"/>
      <c r="E347" s="401"/>
    </row>
    <row r="348" spans="2:5" s="360" customFormat="1" ht="14.25">
      <c r="B348" s="361" t="s">
        <v>823</v>
      </c>
      <c r="C348" s="362">
        <v>1047878</v>
      </c>
      <c r="D348" s="362">
        <v>8000</v>
      </c>
      <c r="E348" s="362">
        <v>1055878</v>
      </c>
    </row>
    <row r="349" spans="2:5" ht="15">
      <c r="B349" s="349" t="s">
        <v>822</v>
      </c>
      <c r="C349" s="347">
        <v>919207</v>
      </c>
      <c r="D349" s="347">
        <v>0</v>
      </c>
      <c r="E349" s="347">
        <v>919207</v>
      </c>
    </row>
    <row r="350" spans="2:5" ht="15">
      <c r="B350" s="349" t="s">
        <v>821</v>
      </c>
      <c r="C350" s="347">
        <v>126671</v>
      </c>
      <c r="D350" s="347">
        <v>-1326</v>
      </c>
      <c r="E350" s="347">
        <v>125345</v>
      </c>
    </row>
    <row r="351" spans="2:5" ht="15">
      <c r="B351" s="349" t="s">
        <v>818</v>
      </c>
      <c r="C351" s="347">
        <v>2000</v>
      </c>
      <c r="D351" s="347">
        <v>9326</v>
      </c>
      <c r="E351" s="347">
        <v>11326</v>
      </c>
    </row>
    <row r="353" spans="1:5" ht="15.75" customHeight="1">
      <c r="A353" s="400" t="s">
        <v>895</v>
      </c>
      <c r="B353" s="401"/>
      <c r="C353" s="401"/>
      <c r="D353" s="401"/>
      <c r="E353" s="401"/>
    </row>
    <row r="354" spans="2:5" s="360" customFormat="1" ht="14.25">
      <c r="B354" s="361" t="s">
        <v>823</v>
      </c>
      <c r="C354" s="362">
        <v>1989721</v>
      </c>
      <c r="D354" s="362">
        <v>182697</v>
      </c>
      <c r="E354" s="362">
        <v>2172418</v>
      </c>
    </row>
    <row r="355" spans="2:5" ht="15">
      <c r="B355" s="349" t="s">
        <v>821</v>
      </c>
      <c r="C355" s="347">
        <v>1659768</v>
      </c>
      <c r="D355" s="347">
        <v>182697</v>
      </c>
      <c r="E355" s="347">
        <v>1842465</v>
      </c>
    </row>
    <row r="356" spans="2:5" ht="15">
      <c r="B356" s="349" t="s">
        <v>820</v>
      </c>
      <c r="C356" s="347">
        <v>140000</v>
      </c>
      <c r="D356" s="347">
        <v>0</v>
      </c>
      <c r="E356" s="347">
        <v>140000</v>
      </c>
    </row>
    <row r="357" spans="2:5" ht="15">
      <c r="B357" s="349" t="s">
        <v>818</v>
      </c>
      <c r="C357" s="347">
        <v>185153</v>
      </c>
      <c r="D357" s="347">
        <v>0</v>
      </c>
      <c r="E357" s="347">
        <v>185153</v>
      </c>
    </row>
    <row r="358" spans="2:5" ht="15">
      <c r="B358" s="349" t="s">
        <v>817</v>
      </c>
      <c r="C358" s="347">
        <v>4800</v>
      </c>
      <c r="D358" s="347">
        <v>0</v>
      </c>
      <c r="E358" s="347">
        <v>4800</v>
      </c>
    </row>
    <row r="360" spans="1:5" ht="15.75" customHeight="1">
      <c r="A360" s="400" t="s">
        <v>894</v>
      </c>
      <c r="B360" s="401"/>
      <c r="C360" s="401"/>
      <c r="D360" s="401"/>
      <c r="E360" s="401"/>
    </row>
    <row r="361" spans="2:5" s="360" customFormat="1" ht="14.25">
      <c r="B361" s="361" t="s">
        <v>823</v>
      </c>
      <c r="C361" s="362">
        <v>53800</v>
      </c>
      <c r="D361" s="362">
        <v>0</v>
      </c>
      <c r="E361" s="362">
        <v>53800</v>
      </c>
    </row>
    <row r="362" spans="2:5" ht="15">
      <c r="B362" s="349" t="s">
        <v>822</v>
      </c>
      <c r="C362" s="347">
        <v>1800</v>
      </c>
      <c r="D362" s="347">
        <v>0</v>
      </c>
      <c r="E362" s="347">
        <v>1800</v>
      </c>
    </row>
    <row r="363" spans="2:5" ht="15">
      <c r="B363" s="349" t="s">
        <v>821</v>
      </c>
      <c r="C363" s="347">
        <v>28000</v>
      </c>
      <c r="D363" s="347">
        <v>0</v>
      </c>
      <c r="E363" s="347">
        <v>28000</v>
      </c>
    </row>
    <row r="364" spans="2:5" ht="15">
      <c r="B364" s="349" t="s">
        <v>817</v>
      </c>
      <c r="C364" s="347">
        <v>24000</v>
      </c>
      <c r="D364" s="347">
        <v>0</v>
      </c>
      <c r="E364" s="347">
        <v>24000</v>
      </c>
    </row>
    <row r="366" spans="1:5" ht="22.5" customHeight="1">
      <c r="A366" s="402" t="s">
        <v>893</v>
      </c>
      <c r="B366" s="403"/>
      <c r="C366" s="403"/>
      <c r="D366" s="403"/>
      <c r="E366" s="403"/>
    </row>
    <row r="367" spans="1:5" ht="14.25">
      <c r="A367" s="357"/>
      <c r="B367" s="358" t="s">
        <v>823</v>
      </c>
      <c r="C367" s="359">
        <v>4406792</v>
      </c>
      <c r="D367" s="359">
        <v>60724</v>
      </c>
      <c r="E367" s="359">
        <v>4467516</v>
      </c>
    </row>
    <row r="368" spans="1:5" ht="14.25">
      <c r="A368" s="357"/>
      <c r="B368" s="358" t="s">
        <v>822</v>
      </c>
      <c r="C368" s="359">
        <v>1824147</v>
      </c>
      <c r="D368" s="359">
        <v>0</v>
      </c>
      <c r="E368" s="359">
        <v>1824147</v>
      </c>
    </row>
    <row r="369" spans="1:5" ht="14.25">
      <c r="A369" s="357"/>
      <c r="B369" s="358" t="s">
        <v>821</v>
      </c>
      <c r="C369" s="359">
        <v>2007320</v>
      </c>
      <c r="D369" s="359">
        <v>60724</v>
      </c>
      <c r="E369" s="359">
        <v>2068044</v>
      </c>
    </row>
    <row r="370" spans="1:5" ht="14.25">
      <c r="A370" s="357"/>
      <c r="B370" s="358" t="s">
        <v>820</v>
      </c>
      <c r="C370" s="359">
        <v>512375</v>
      </c>
      <c r="D370" s="359">
        <v>0</v>
      </c>
      <c r="E370" s="359">
        <v>512375</v>
      </c>
    </row>
    <row r="371" spans="1:5" ht="14.25">
      <c r="A371" s="357"/>
      <c r="B371" s="358" t="s">
        <v>818</v>
      </c>
      <c r="C371" s="359">
        <v>56950</v>
      </c>
      <c r="D371" s="359">
        <v>0</v>
      </c>
      <c r="E371" s="359">
        <v>56950</v>
      </c>
    </row>
    <row r="372" spans="1:5" ht="14.25">
      <c r="A372" s="357"/>
      <c r="B372" s="358" t="s">
        <v>817</v>
      </c>
      <c r="C372" s="359">
        <v>6000</v>
      </c>
      <c r="D372" s="359">
        <v>0</v>
      </c>
      <c r="E372" s="359">
        <v>6000</v>
      </c>
    </row>
    <row r="374" spans="1:5" ht="15.75" customHeight="1">
      <c r="A374" s="400" t="s">
        <v>892</v>
      </c>
      <c r="B374" s="401"/>
      <c r="C374" s="401"/>
      <c r="D374" s="401"/>
      <c r="E374" s="401"/>
    </row>
    <row r="375" spans="2:5" s="360" customFormat="1" ht="14.25">
      <c r="B375" s="361" t="s">
        <v>823</v>
      </c>
      <c r="C375" s="362">
        <v>599215</v>
      </c>
      <c r="D375" s="362">
        <v>60000</v>
      </c>
      <c r="E375" s="362">
        <v>659215</v>
      </c>
    </row>
    <row r="376" spans="2:5" ht="15">
      <c r="B376" s="349" t="s">
        <v>822</v>
      </c>
      <c r="C376" s="347">
        <v>360565</v>
      </c>
      <c r="D376" s="347">
        <v>0</v>
      </c>
      <c r="E376" s="347">
        <v>360565</v>
      </c>
    </row>
    <row r="377" spans="2:5" ht="15">
      <c r="B377" s="349" t="s">
        <v>821</v>
      </c>
      <c r="C377" s="347">
        <v>233650</v>
      </c>
      <c r="D377" s="347">
        <v>60000</v>
      </c>
      <c r="E377" s="347">
        <v>293650</v>
      </c>
    </row>
    <row r="378" spans="2:5" ht="15">
      <c r="B378" s="349" t="s">
        <v>818</v>
      </c>
      <c r="C378" s="347">
        <v>5000</v>
      </c>
      <c r="D378" s="347">
        <v>0</v>
      </c>
      <c r="E378" s="347">
        <v>5000</v>
      </c>
    </row>
    <row r="380" spans="1:5" ht="15.75" customHeight="1">
      <c r="A380" s="400" t="s">
        <v>891</v>
      </c>
      <c r="B380" s="401"/>
      <c r="C380" s="401"/>
      <c r="D380" s="401"/>
      <c r="E380" s="401"/>
    </row>
    <row r="381" spans="2:5" s="360" customFormat="1" ht="14.25">
      <c r="B381" s="361" t="s">
        <v>823</v>
      </c>
      <c r="C381" s="362">
        <v>685970</v>
      </c>
      <c r="D381" s="362">
        <v>0</v>
      </c>
      <c r="E381" s="362">
        <v>685970</v>
      </c>
    </row>
    <row r="382" spans="2:5" ht="15">
      <c r="B382" s="349" t="s">
        <v>821</v>
      </c>
      <c r="C382" s="347">
        <v>167595</v>
      </c>
      <c r="D382" s="347">
        <v>0</v>
      </c>
      <c r="E382" s="347">
        <v>167595</v>
      </c>
    </row>
    <row r="383" spans="2:5" ht="15">
      <c r="B383" s="349" t="s">
        <v>820</v>
      </c>
      <c r="C383" s="347">
        <v>512375</v>
      </c>
      <c r="D383" s="347">
        <v>0</v>
      </c>
      <c r="E383" s="347">
        <v>512375</v>
      </c>
    </row>
    <row r="384" spans="2:5" ht="15">
      <c r="B384" s="349" t="s">
        <v>817</v>
      </c>
      <c r="C384" s="347">
        <v>6000</v>
      </c>
      <c r="D384" s="347">
        <v>0</v>
      </c>
      <c r="E384" s="347">
        <v>6000</v>
      </c>
    </row>
    <row r="386" spans="1:5" ht="15.75" customHeight="1">
      <c r="A386" s="400" t="s">
        <v>890</v>
      </c>
      <c r="B386" s="401"/>
      <c r="C386" s="401"/>
      <c r="D386" s="401"/>
      <c r="E386" s="401"/>
    </row>
    <row r="387" spans="2:5" s="360" customFormat="1" ht="14.25">
      <c r="B387" s="361" t="s">
        <v>823</v>
      </c>
      <c r="C387" s="362">
        <v>3121607</v>
      </c>
      <c r="D387" s="362">
        <v>724</v>
      </c>
      <c r="E387" s="362">
        <v>3122331</v>
      </c>
    </row>
    <row r="388" spans="2:5" ht="15">
      <c r="B388" s="349" t="s">
        <v>822</v>
      </c>
      <c r="C388" s="347">
        <v>1463582</v>
      </c>
      <c r="D388" s="347">
        <v>0</v>
      </c>
      <c r="E388" s="347">
        <v>1463582</v>
      </c>
    </row>
    <row r="389" spans="2:5" ht="15">
      <c r="B389" s="349" t="s">
        <v>821</v>
      </c>
      <c r="C389" s="347">
        <v>1606075</v>
      </c>
      <c r="D389" s="347">
        <v>724</v>
      </c>
      <c r="E389" s="347">
        <v>1606799</v>
      </c>
    </row>
    <row r="390" spans="2:5" ht="15">
      <c r="B390" s="349" t="s">
        <v>818</v>
      </c>
      <c r="C390" s="347">
        <v>51950</v>
      </c>
      <c r="D390" s="347">
        <v>0</v>
      </c>
      <c r="E390" s="347">
        <v>51950</v>
      </c>
    </row>
    <row r="392" spans="1:5" ht="15.75" customHeight="1" hidden="1">
      <c r="A392" s="400" t="s">
        <v>889</v>
      </c>
      <c r="B392" s="401"/>
      <c r="C392" s="401"/>
      <c r="D392" s="401"/>
      <c r="E392" s="401"/>
    </row>
    <row r="393" spans="2:5" ht="15" hidden="1">
      <c r="B393" s="349" t="s">
        <v>823</v>
      </c>
      <c r="C393" s="347">
        <v>1298470</v>
      </c>
      <c r="D393" s="347">
        <v>724</v>
      </c>
      <c r="E393" s="347">
        <v>1299194</v>
      </c>
    </row>
    <row r="394" spans="2:5" ht="15" hidden="1">
      <c r="B394" s="349" t="s">
        <v>822</v>
      </c>
      <c r="C394" s="347">
        <v>770965</v>
      </c>
      <c r="D394" s="347">
        <v>0</v>
      </c>
      <c r="E394" s="347">
        <v>770965</v>
      </c>
    </row>
    <row r="395" spans="2:5" ht="15" hidden="1">
      <c r="B395" s="349" t="s">
        <v>821</v>
      </c>
      <c r="C395" s="347">
        <v>475555</v>
      </c>
      <c r="D395" s="347">
        <v>724</v>
      </c>
      <c r="E395" s="347">
        <v>476279</v>
      </c>
    </row>
    <row r="396" spans="2:5" ht="15" hidden="1">
      <c r="B396" s="349" t="s">
        <v>818</v>
      </c>
      <c r="C396" s="347">
        <v>51950</v>
      </c>
      <c r="D396" s="347">
        <v>0</v>
      </c>
      <c r="E396" s="347">
        <v>51950</v>
      </c>
    </row>
    <row r="397" ht="12.75" hidden="1"/>
    <row r="398" spans="1:5" ht="15.75" customHeight="1" hidden="1">
      <c r="A398" s="400" t="s">
        <v>888</v>
      </c>
      <c r="B398" s="401"/>
      <c r="C398" s="401"/>
      <c r="D398" s="401"/>
      <c r="E398" s="401"/>
    </row>
    <row r="399" spans="2:5" ht="15" hidden="1">
      <c r="B399" s="349" t="s">
        <v>823</v>
      </c>
      <c r="C399" s="347">
        <v>670713</v>
      </c>
      <c r="D399" s="347">
        <v>0</v>
      </c>
      <c r="E399" s="347">
        <v>670713</v>
      </c>
    </row>
    <row r="400" spans="2:5" ht="15" hidden="1">
      <c r="B400" s="349" t="s">
        <v>822</v>
      </c>
      <c r="C400" s="347">
        <v>221363</v>
      </c>
      <c r="D400" s="347">
        <v>0</v>
      </c>
      <c r="E400" s="347">
        <v>221363</v>
      </c>
    </row>
    <row r="401" spans="2:5" ht="15" hidden="1">
      <c r="B401" s="349" t="s">
        <v>821</v>
      </c>
      <c r="C401" s="347">
        <v>449350</v>
      </c>
      <c r="D401" s="347">
        <v>0</v>
      </c>
      <c r="E401" s="347">
        <v>449350</v>
      </c>
    </row>
    <row r="402" ht="12.75" hidden="1"/>
    <row r="403" spans="1:5" ht="15.75" customHeight="1" hidden="1">
      <c r="A403" s="400" t="s">
        <v>887</v>
      </c>
      <c r="B403" s="401"/>
      <c r="C403" s="401"/>
      <c r="D403" s="401"/>
      <c r="E403" s="401"/>
    </row>
    <row r="404" spans="2:5" ht="15" hidden="1">
      <c r="B404" s="349" t="s">
        <v>823</v>
      </c>
      <c r="C404" s="347">
        <v>1152424</v>
      </c>
      <c r="D404" s="347">
        <v>0</v>
      </c>
      <c r="E404" s="347">
        <v>1152424</v>
      </c>
    </row>
    <row r="405" spans="2:5" ht="15" hidden="1">
      <c r="B405" s="349" t="s">
        <v>822</v>
      </c>
      <c r="C405" s="347">
        <v>471254</v>
      </c>
      <c r="D405" s="347">
        <v>0</v>
      </c>
      <c r="E405" s="347">
        <v>471254</v>
      </c>
    </row>
    <row r="406" spans="2:5" ht="15" hidden="1">
      <c r="B406" s="349" t="s">
        <v>821</v>
      </c>
      <c r="C406" s="347">
        <v>681170</v>
      </c>
      <c r="D406" s="347">
        <v>0</v>
      </c>
      <c r="E406" s="347">
        <v>681170</v>
      </c>
    </row>
    <row r="407" ht="7.5" customHeight="1"/>
    <row r="408" spans="1:5" ht="33" customHeight="1">
      <c r="A408" s="402" t="s">
        <v>886</v>
      </c>
      <c r="B408" s="404"/>
      <c r="C408" s="404"/>
      <c r="D408" s="404"/>
      <c r="E408" s="404"/>
    </row>
    <row r="409" spans="1:5" s="360" customFormat="1" ht="14.25">
      <c r="A409" s="357"/>
      <c r="B409" s="358" t="s">
        <v>823</v>
      </c>
      <c r="C409" s="359">
        <v>915512</v>
      </c>
      <c r="D409" s="359">
        <v>1000</v>
      </c>
      <c r="E409" s="359">
        <v>916512</v>
      </c>
    </row>
    <row r="410" spans="1:5" s="360" customFormat="1" ht="14.25">
      <c r="A410" s="357"/>
      <c r="B410" s="358" t="s">
        <v>822</v>
      </c>
      <c r="C410" s="359">
        <v>721644</v>
      </c>
      <c r="D410" s="359">
        <v>1000</v>
      </c>
      <c r="E410" s="359">
        <v>722644</v>
      </c>
    </row>
    <row r="411" spans="1:5" s="360" customFormat="1" ht="14.25">
      <c r="A411" s="357"/>
      <c r="B411" s="358" t="s">
        <v>821</v>
      </c>
      <c r="C411" s="359">
        <v>143368</v>
      </c>
      <c r="D411" s="359">
        <v>0</v>
      </c>
      <c r="E411" s="359">
        <v>143368</v>
      </c>
    </row>
    <row r="412" spans="1:5" s="360" customFormat="1" ht="14.25">
      <c r="A412" s="357"/>
      <c r="B412" s="358" t="s">
        <v>818</v>
      </c>
      <c r="C412" s="359">
        <v>50500</v>
      </c>
      <c r="D412" s="359">
        <v>0</v>
      </c>
      <c r="E412" s="359">
        <v>50500</v>
      </c>
    </row>
    <row r="414" spans="1:5" ht="15.75" customHeight="1">
      <c r="A414" s="400" t="s">
        <v>885</v>
      </c>
      <c r="B414" s="401"/>
      <c r="C414" s="401"/>
      <c r="D414" s="401"/>
      <c r="E414" s="401"/>
    </row>
    <row r="415" spans="2:5" s="360" customFormat="1" ht="14.25">
      <c r="B415" s="361" t="s">
        <v>823</v>
      </c>
      <c r="C415" s="362">
        <v>915512</v>
      </c>
      <c r="D415" s="362">
        <v>1000</v>
      </c>
      <c r="E415" s="362">
        <v>916512</v>
      </c>
    </row>
    <row r="416" spans="2:5" ht="15">
      <c r="B416" s="349" t="s">
        <v>822</v>
      </c>
      <c r="C416" s="347">
        <v>721644</v>
      </c>
      <c r="D416" s="347">
        <v>1000</v>
      </c>
      <c r="E416" s="347">
        <v>722644</v>
      </c>
    </row>
    <row r="417" spans="2:5" ht="15">
      <c r="B417" s="349" t="s">
        <v>821</v>
      </c>
      <c r="C417" s="347">
        <v>143368</v>
      </c>
      <c r="D417" s="347">
        <v>0</v>
      </c>
      <c r="E417" s="347">
        <v>143368</v>
      </c>
    </row>
    <row r="418" spans="2:5" ht="15">
      <c r="B418" s="349" t="s">
        <v>818</v>
      </c>
      <c r="C418" s="347">
        <v>50500</v>
      </c>
      <c r="D418" s="347">
        <v>0</v>
      </c>
      <c r="E418" s="347">
        <v>50500</v>
      </c>
    </row>
    <row r="419" ht="21" customHeight="1"/>
    <row r="420" spans="1:5" ht="31.5" customHeight="1">
      <c r="A420" s="402" t="s">
        <v>884</v>
      </c>
      <c r="B420" s="403"/>
      <c r="C420" s="403"/>
      <c r="D420" s="403"/>
      <c r="E420" s="403"/>
    </row>
    <row r="421" spans="1:5" ht="14.25">
      <c r="A421" s="357"/>
      <c r="B421" s="358" t="s">
        <v>823</v>
      </c>
      <c r="C421" s="359">
        <v>819556</v>
      </c>
      <c r="D421" s="359">
        <v>0</v>
      </c>
      <c r="E421" s="359">
        <v>819556</v>
      </c>
    </row>
    <row r="422" spans="1:5" ht="14.25">
      <c r="A422" s="357"/>
      <c r="B422" s="358" t="s">
        <v>822</v>
      </c>
      <c r="C422" s="359">
        <v>665701</v>
      </c>
      <c r="D422" s="359">
        <v>0</v>
      </c>
      <c r="E422" s="359">
        <v>665701</v>
      </c>
    </row>
    <row r="423" spans="1:5" ht="14.25">
      <c r="A423" s="357"/>
      <c r="B423" s="358" t="s">
        <v>821</v>
      </c>
      <c r="C423" s="359">
        <v>126755</v>
      </c>
      <c r="D423" s="359">
        <v>0</v>
      </c>
      <c r="E423" s="359">
        <v>126755</v>
      </c>
    </row>
    <row r="424" spans="1:5" ht="14.25">
      <c r="A424" s="357"/>
      <c r="B424" s="358" t="s">
        <v>818</v>
      </c>
      <c r="C424" s="359">
        <v>22100</v>
      </c>
      <c r="D424" s="359">
        <v>0</v>
      </c>
      <c r="E424" s="359">
        <v>22100</v>
      </c>
    </row>
    <row r="425" spans="1:5" ht="14.25">
      <c r="A425" s="357"/>
      <c r="B425" s="358" t="s">
        <v>817</v>
      </c>
      <c r="C425" s="359">
        <v>5000</v>
      </c>
      <c r="D425" s="359">
        <v>0</v>
      </c>
      <c r="E425" s="359">
        <v>5000</v>
      </c>
    </row>
    <row r="427" spans="1:5" ht="15.75" customHeight="1">
      <c r="A427" s="400" t="s">
        <v>883</v>
      </c>
      <c r="B427" s="401"/>
      <c r="C427" s="401"/>
      <c r="D427" s="401"/>
      <c r="E427" s="401"/>
    </row>
    <row r="428" spans="2:5" s="360" customFormat="1" ht="14.25">
      <c r="B428" s="361" t="s">
        <v>823</v>
      </c>
      <c r="C428" s="362">
        <v>819556</v>
      </c>
      <c r="D428" s="362">
        <v>0</v>
      </c>
      <c r="E428" s="362">
        <v>819556</v>
      </c>
    </row>
    <row r="429" spans="2:5" ht="15">
      <c r="B429" s="349" t="s">
        <v>822</v>
      </c>
      <c r="C429" s="347">
        <v>665701</v>
      </c>
      <c r="D429" s="347">
        <v>0</v>
      </c>
      <c r="E429" s="347">
        <v>665701</v>
      </c>
    </row>
    <row r="430" spans="2:5" ht="15">
      <c r="B430" s="349" t="s">
        <v>821</v>
      </c>
      <c r="C430" s="347">
        <v>126755</v>
      </c>
      <c r="D430" s="347">
        <v>0</v>
      </c>
      <c r="E430" s="347">
        <v>126755</v>
      </c>
    </row>
    <row r="431" spans="2:5" ht="15">
      <c r="B431" s="349" t="s">
        <v>818</v>
      </c>
      <c r="C431" s="347">
        <v>22100</v>
      </c>
      <c r="D431" s="347">
        <v>0</v>
      </c>
      <c r="E431" s="347">
        <v>22100</v>
      </c>
    </row>
    <row r="432" spans="2:5" ht="15">
      <c r="B432" s="349" t="s">
        <v>817</v>
      </c>
      <c r="C432" s="347">
        <v>5000</v>
      </c>
      <c r="D432" s="347">
        <v>0</v>
      </c>
      <c r="E432" s="347">
        <v>5000</v>
      </c>
    </row>
    <row r="433" ht="20.25" customHeight="1"/>
    <row r="434" spans="1:5" ht="15.75" customHeight="1">
      <c r="A434" s="402" t="s">
        <v>882</v>
      </c>
      <c r="B434" s="404"/>
      <c r="C434" s="404"/>
      <c r="D434" s="404"/>
      <c r="E434" s="404"/>
    </row>
    <row r="435" spans="1:5" ht="14.25">
      <c r="A435" s="357"/>
      <c r="B435" s="358" t="s">
        <v>823</v>
      </c>
      <c r="C435" s="359">
        <v>3275430</v>
      </c>
      <c r="D435" s="359">
        <v>47338</v>
      </c>
      <c r="E435" s="359">
        <v>3322768</v>
      </c>
    </row>
    <row r="436" spans="1:5" ht="14.25">
      <c r="A436" s="357"/>
      <c r="B436" s="358" t="s">
        <v>822</v>
      </c>
      <c r="C436" s="359">
        <v>1753867</v>
      </c>
      <c r="D436" s="359">
        <v>10000</v>
      </c>
      <c r="E436" s="359">
        <v>1763867</v>
      </c>
    </row>
    <row r="437" spans="1:5" ht="14.25">
      <c r="A437" s="357"/>
      <c r="B437" s="358" t="s">
        <v>821</v>
      </c>
      <c r="C437" s="359">
        <v>1447074</v>
      </c>
      <c r="D437" s="359">
        <v>34348</v>
      </c>
      <c r="E437" s="359">
        <v>1481422</v>
      </c>
    </row>
    <row r="438" spans="1:5" ht="14.25">
      <c r="A438" s="357"/>
      <c r="B438" s="358" t="s">
        <v>820</v>
      </c>
      <c r="C438" s="359">
        <v>13200</v>
      </c>
      <c r="D438" s="359">
        <v>0</v>
      </c>
      <c r="E438" s="359">
        <v>13200</v>
      </c>
    </row>
    <row r="439" spans="1:5" ht="14.25">
      <c r="A439" s="357"/>
      <c r="B439" s="358" t="s">
        <v>818</v>
      </c>
      <c r="C439" s="359">
        <v>23075</v>
      </c>
      <c r="D439" s="359">
        <v>2990</v>
      </c>
      <c r="E439" s="359">
        <v>26065</v>
      </c>
    </row>
    <row r="440" spans="1:5" ht="14.25">
      <c r="A440" s="357"/>
      <c r="B440" s="358" t="s">
        <v>817</v>
      </c>
      <c r="C440" s="359">
        <v>27000</v>
      </c>
      <c r="D440" s="359">
        <v>0</v>
      </c>
      <c r="E440" s="359">
        <v>27000</v>
      </c>
    </row>
    <row r="441" spans="1:5" ht="28.5" customHeight="1">
      <c r="A441" s="357"/>
      <c r="B441" s="358" t="s">
        <v>816</v>
      </c>
      <c r="C441" s="359">
        <v>11214</v>
      </c>
      <c r="D441" s="359">
        <v>0</v>
      </c>
      <c r="E441" s="359">
        <v>11214</v>
      </c>
    </row>
    <row r="443" spans="1:5" ht="15.75" customHeight="1">
      <c r="A443" s="400" t="s">
        <v>881</v>
      </c>
      <c r="B443" s="401"/>
      <c r="C443" s="401"/>
      <c r="D443" s="401"/>
      <c r="E443" s="401"/>
    </row>
    <row r="444" spans="2:5" s="360" customFormat="1" ht="14.25">
      <c r="B444" s="361" t="s">
        <v>823</v>
      </c>
      <c r="C444" s="362">
        <v>1536258</v>
      </c>
      <c r="D444" s="362">
        <v>20081</v>
      </c>
      <c r="E444" s="362">
        <v>1556339</v>
      </c>
    </row>
    <row r="445" spans="2:5" ht="15">
      <c r="B445" s="349" t="s">
        <v>822</v>
      </c>
      <c r="C445" s="347">
        <v>1046101</v>
      </c>
      <c r="D445" s="347">
        <v>10000</v>
      </c>
      <c r="E445" s="347">
        <v>1056101</v>
      </c>
    </row>
    <row r="446" spans="2:5" ht="15">
      <c r="B446" s="349" t="s">
        <v>821</v>
      </c>
      <c r="C446" s="347">
        <v>488577</v>
      </c>
      <c r="D446" s="347">
        <v>7091</v>
      </c>
      <c r="E446" s="347">
        <v>495668</v>
      </c>
    </row>
    <row r="447" spans="2:5" ht="15">
      <c r="B447" s="349" t="s">
        <v>818</v>
      </c>
      <c r="C447" s="347">
        <v>1580</v>
      </c>
      <c r="D447" s="347">
        <v>2990</v>
      </c>
      <c r="E447" s="347">
        <v>4570</v>
      </c>
    </row>
    <row r="449" spans="1:5" ht="15.75" customHeight="1">
      <c r="A449" s="400" t="s">
        <v>880</v>
      </c>
      <c r="B449" s="401"/>
      <c r="C449" s="401"/>
      <c r="D449" s="401"/>
      <c r="E449" s="401"/>
    </row>
    <row r="450" spans="2:5" s="360" customFormat="1" ht="14.25">
      <c r="B450" s="361" t="s">
        <v>823</v>
      </c>
      <c r="C450" s="362">
        <v>1058613</v>
      </c>
      <c r="D450" s="362">
        <v>27257</v>
      </c>
      <c r="E450" s="362">
        <v>1085870</v>
      </c>
    </row>
    <row r="451" spans="2:5" ht="15">
      <c r="B451" s="349" t="s">
        <v>822</v>
      </c>
      <c r="C451" s="347">
        <v>117411</v>
      </c>
      <c r="D451" s="347">
        <v>0</v>
      </c>
      <c r="E451" s="347">
        <v>117411</v>
      </c>
    </row>
    <row r="452" spans="2:5" ht="15">
      <c r="B452" s="349" t="s">
        <v>821</v>
      </c>
      <c r="C452" s="347">
        <v>899257</v>
      </c>
      <c r="D452" s="347">
        <v>27257</v>
      </c>
      <c r="E452" s="347">
        <v>926514</v>
      </c>
    </row>
    <row r="453" spans="2:5" ht="15">
      <c r="B453" s="349" t="s">
        <v>818</v>
      </c>
      <c r="C453" s="347">
        <v>14945</v>
      </c>
      <c r="D453" s="347">
        <v>0</v>
      </c>
      <c r="E453" s="347">
        <v>14945</v>
      </c>
    </row>
    <row r="454" spans="2:5" ht="15">
      <c r="B454" s="349" t="s">
        <v>817</v>
      </c>
      <c r="C454" s="347">
        <v>27000</v>
      </c>
      <c r="D454" s="347">
        <v>0</v>
      </c>
      <c r="E454" s="347">
        <v>27000</v>
      </c>
    </row>
    <row r="456" spans="1:5" ht="15.75" customHeight="1">
      <c r="A456" s="400" t="s">
        <v>879</v>
      </c>
      <c r="B456" s="401"/>
      <c r="C456" s="401"/>
      <c r="D456" s="401"/>
      <c r="E456" s="401"/>
    </row>
    <row r="457" spans="2:5" s="360" customFormat="1" ht="14.25">
      <c r="B457" s="361" t="s">
        <v>823</v>
      </c>
      <c r="C457" s="362">
        <v>99888</v>
      </c>
      <c r="D457" s="362">
        <v>0</v>
      </c>
      <c r="E457" s="362">
        <v>99888</v>
      </c>
    </row>
    <row r="458" spans="2:5" ht="15">
      <c r="B458" s="349" t="s">
        <v>822</v>
      </c>
      <c r="C458" s="347">
        <v>95168</v>
      </c>
      <c r="D458" s="347">
        <v>0</v>
      </c>
      <c r="E458" s="347">
        <v>95168</v>
      </c>
    </row>
    <row r="459" spans="2:5" ht="15">
      <c r="B459" s="349" t="s">
        <v>821</v>
      </c>
      <c r="C459" s="347">
        <v>4720</v>
      </c>
      <c r="D459" s="347">
        <v>0</v>
      </c>
      <c r="E459" s="347">
        <v>4720</v>
      </c>
    </row>
    <row r="461" spans="1:5" ht="15.75" customHeight="1">
      <c r="A461" s="400" t="s">
        <v>878</v>
      </c>
      <c r="B461" s="401"/>
      <c r="C461" s="401"/>
      <c r="D461" s="401"/>
      <c r="E461" s="401"/>
    </row>
    <row r="462" spans="2:5" s="360" customFormat="1" ht="14.25">
      <c r="B462" s="361" t="s">
        <v>823</v>
      </c>
      <c r="C462" s="362">
        <v>24314</v>
      </c>
      <c r="D462" s="362">
        <v>0</v>
      </c>
      <c r="E462" s="362">
        <v>24314</v>
      </c>
    </row>
    <row r="463" spans="2:5" ht="15">
      <c r="B463" s="349" t="s">
        <v>822</v>
      </c>
      <c r="C463" s="347">
        <v>21314</v>
      </c>
      <c r="D463" s="347">
        <v>0</v>
      </c>
      <c r="E463" s="347">
        <v>21314</v>
      </c>
    </row>
    <row r="464" spans="2:5" ht="15">
      <c r="B464" s="349" t="s">
        <v>821</v>
      </c>
      <c r="C464" s="347">
        <v>3000</v>
      </c>
      <c r="D464" s="347">
        <v>0</v>
      </c>
      <c r="E464" s="347">
        <v>3000</v>
      </c>
    </row>
    <row r="466" spans="1:5" ht="15.75" customHeight="1">
      <c r="A466" s="400" t="s">
        <v>877</v>
      </c>
      <c r="B466" s="401"/>
      <c r="C466" s="401"/>
      <c r="D466" s="401"/>
      <c r="E466" s="401"/>
    </row>
    <row r="467" spans="2:5" s="360" customFormat="1" ht="14.25">
      <c r="B467" s="361" t="s">
        <v>823</v>
      </c>
      <c r="C467" s="362">
        <v>514648</v>
      </c>
      <c r="D467" s="362">
        <v>0</v>
      </c>
      <c r="E467" s="362">
        <v>514648</v>
      </c>
    </row>
    <row r="468" spans="2:5" ht="15">
      <c r="B468" s="349" t="s">
        <v>822</v>
      </c>
      <c r="C468" s="347">
        <v>465224</v>
      </c>
      <c r="D468" s="347">
        <v>0</v>
      </c>
      <c r="E468" s="347">
        <v>465224</v>
      </c>
    </row>
    <row r="469" spans="2:5" ht="15">
      <c r="B469" s="349" t="s">
        <v>821</v>
      </c>
      <c r="C469" s="347">
        <v>36860</v>
      </c>
      <c r="D469" s="347">
        <v>0</v>
      </c>
      <c r="E469" s="347">
        <v>36860</v>
      </c>
    </row>
    <row r="470" spans="2:5" ht="15">
      <c r="B470" s="349" t="s">
        <v>818</v>
      </c>
      <c r="C470" s="347">
        <v>3550</v>
      </c>
      <c r="D470" s="347">
        <v>0</v>
      </c>
      <c r="E470" s="347">
        <v>3550</v>
      </c>
    </row>
    <row r="471" spans="2:5" ht="30">
      <c r="B471" s="349" t="s">
        <v>816</v>
      </c>
      <c r="C471" s="347">
        <v>9014</v>
      </c>
      <c r="D471" s="347">
        <v>0</v>
      </c>
      <c r="E471" s="347">
        <v>9014</v>
      </c>
    </row>
    <row r="473" spans="1:5" ht="15.75" customHeight="1">
      <c r="A473" s="400" t="s">
        <v>876</v>
      </c>
      <c r="B473" s="401"/>
      <c r="C473" s="401"/>
      <c r="D473" s="401"/>
      <c r="E473" s="401"/>
    </row>
    <row r="474" spans="2:5" s="360" customFormat="1" ht="14.25">
      <c r="B474" s="361" t="s">
        <v>823</v>
      </c>
      <c r="C474" s="362">
        <v>41709</v>
      </c>
      <c r="D474" s="362">
        <v>0</v>
      </c>
      <c r="E474" s="362">
        <v>41709</v>
      </c>
    </row>
    <row r="475" spans="2:5" ht="15">
      <c r="B475" s="349" t="s">
        <v>822</v>
      </c>
      <c r="C475" s="347">
        <v>8649</v>
      </c>
      <c r="D475" s="347">
        <v>0</v>
      </c>
      <c r="E475" s="347">
        <v>8649</v>
      </c>
    </row>
    <row r="476" spans="2:5" ht="15">
      <c r="B476" s="349" t="s">
        <v>821</v>
      </c>
      <c r="C476" s="347">
        <v>14660</v>
      </c>
      <c r="D476" s="347">
        <v>0</v>
      </c>
      <c r="E476" s="347">
        <v>14660</v>
      </c>
    </row>
    <row r="477" spans="2:5" ht="15">
      <c r="B477" s="349" t="s">
        <v>820</v>
      </c>
      <c r="C477" s="347">
        <v>13200</v>
      </c>
      <c r="D477" s="347">
        <v>0</v>
      </c>
      <c r="E477" s="347">
        <v>13200</v>
      </c>
    </row>
    <row r="478" spans="2:5" ht="15">
      <c r="B478" s="349" t="s">
        <v>818</v>
      </c>
      <c r="C478" s="347">
        <v>3000</v>
      </c>
      <c r="D478" s="347">
        <v>0</v>
      </c>
      <c r="E478" s="347">
        <v>3000</v>
      </c>
    </row>
    <row r="479" spans="2:5" ht="30">
      <c r="B479" s="349" t="s">
        <v>816</v>
      </c>
      <c r="C479" s="347">
        <v>2200</v>
      </c>
      <c r="D479" s="347">
        <v>0</v>
      </c>
      <c r="E479" s="347">
        <v>2200</v>
      </c>
    </row>
    <row r="480" ht="22.5" customHeight="1"/>
    <row r="481" spans="1:5" ht="21.75" customHeight="1">
      <c r="A481" s="402" t="s">
        <v>875</v>
      </c>
      <c r="B481" s="403"/>
      <c r="C481" s="403"/>
      <c r="D481" s="403"/>
      <c r="E481" s="403"/>
    </row>
    <row r="482" spans="1:5" ht="14.25">
      <c r="A482" s="357"/>
      <c r="B482" s="358" t="s">
        <v>823</v>
      </c>
      <c r="C482" s="359">
        <v>505779</v>
      </c>
      <c r="D482" s="359">
        <v>15723</v>
      </c>
      <c r="E482" s="359">
        <v>521502</v>
      </c>
    </row>
    <row r="483" spans="1:5" ht="14.25">
      <c r="A483" s="357"/>
      <c r="B483" s="358" t="s">
        <v>822</v>
      </c>
      <c r="C483" s="359">
        <v>353341</v>
      </c>
      <c r="D483" s="359">
        <v>12223</v>
      </c>
      <c r="E483" s="359">
        <v>365564</v>
      </c>
    </row>
    <row r="484" spans="1:5" ht="14.25">
      <c r="A484" s="357"/>
      <c r="B484" s="358" t="s">
        <v>821</v>
      </c>
      <c r="C484" s="359">
        <v>123888</v>
      </c>
      <c r="D484" s="359">
        <v>650</v>
      </c>
      <c r="E484" s="359">
        <v>124538</v>
      </c>
    </row>
    <row r="485" spans="1:5" ht="14.25">
      <c r="A485" s="357"/>
      <c r="B485" s="358" t="s">
        <v>818</v>
      </c>
      <c r="C485" s="359">
        <v>28550</v>
      </c>
      <c r="D485" s="359">
        <v>2850</v>
      </c>
      <c r="E485" s="359">
        <v>31400</v>
      </c>
    </row>
    <row r="487" spans="1:5" ht="15.75" customHeight="1">
      <c r="A487" s="400" t="s">
        <v>874</v>
      </c>
      <c r="B487" s="401"/>
      <c r="C487" s="401"/>
      <c r="D487" s="401"/>
      <c r="E487" s="401"/>
    </row>
    <row r="488" spans="2:5" s="360" customFormat="1" ht="14.25">
      <c r="B488" s="361" t="s">
        <v>823</v>
      </c>
      <c r="C488" s="362">
        <v>505779</v>
      </c>
      <c r="D488" s="362">
        <v>15723</v>
      </c>
      <c r="E488" s="362">
        <v>521502</v>
      </c>
    </row>
    <row r="489" spans="2:5" ht="15">
      <c r="B489" s="349" t="s">
        <v>822</v>
      </c>
      <c r="C489" s="347">
        <v>353341</v>
      </c>
      <c r="D489" s="347">
        <v>12223</v>
      </c>
      <c r="E489" s="347">
        <v>365564</v>
      </c>
    </row>
    <row r="490" spans="2:5" ht="15">
      <c r="B490" s="349" t="s">
        <v>821</v>
      </c>
      <c r="C490" s="347">
        <v>123888</v>
      </c>
      <c r="D490" s="347">
        <v>650</v>
      </c>
      <c r="E490" s="347">
        <v>124538</v>
      </c>
    </row>
    <row r="491" spans="2:5" ht="15">
      <c r="B491" s="349" t="s">
        <v>818</v>
      </c>
      <c r="C491" s="347">
        <v>28550</v>
      </c>
      <c r="D491" s="347">
        <v>2850</v>
      </c>
      <c r="E491" s="347">
        <v>31400</v>
      </c>
    </row>
    <row r="493" spans="1:5" ht="36.75" customHeight="1">
      <c r="A493" s="402" t="s">
        <v>873</v>
      </c>
      <c r="B493" s="403"/>
      <c r="C493" s="403"/>
      <c r="D493" s="403"/>
      <c r="E493" s="403"/>
    </row>
    <row r="494" spans="1:5" ht="14.25">
      <c r="A494" s="357"/>
      <c r="B494" s="358" t="s">
        <v>823</v>
      </c>
      <c r="C494" s="359">
        <v>1458959</v>
      </c>
      <c r="D494" s="359">
        <v>0</v>
      </c>
      <c r="E494" s="359">
        <v>1458959</v>
      </c>
    </row>
    <row r="495" spans="1:5" ht="14.25">
      <c r="A495" s="357"/>
      <c r="B495" s="358" t="s">
        <v>822</v>
      </c>
      <c r="C495" s="359">
        <v>859910</v>
      </c>
      <c r="D495" s="359">
        <v>0</v>
      </c>
      <c r="E495" s="359">
        <v>859910</v>
      </c>
    </row>
    <row r="496" spans="1:5" ht="14.25">
      <c r="A496" s="357"/>
      <c r="B496" s="358" t="s">
        <v>821</v>
      </c>
      <c r="C496" s="359">
        <v>473436</v>
      </c>
      <c r="D496" s="359">
        <v>0</v>
      </c>
      <c r="E496" s="359">
        <v>473436</v>
      </c>
    </row>
    <row r="497" spans="1:5" ht="14.25">
      <c r="A497" s="357"/>
      <c r="B497" s="358" t="s">
        <v>820</v>
      </c>
      <c r="C497" s="359">
        <v>57040</v>
      </c>
      <c r="D497" s="359">
        <v>0</v>
      </c>
      <c r="E497" s="359">
        <v>57040</v>
      </c>
    </row>
    <row r="498" spans="1:5" ht="14.25">
      <c r="A498" s="357"/>
      <c r="B498" s="358" t="s">
        <v>818</v>
      </c>
      <c r="C498" s="359">
        <v>21827</v>
      </c>
      <c r="D498" s="359">
        <v>0</v>
      </c>
      <c r="E498" s="359">
        <v>21827</v>
      </c>
    </row>
    <row r="499" spans="1:5" ht="14.25">
      <c r="A499" s="357"/>
      <c r="B499" s="358" t="s">
        <v>817</v>
      </c>
      <c r="C499" s="359">
        <v>9450</v>
      </c>
      <c r="D499" s="359">
        <v>0</v>
      </c>
      <c r="E499" s="359">
        <v>9450</v>
      </c>
    </row>
    <row r="500" spans="1:5" ht="42.75">
      <c r="A500" s="357"/>
      <c r="B500" s="358" t="s">
        <v>816</v>
      </c>
      <c r="C500" s="359">
        <v>37296</v>
      </c>
      <c r="D500" s="359">
        <v>0</v>
      </c>
      <c r="E500" s="359">
        <v>37296</v>
      </c>
    </row>
    <row r="502" spans="1:5" ht="15.75" customHeight="1">
      <c r="A502" s="400" t="s">
        <v>872</v>
      </c>
      <c r="B502" s="401"/>
      <c r="C502" s="401"/>
      <c r="D502" s="401"/>
      <c r="E502" s="401"/>
    </row>
    <row r="503" spans="2:5" s="360" customFormat="1" ht="14.25">
      <c r="B503" s="361" t="s">
        <v>823</v>
      </c>
      <c r="C503" s="362">
        <v>1272441</v>
      </c>
      <c r="D503" s="362">
        <v>0</v>
      </c>
      <c r="E503" s="362">
        <v>1272441</v>
      </c>
    </row>
    <row r="504" spans="2:5" ht="15">
      <c r="B504" s="349" t="s">
        <v>822</v>
      </c>
      <c r="C504" s="347">
        <v>803784</v>
      </c>
      <c r="D504" s="347">
        <v>0</v>
      </c>
      <c r="E504" s="347">
        <v>803784</v>
      </c>
    </row>
    <row r="505" spans="2:5" ht="15">
      <c r="B505" s="349" t="s">
        <v>821</v>
      </c>
      <c r="C505" s="347">
        <v>380340</v>
      </c>
      <c r="D505" s="347">
        <v>0</v>
      </c>
      <c r="E505" s="347">
        <v>380340</v>
      </c>
    </row>
    <row r="506" spans="2:5" ht="15">
      <c r="B506" s="349" t="s">
        <v>820</v>
      </c>
      <c r="C506" s="347">
        <v>57040</v>
      </c>
      <c r="D506" s="347">
        <v>0</v>
      </c>
      <c r="E506" s="347">
        <v>57040</v>
      </c>
    </row>
    <row r="507" spans="2:5" ht="15">
      <c r="B507" s="349" t="s">
        <v>818</v>
      </c>
      <c r="C507" s="347">
        <v>21827</v>
      </c>
      <c r="D507" s="347">
        <v>0</v>
      </c>
      <c r="E507" s="347">
        <v>21827</v>
      </c>
    </row>
    <row r="508" spans="2:5" ht="15">
      <c r="B508" s="349" t="s">
        <v>817</v>
      </c>
      <c r="C508" s="347">
        <v>9450</v>
      </c>
      <c r="D508" s="347">
        <v>0</v>
      </c>
      <c r="E508" s="347">
        <v>9450</v>
      </c>
    </row>
    <row r="510" spans="1:5" ht="15.75" customHeight="1">
      <c r="A510" s="400" t="s">
        <v>871</v>
      </c>
      <c r="B510" s="401"/>
      <c r="C510" s="401"/>
      <c r="D510" s="401"/>
      <c r="E510" s="401"/>
    </row>
    <row r="511" spans="2:5" s="360" customFormat="1" ht="14.25">
      <c r="B511" s="361" t="s">
        <v>823</v>
      </c>
      <c r="C511" s="362">
        <v>186518</v>
      </c>
      <c r="D511" s="362">
        <v>0</v>
      </c>
      <c r="E511" s="362">
        <v>186518</v>
      </c>
    </row>
    <row r="512" spans="2:5" ht="15">
      <c r="B512" s="349" t="s">
        <v>822</v>
      </c>
      <c r="C512" s="347">
        <v>56126</v>
      </c>
      <c r="D512" s="347">
        <v>0</v>
      </c>
      <c r="E512" s="347">
        <v>56126</v>
      </c>
    </row>
    <row r="513" spans="2:5" ht="15">
      <c r="B513" s="349" t="s">
        <v>821</v>
      </c>
      <c r="C513" s="347">
        <v>93096</v>
      </c>
      <c r="D513" s="347">
        <v>0</v>
      </c>
      <c r="E513" s="347">
        <v>93096</v>
      </c>
    </row>
    <row r="514" spans="2:5" ht="30">
      <c r="B514" s="349" t="s">
        <v>816</v>
      </c>
      <c r="C514" s="347">
        <v>37296</v>
      </c>
      <c r="D514" s="347">
        <v>0</v>
      </c>
      <c r="E514" s="347">
        <v>37296</v>
      </c>
    </row>
    <row r="515" ht="19.5" customHeight="1"/>
    <row r="516" spans="1:5" ht="31.5" customHeight="1">
      <c r="A516" s="402" t="s">
        <v>870</v>
      </c>
      <c r="B516" s="403"/>
      <c r="C516" s="403"/>
      <c r="D516" s="403"/>
      <c r="E516" s="403"/>
    </row>
    <row r="517" spans="1:5" ht="14.25">
      <c r="A517" s="357"/>
      <c r="B517" s="358" t="s">
        <v>823</v>
      </c>
      <c r="C517" s="359">
        <v>34692978</v>
      </c>
      <c r="D517" s="359">
        <v>1841663</v>
      </c>
      <c r="E517" s="359">
        <v>36534641</v>
      </c>
    </row>
    <row r="518" spans="1:5" ht="14.25">
      <c r="A518" s="357"/>
      <c r="B518" s="358" t="s">
        <v>822</v>
      </c>
      <c r="C518" s="359">
        <v>23303923</v>
      </c>
      <c r="D518" s="359">
        <v>57964</v>
      </c>
      <c r="E518" s="359">
        <v>23361887</v>
      </c>
    </row>
    <row r="519" spans="1:5" ht="14.25">
      <c r="A519" s="357"/>
      <c r="B519" s="358" t="s">
        <v>821</v>
      </c>
      <c r="C519" s="359">
        <v>5951960</v>
      </c>
      <c r="D519" s="359">
        <v>229984</v>
      </c>
      <c r="E519" s="359">
        <v>6181944</v>
      </c>
    </row>
    <row r="520" spans="1:5" ht="14.25">
      <c r="A520" s="357"/>
      <c r="B520" s="358" t="s">
        <v>820</v>
      </c>
      <c r="C520" s="359">
        <v>3125312</v>
      </c>
      <c r="D520" s="359">
        <v>-23602</v>
      </c>
      <c r="E520" s="359">
        <v>3101710</v>
      </c>
    </row>
    <row r="521" spans="1:5" ht="14.25">
      <c r="A521" s="357"/>
      <c r="B521" s="358" t="s">
        <v>818</v>
      </c>
      <c r="C521" s="359">
        <v>849989</v>
      </c>
      <c r="D521" s="359">
        <v>1577217</v>
      </c>
      <c r="E521" s="359">
        <v>2427206</v>
      </c>
    </row>
    <row r="522" spans="1:5" ht="14.25">
      <c r="A522" s="357"/>
      <c r="B522" s="358" t="s">
        <v>817</v>
      </c>
      <c r="C522" s="359">
        <v>512520</v>
      </c>
      <c r="D522" s="359">
        <v>100</v>
      </c>
      <c r="E522" s="359">
        <v>512620</v>
      </c>
    </row>
    <row r="523" spans="1:5" ht="42.75">
      <c r="A523" s="357"/>
      <c r="B523" s="358" t="s">
        <v>816</v>
      </c>
      <c r="C523" s="359">
        <v>949274</v>
      </c>
      <c r="D523" s="359">
        <v>0</v>
      </c>
      <c r="E523" s="359">
        <v>949274</v>
      </c>
    </row>
    <row r="525" spans="1:5" ht="15.75" customHeight="1">
      <c r="A525" s="400" t="s">
        <v>869</v>
      </c>
      <c r="B525" s="401"/>
      <c r="C525" s="401"/>
      <c r="D525" s="401"/>
      <c r="E525" s="401"/>
    </row>
    <row r="526" spans="2:5" s="360" customFormat="1" ht="14.25">
      <c r="B526" s="361" t="s">
        <v>823</v>
      </c>
      <c r="C526" s="362">
        <v>941961</v>
      </c>
      <c r="D526" s="362">
        <v>0</v>
      </c>
      <c r="E526" s="362">
        <v>941961</v>
      </c>
    </row>
    <row r="527" spans="2:5" ht="30">
      <c r="B527" s="349" t="s">
        <v>816</v>
      </c>
      <c r="C527" s="347">
        <v>941961</v>
      </c>
      <c r="D527" s="347">
        <v>0</v>
      </c>
      <c r="E527" s="347">
        <v>941961</v>
      </c>
    </row>
    <row r="529" spans="1:5" ht="31.5" customHeight="1">
      <c r="A529" s="400" t="s">
        <v>868</v>
      </c>
      <c r="B529" s="401"/>
      <c r="C529" s="401"/>
      <c r="D529" s="401"/>
      <c r="E529" s="401"/>
    </row>
    <row r="530" spans="2:5" s="360" customFormat="1" ht="14.25">
      <c r="B530" s="361" t="s">
        <v>823</v>
      </c>
      <c r="C530" s="362">
        <v>11107188</v>
      </c>
      <c r="D530" s="362">
        <v>17085</v>
      </c>
      <c r="E530" s="362">
        <v>11124273</v>
      </c>
    </row>
    <row r="531" spans="2:5" ht="15">
      <c r="B531" s="349" t="s">
        <v>822</v>
      </c>
      <c r="C531" s="347">
        <v>6875952</v>
      </c>
      <c r="D531" s="347">
        <v>1124</v>
      </c>
      <c r="E531" s="347">
        <v>6877076</v>
      </c>
    </row>
    <row r="532" spans="2:5" ht="15">
      <c r="B532" s="349" t="s">
        <v>821</v>
      </c>
      <c r="C532" s="347">
        <v>1208250</v>
      </c>
      <c r="D532" s="347">
        <v>143358</v>
      </c>
      <c r="E532" s="347">
        <v>1351608</v>
      </c>
    </row>
    <row r="533" spans="2:5" ht="15">
      <c r="B533" s="349" t="s">
        <v>820</v>
      </c>
      <c r="C533" s="347">
        <v>2810236</v>
      </c>
      <c r="D533" s="347">
        <v>-23602</v>
      </c>
      <c r="E533" s="347">
        <v>2786634</v>
      </c>
    </row>
    <row r="534" spans="2:5" ht="15">
      <c r="B534" s="349" t="s">
        <v>818</v>
      </c>
      <c r="C534" s="347">
        <v>212750</v>
      </c>
      <c r="D534" s="347">
        <v>-103795</v>
      </c>
      <c r="E534" s="347">
        <v>108955</v>
      </c>
    </row>
    <row r="536" spans="1:5" ht="15.75" customHeight="1">
      <c r="A536" s="400" t="s">
        <v>867</v>
      </c>
      <c r="B536" s="401"/>
      <c r="C536" s="401"/>
      <c r="D536" s="401"/>
      <c r="E536" s="401"/>
    </row>
    <row r="537" spans="2:5" s="360" customFormat="1" ht="14.25">
      <c r="B537" s="361" t="s">
        <v>823</v>
      </c>
      <c r="C537" s="362">
        <v>14339249</v>
      </c>
      <c r="D537" s="362">
        <v>68828</v>
      </c>
      <c r="E537" s="362">
        <v>14408077</v>
      </c>
    </row>
    <row r="538" spans="2:5" ht="15">
      <c r="B538" s="349" t="s">
        <v>822</v>
      </c>
      <c r="C538" s="347">
        <v>11271155</v>
      </c>
      <c r="D538" s="347">
        <v>7317</v>
      </c>
      <c r="E538" s="347">
        <v>11278472</v>
      </c>
    </row>
    <row r="539" spans="2:5" ht="15">
      <c r="B539" s="349" t="s">
        <v>821</v>
      </c>
      <c r="C539" s="347">
        <v>2236367</v>
      </c>
      <c r="D539" s="347">
        <v>56043</v>
      </c>
      <c r="E539" s="347">
        <v>2292410</v>
      </c>
    </row>
    <row r="540" spans="2:5" ht="15">
      <c r="B540" s="349" t="s">
        <v>820</v>
      </c>
      <c r="C540" s="347">
        <v>293852</v>
      </c>
      <c r="D540" s="347">
        <v>0</v>
      </c>
      <c r="E540" s="347">
        <v>293852</v>
      </c>
    </row>
    <row r="541" spans="2:5" ht="15">
      <c r="B541" s="349" t="s">
        <v>818</v>
      </c>
      <c r="C541" s="347">
        <v>489414</v>
      </c>
      <c r="D541" s="347">
        <v>5368</v>
      </c>
      <c r="E541" s="347">
        <v>494782</v>
      </c>
    </row>
    <row r="542" spans="2:5" ht="15">
      <c r="B542" s="349" t="s">
        <v>817</v>
      </c>
      <c r="C542" s="347">
        <v>44175</v>
      </c>
      <c r="D542" s="347">
        <v>100</v>
      </c>
      <c r="E542" s="347">
        <v>44275</v>
      </c>
    </row>
    <row r="543" spans="2:5" ht="30">
      <c r="B543" s="349" t="s">
        <v>816</v>
      </c>
      <c r="C543" s="347">
        <v>4286</v>
      </c>
      <c r="D543" s="347">
        <v>0</v>
      </c>
      <c r="E543" s="347">
        <v>4286</v>
      </c>
    </row>
    <row r="545" spans="1:5" ht="15.75" customHeight="1">
      <c r="A545" s="400" t="s">
        <v>866</v>
      </c>
      <c r="B545" s="401"/>
      <c r="C545" s="401"/>
      <c r="D545" s="401"/>
      <c r="E545" s="401"/>
    </row>
    <row r="546" spans="2:5" s="360" customFormat="1" ht="14.25">
      <c r="B546" s="361" t="s">
        <v>823</v>
      </c>
      <c r="C546" s="362">
        <v>1982095</v>
      </c>
      <c r="D546" s="362">
        <v>348674</v>
      </c>
      <c r="E546" s="362">
        <v>2330769</v>
      </c>
    </row>
    <row r="547" spans="2:5" ht="15">
      <c r="B547" s="349" t="s">
        <v>822</v>
      </c>
      <c r="C547" s="347">
        <v>1496745</v>
      </c>
      <c r="D547" s="347">
        <v>5914</v>
      </c>
      <c r="E547" s="347">
        <v>1502659</v>
      </c>
    </row>
    <row r="548" spans="2:5" ht="15">
      <c r="B548" s="349" t="s">
        <v>821</v>
      </c>
      <c r="C548" s="347">
        <v>473225</v>
      </c>
      <c r="D548" s="347">
        <v>-6148</v>
      </c>
      <c r="E548" s="347">
        <v>467077</v>
      </c>
    </row>
    <row r="549" spans="2:5" ht="15">
      <c r="B549" s="349" t="s">
        <v>818</v>
      </c>
      <c r="C549" s="347">
        <v>11892</v>
      </c>
      <c r="D549" s="347">
        <v>348908</v>
      </c>
      <c r="E549" s="347">
        <v>360800</v>
      </c>
    </row>
    <row r="550" spans="2:5" ht="30">
      <c r="B550" s="349" t="s">
        <v>816</v>
      </c>
      <c r="C550" s="347">
        <v>233</v>
      </c>
      <c r="D550" s="347">
        <v>0</v>
      </c>
      <c r="E550" s="347">
        <v>233</v>
      </c>
    </row>
    <row r="552" spans="1:5" ht="15.75" customHeight="1">
      <c r="A552" s="400" t="s">
        <v>865</v>
      </c>
      <c r="B552" s="401"/>
      <c r="C552" s="401"/>
      <c r="D552" s="401"/>
      <c r="E552" s="401"/>
    </row>
    <row r="553" spans="2:5" s="360" customFormat="1" ht="14.25">
      <c r="B553" s="361" t="s">
        <v>823</v>
      </c>
      <c r="C553" s="362">
        <v>202239</v>
      </c>
      <c r="D553" s="362">
        <v>12107</v>
      </c>
      <c r="E553" s="362">
        <v>214346</v>
      </c>
    </row>
    <row r="554" spans="2:5" ht="15">
      <c r="B554" s="349" t="s">
        <v>822</v>
      </c>
      <c r="C554" s="347">
        <v>6014</v>
      </c>
      <c r="D554" s="347">
        <v>5696</v>
      </c>
      <c r="E554" s="347">
        <v>11710</v>
      </c>
    </row>
    <row r="555" spans="2:5" ht="15">
      <c r="B555" s="349" t="s">
        <v>821</v>
      </c>
      <c r="C555" s="347">
        <v>192934</v>
      </c>
      <c r="D555" s="347">
        <v>7402</v>
      </c>
      <c r="E555" s="347">
        <v>200336</v>
      </c>
    </row>
    <row r="556" spans="2:5" ht="15">
      <c r="B556" s="349" t="s">
        <v>818</v>
      </c>
      <c r="C556" s="347">
        <v>3291</v>
      </c>
      <c r="D556" s="347">
        <v>-991</v>
      </c>
      <c r="E556" s="347">
        <v>2300</v>
      </c>
    </row>
    <row r="558" spans="1:5" ht="31.5" customHeight="1">
      <c r="A558" s="400" t="s">
        <v>864</v>
      </c>
      <c r="B558" s="401"/>
      <c r="C558" s="401"/>
      <c r="D558" s="401"/>
      <c r="E558" s="401"/>
    </row>
    <row r="559" spans="2:5" s="360" customFormat="1" ht="14.25">
      <c r="B559" s="361" t="s">
        <v>823</v>
      </c>
      <c r="C559" s="362">
        <v>0</v>
      </c>
      <c r="D559" s="362">
        <v>1300000</v>
      </c>
      <c r="E559" s="362">
        <v>1300000</v>
      </c>
    </row>
    <row r="560" spans="2:5" ht="15">
      <c r="B560" s="349" t="s">
        <v>818</v>
      </c>
      <c r="C560" s="347">
        <v>0</v>
      </c>
      <c r="D560" s="347">
        <v>1300000</v>
      </c>
      <c r="E560" s="347">
        <v>1300000</v>
      </c>
    </row>
    <row r="562" spans="1:5" ht="15.75" customHeight="1">
      <c r="A562" s="400" t="s">
        <v>863</v>
      </c>
      <c r="B562" s="401"/>
      <c r="C562" s="401"/>
      <c r="D562" s="401"/>
      <c r="E562" s="401"/>
    </row>
    <row r="563" spans="2:5" s="360" customFormat="1" ht="14.25">
      <c r="B563" s="361" t="s">
        <v>823</v>
      </c>
      <c r="C563" s="362">
        <v>1301951</v>
      </c>
      <c r="D563" s="362">
        <v>4470</v>
      </c>
      <c r="E563" s="362">
        <v>1306421</v>
      </c>
    </row>
    <row r="564" spans="2:5" ht="15">
      <c r="B564" s="349" t="s">
        <v>822</v>
      </c>
      <c r="C564" s="347">
        <v>1029974</v>
      </c>
      <c r="D564" s="347">
        <v>3885</v>
      </c>
      <c r="E564" s="347">
        <v>1033859</v>
      </c>
    </row>
    <row r="565" spans="2:5" ht="15">
      <c r="B565" s="349" t="s">
        <v>821</v>
      </c>
      <c r="C565" s="347">
        <v>175375</v>
      </c>
      <c r="D565" s="347">
        <v>585</v>
      </c>
      <c r="E565" s="347">
        <v>175960</v>
      </c>
    </row>
    <row r="566" spans="2:5" ht="15">
      <c r="B566" s="349" t="s">
        <v>818</v>
      </c>
      <c r="C566" s="347">
        <v>10648</v>
      </c>
      <c r="D566" s="347">
        <v>0</v>
      </c>
      <c r="E566" s="347">
        <v>10648</v>
      </c>
    </row>
    <row r="567" spans="2:5" ht="15">
      <c r="B567" s="349" t="s">
        <v>817</v>
      </c>
      <c r="C567" s="347">
        <v>85945</v>
      </c>
      <c r="D567" s="347">
        <v>0</v>
      </c>
      <c r="E567" s="347">
        <v>85945</v>
      </c>
    </row>
    <row r="568" spans="2:5" ht="30">
      <c r="B568" s="349" t="s">
        <v>816</v>
      </c>
      <c r="C568" s="347">
        <v>9</v>
      </c>
      <c r="D568" s="347">
        <v>0</v>
      </c>
      <c r="E568" s="347">
        <v>9</v>
      </c>
    </row>
    <row r="570" spans="1:5" ht="15.75" customHeight="1">
      <c r="A570" s="400" t="s">
        <v>862</v>
      </c>
      <c r="B570" s="401"/>
      <c r="C570" s="401"/>
      <c r="D570" s="401"/>
      <c r="E570" s="401"/>
    </row>
    <row r="571" spans="2:5" s="360" customFormat="1" ht="14.25">
      <c r="B571" s="361" t="s">
        <v>823</v>
      </c>
      <c r="C571" s="362">
        <v>190722</v>
      </c>
      <c r="D571" s="362">
        <v>0</v>
      </c>
      <c r="E571" s="362">
        <v>190722</v>
      </c>
    </row>
    <row r="572" spans="2:5" ht="15">
      <c r="B572" s="349" t="s">
        <v>822</v>
      </c>
      <c r="C572" s="347">
        <v>77244</v>
      </c>
      <c r="D572" s="347">
        <v>0</v>
      </c>
      <c r="E572" s="347">
        <v>77244</v>
      </c>
    </row>
    <row r="573" spans="2:5" ht="15">
      <c r="B573" s="349" t="s">
        <v>821</v>
      </c>
      <c r="C573" s="347">
        <v>113478</v>
      </c>
      <c r="D573" s="347">
        <v>0</v>
      </c>
      <c r="E573" s="347">
        <v>113478</v>
      </c>
    </row>
    <row r="575" spans="1:5" ht="15">
      <c r="A575" s="400" t="s">
        <v>861</v>
      </c>
      <c r="B575" s="401"/>
      <c r="C575" s="401"/>
      <c r="D575" s="401"/>
      <c r="E575" s="401"/>
    </row>
    <row r="576" spans="2:5" s="360" customFormat="1" ht="14.25">
      <c r="B576" s="361" t="s">
        <v>823</v>
      </c>
      <c r="C576" s="362">
        <v>1129330</v>
      </c>
      <c r="D576" s="362">
        <v>39855</v>
      </c>
      <c r="E576" s="362">
        <v>1169185</v>
      </c>
    </row>
    <row r="577" spans="2:5" ht="15">
      <c r="B577" s="349" t="s">
        <v>822</v>
      </c>
      <c r="C577" s="347">
        <v>908866</v>
      </c>
      <c r="D577" s="347">
        <v>0</v>
      </c>
      <c r="E577" s="347">
        <v>908866</v>
      </c>
    </row>
    <row r="578" spans="2:5" ht="15">
      <c r="B578" s="349" t="s">
        <v>821</v>
      </c>
      <c r="C578" s="347">
        <v>194240</v>
      </c>
      <c r="D578" s="347">
        <v>38929</v>
      </c>
      <c r="E578" s="347">
        <v>233169</v>
      </c>
    </row>
    <row r="579" spans="2:5" ht="15">
      <c r="B579" s="349" t="s">
        <v>820</v>
      </c>
      <c r="C579" s="347">
        <v>21224</v>
      </c>
      <c r="D579" s="347">
        <v>0</v>
      </c>
      <c r="E579" s="347">
        <v>21224</v>
      </c>
    </row>
    <row r="580" spans="2:5" ht="15">
      <c r="B580" s="349" t="s">
        <v>818</v>
      </c>
      <c r="C580" s="347">
        <v>5000</v>
      </c>
      <c r="D580" s="347">
        <v>926</v>
      </c>
      <c r="E580" s="347">
        <v>5926</v>
      </c>
    </row>
    <row r="582" spans="1:5" ht="15.75" customHeight="1">
      <c r="A582" s="400" t="s">
        <v>860</v>
      </c>
      <c r="B582" s="401"/>
      <c r="C582" s="401"/>
      <c r="D582" s="401"/>
      <c r="E582" s="401"/>
    </row>
    <row r="583" spans="2:5" s="360" customFormat="1" ht="14.25">
      <c r="B583" s="361" t="s">
        <v>823</v>
      </c>
      <c r="C583" s="362">
        <v>298851</v>
      </c>
      <c r="D583" s="362">
        <v>0</v>
      </c>
      <c r="E583" s="362">
        <v>298851</v>
      </c>
    </row>
    <row r="584" spans="2:5" ht="15">
      <c r="B584" s="349" t="s">
        <v>822</v>
      </c>
      <c r="C584" s="347">
        <v>242727</v>
      </c>
      <c r="D584" s="347">
        <v>-220</v>
      </c>
      <c r="E584" s="347">
        <v>242507</v>
      </c>
    </row>
    <row r="585" spans="2:5" ht="15">
      <c r="B585" s="349" t="s">
        <v>821</v>
      </c>
      <c r="C585" s="347">
        <v>55480</v>
      </c>
      <c r="D585" s="347">
        <v>-5830</v>
      </c>
      <c r="E585" s="347">
        <v>49650</v>
      </c>
    </row>
    <row r="586" spans="2:5" ht="15">
      <c r="B586" s="349" t="s">
        <v>818</v>
      </c>
      <c r="C586" s="347">
        <v>0</v>
      </c>
      <c r="D586" s="347">
        <v>6050</v>
      </c>
      <c r="E586" s="347">
        <v>6050</v>
      </c>
    </row>
    <row r="587" spans="2:5" ht="30">
      <c r="B587" s="349" t="s">
        <v>816</v>
      </c>
      <c r="C587" s="347">
        <v>644</v>
      </c>
      <c r="D587" s="347">
        <v>0</v>
      </c>
      <c r="E587" s="347">
        <v>644</v>
      </c>
    </row>
    <row r="589" spans="1:5" ht="15.75" customHeight="1">
      <c r="A589" s="400" t="s">
        <v>859</v>
      </c>
      <c r="B589" s="401"/>
      <c r="C589" s="401"/>
      <c r="D589" s="401"/>
      <c r="E589" s="401"/>
    </row>
    <row r="590" spans="2:5" s="360" customFormat="1" ht="14.25">
      <c r="B590" s="361" t="s">
        <v>823</v>
      </c>
      <c r="C590" s="362">
        <v>1025855</v>
      </c>
      <c r="D590" s="362">
        <v>0</v>
      </c>
      <c r="E590" s="362">
        <v>1025855</v>
      </c>
    </row>
    <row r="591" spans="2:5" ht="15">
      <c r="B591" s="349" t="s">
        <v>821</v>
      </c>
      <c r="C591" s="347">
        <v>1023714</v>
      </c>
      <c r="D591" s="347">
        <v>0</v>
      </c>
      <c r="E591" s="347">
        <v>1023714</v>
      </c>
    </row>
    <row r="592" spans="2:5" ht="30">
      <c r="B592" s="349" t="s">
        <v>816</v>
      </c>
      <c r="C592" s="347">
        <v>2141</v>
      </c>
      <c r="D592" s="347">
        <v>0</v>
      </c>
      <c r="E592" s="347">
        <v>2141</v>
      </c>
    </row>
    <row r="594" spans="1:5" ht="31.5" customHeight="1">
      <c r="A594" s="400" t="s">
        <v>858</v>
      </c>
      <c r="B594" s="401"/>
      <c r="C594" s="401"/>
      <c r="D594" s="401"/>
      <c r="E594" s="401"/>
    </row>
    <row r="595" spans="2:5" s="360" customFormat="1" ht="14.25">
      <c r="B595" s="361" t="s">
        <v>823</v>
      </c>
      <c r="C595" s="362">
        <v>135026</v>
      </c>
      <c r="D595" s="362">
        <v>0</v>
      </c>
      <c r="E595" s="362">
        <v>135026</v>
      </c>
    </row>
    <row r="596" spans="2:5" ht="15">
      <c r="B596" s="349" t="s">
        <v>822</v>
      </c>
      <c r="C596" s="347">
        <v>72043</v>
      </c>
      <c r="D596" s="347">
        <v>0</v>
      </c>
      <c r="E596" s="347">
        <v>72043</v>
      </c>
    </row>
    <row r="597" spans="2:5" ht="15">
      <c r="B597" s="349" t="s">
        <v>821</v>
      </c>
      <c r="C597" s="347">
        <v>62983</v>
      </c>
      <c r="D597" s="347">
        <v>-2000</v>
      </c>
      <c r="E597" s="347">
        <v>60983</v>
      </c>
    </row>
    <row r="598" spans="2:5" ht="15">
      <c r="B598" s="349" t="s">
        <v>818</v>
      </c>
      <c r="C598" s="347">
        <v>0</v>
      </c>
      <c r="D598" s="347">
        <v>2000</v>
      </c>
      <c r="E598" s="347">
        <v>2000</v>
      </c>
    </row>
    <row r="600" spans="1:5" ht="15.75" customHeight="1">
      <c r="A600" s="400" t="s">
        <v>857</v>
      </c>
      <c r="B600" s="401"/>
      <c r="C600" s="401"/>
      <c r="D600" s="401"/>
      <c r="E600" s="401"/>
    </row>
    <row r="601" spans="2:5" s="360" customFormat="1" ht="14.25">
      <c r="B601" s="361" t="s">
        <v>823</v>
      </c>
      <c r="C601" s="362">
        <v>22984</v>
      </c>
      <c r="D601" s="362">
        <v>0</v>
      </c>
      <c r="E601" s="362">
        <v>22984</v>
      </c>
    </row>
    <row r="602" spans="2:5" ht="15">
      <c r="B602" s="349" t="s">
        <v>822</v>
      </c>
      <c r="C602" s="347">
        <v>22984</v>
      </c>
      <c r="D602" s="347">
        <v>0</v>
      </c>
      <c r="E602" s="347">
        <v>22984</v>
      </c>
    </row>
    <row r="604" spans="1:5" ht="31.5" customHeight="1">
      <c r="A604" s="400" t="s">
        <v>856</v>
      </c>
      <c r="B604" s="401"/>
      <c r="C604" s="401"/>
      <c r="D604" s="401"/>
      <c r="E604" s="401"/>
    </row>
    <row r="605" spans="2:5" s="360" customFormat="1" ht="14.25">
      <c r="B605" s="361" t="s">
        <v>823</v>
      </c>
      <c r="C605" s="362">
        <v>246557</v>
      </c>
      <c r="D605" s="362">
        <v>16396</v>
      </c>
      <c r="E605" s="362">
        <v>262953</v>
      </c>
    </row>
    <row r="606" spans="2:5" ht="15">
      <c r="B606" s="349" t="s">
        <v>822</v>
      </c>
      <c r="C606" s="347">
        <v>129089</v>
      </c>
      <c r="D606" s="347">
        <v>0</v>
      </c>
      <c r="E606" s="347">
        <v>129089</v>
      </c>
    </row>
    <row r="607" spans="2:5" ht="15">
      <c r="B607" s="349" t="s">
        <v>821</v>
      </c>
      <c r="C607" s="347">
        <v>107468</v>
      </c>
      <c r="D607" s="347">
        <v>-2355</v>
      </c>
      <c r="E607" s="347">
        <v>105113</v>
      </c>
    </row>
    <row r="608" spans="2:5" ht="15">
      <c r="B608" s="349" t="s">
        <v>818</v>
      </c>
      <c r="C608" s="347">
        <v>10000</v>
      </c>
      <c r="D608" s="347">
        <v>18751</v>
      </c>
      <c r="E608" s="347">
        <v>28751</v>
      </c>
    </row>
    <row r="610" spans="1:5" ht="15.75" customHeight="1">
      <c r="A610" s="400" t="s">
        <v>855</v>
      </c>
      <c r="B610" s="401"/>
      <c r="C610" s="401"/>
      <c r="D610" s="401"/>
      <c r="E610" s="401"/>
    </row>
    <row r="611" spans="2:5" s="360" customFormat="1" ht="14.25">
      <c r="B611" s="361" t="s">
        <v>823</v>
      </c>
      <c r="C611" s="362">
        <v>963725</v>
      </c>
      <c r="D611" s="362">
        <v>0</v>
      </c>
      <c r="E611" s="362">
        <v>963725</v>
      </c>
    </row>
    <row r="612" spans="2:5" ht="15">
      <c r="B612" s="349" t="s">
        <v>822</v>
      </c>
      <c r="C612" s="347">
        <v>768343</v>
      </c>
      <c r="D612" s="347">
        <v>0</v>
      </c>
      <c r="E612" s="347">
        <v>768343</v>
      </c>
    </row>
    <row r="613" spans="2:5" ht="15">
      <c r="B613" s="349" t="s">
        <v>821</v>
      </c>
      <c r="C613" s="347">
        <v>87988</v>
      </c>
      <c r="D613" s="347">
        <v>0</v>
      </c>
      <c r="E613" s="347">
        <v>87988</v>
      </c>
    </row>
    <row r="614" spans="2:5" ht="15">
      <c r="B614" s="349" t="s">
        <v>818</v>
      </c>
      <c r="C614" s="347">
        <v>106994</v>
      </c>
      <c r="D614" s="347">
        <v>0</v>
      </c>
      <c r="E614" s="347">
        <v>106994</v>
      </c>
    </row>
    <row r="615" spans="2:5" ht="15">
      <c r="B615" s="349" t="s">
        <v>817</v>
      </c>
      <c r="C615" s="347">
        <v>400</v>
      </c>
      <c r="D615" s="347">
        <v>0</v>
      </c>
      <c r="E615" s="347">
        <v>400</v>
      </c>
    </row>
    <row r="617" spans="1:5" ht="15.75" customHeight="1">
      <c r="A617" s="400" t="s">
        <v>854</v>
      </c>
      <c r="B617" s="401"/>
      <c r="C617" s="401"/>
      <c r="D617" s="401"/>
      <c r="E617" s="401"/>
    </row>
    <row r="618" spans="2:5" s="360" customFormat="1" ht="14.25">
      <c r="B618" s="361" t="s">
        <v>823</v>
      </c>
      <c r="C618" s="362">
        <v>300469</v>
      </c>
      <c r="D618" s="362">
        <v>34248</v>
      </c>
      <c r="E618" s="362">
        <v>334717</v>
      </c>
    </row>
    <row r="619" spans="2:5" ht="15">
      <c r="B619" s="349" t="s">
        <v>822</v>
      </c>
      <c r="C619" s="347">
        <v>285309</v>
      </c>
      <c r="D619" s="347">
        <v>34248</v>
      </c>
      <c r="E619" s="347">
        <v>319557</v>
      </c>
    </row>
    <row r="620" spans="2:5" ht="15">
      <c r="B620" s="349" t="s">
        <v>821</v>
      </c>
      <c r="C620" s="347">
        <v>15160</v>
      </c>
      <c r="D620" s="347">
        <v>0</v>
      </c>
      <c r="E620" s="347">
        <v>15160</v>
      </c>
    </row>
    <row r="622" spans="1:5" ht="15.75" customHeight="1">
      <c r="A622" s="400" t="s">
        <v>853</v>
      </c>
      <c r="B622" s="401"/>
      <c r="C622" s="401"/>
      <c r="D622" s="401"/>
      <c r="E622" s="401"/>
    </row>
    <row r="623" spans="2:5" s="360" customFormat="1" ht="14.25">
      <c r="B623" s="361" t="s">
        <v>823</v>
      </c>
      <c r="C623" s="362">
        <v>122776</v>
      </c>
      <c r="D623" s="362">
        <v>0</v>
      </c>
      <c r="E623" s="362">
        <v>122776</v>
      </c>
    </row>
    <row r="624" spans="2:5" ht="15">
      <c r="B624" s="349" t="s">
        <v>822</v>
      </c>
      <c r="C624" s="347">
        <v>117478</v>
      </c>
      <c r="D624" s="347">
        <v>0</v>
      </c>
      <c r="E624" s="347">
        <v>117478</v>
      </c>
    </row>
    <row r="625" spans="2:5" ht="15">
      <c r="B625" s="349" t="s">
        <v>821</v>
      </c>
      <c r="C625" s="347">
        <v>5298</v>
      </c>
      <c r="D625" s="347">
        <v>0</v>
      </c>
      <c r="E625" s="347">
        <v>5298</v>
      </c>
    </row>
    <row r="627" spans="1:5" ht="15.75" customHeight="1">
      <c r="A627" s="400" t="s">
        <v>852</v>
      </c>
      <c r="B627" s="401"/>
      <c r="C627" s="401"/>
      <c r="D627" s="401"/>
      <c r="E627" s="401"/>
    </row>
    <row r="628" spans="2:5" s="360" customFormat="1" ht="14.25">
      <c r="B628" s="361" t="s">
        <v>823</v>
      </c>
      <c r="C628" s="362">
        <v>382000</v>
      </c>
      <c r="D628" s="362">
        <v>0</v>
      </c>
      <c r="E628" s="362">
        <v>382000</v>
      </c>
    </row>
    <row r="629" spans="2:5" ht="15">
      <c r="B629" s="349" t="s">
        <v>817</v>
      </c>
      <c r="C629" s="347">
        <v>382000</v>
      </c>
      <c r="D629" s="347">
        <v>0</v>
      </c>
      <c r="E629" s="347">
        <v>382000</v>
      </c>
    </row>
    <row r="630" ht="23.25" customHeight="1"/>
    <row r="631" spans="1:5" ht="24" customHeight="1">
      <c r="A631" s="402" t="s">
        <v>851</v>
      </c>
      <c r="B631" s="403"/>
      <c r="C631" s="403"/>
      <c r="D631" s="403"/>
      <c r="E631" s="403"/>
    </row>
    <row r="632" spans="1:5" ht="14.25">
      <c r="A632" s="357"/>
      <c r="B632" s="358" t="s">
        <v>823</v>
      </c>
      <c r="C632" s="359">
        <v>229240</v>
      </c>
      <c r="D632" s="359">
        <v>0</v>
      </c>
      <c r="E632" s="359">
        <v>229240</v>
      </c>
    </row>
    <row r="633" spans="1:5" ht="14.25">
      <c r="A633" s="357"/>
      <c r="B633" s="358" t="s">
        <v>822</v>
      </c>
      <c r="C633" s="359">
        <v>205532</v>
      </c>
      <c r="D633" s="359">
        <v>0</v>
      </c>
      <c r="E633" s="359">
        <v>205532</v>
      </c>
    </row>
    <row r="634" spans="1:5" ht="14.25">
      <c r="A634" s="357"/>
      <c r="B634" s="358" t="s">
        <v>821</v>
      </c>
      <c r="C634" s="359">
        <v>20708</v>
      </c>
      <c r="D634" s="359">
        <v>0</v>
      </c>
      <c r="E634" s="359">
        <v>20708</v>
      </c>
    </row>
    <row r="635" spans="1:5" ht="14.25">
      <c r="A635" s="357"/>
      <c r="B635" s="358" t="s">
        <v>818</v>
      </c>
      <c r="C635" s="359">
        <v>3000</v>
      </c>
      <c r="D635" s="359">
        <v>0</v>
      </c>
      <c r="E635" s="359">
        <v>3000</v>
      </c>
    </row>
    <row r="637" spans="1:5" ht="15.75" customHeight="1">
      <c r="A637" s="400" t="s">
        <v>850</v>
      </c>
      <c r="B637" s="401"/>
      <c r="C637" s="401"/>
      <c r="D637" s="401"/>
      <c r="E637" s="401"/>
    </row>
    <row r="638" spans="2:5" s="360" customFormat="1" ht="14.25">
      <c r="B638" s="361" t="s">
        <v>823</v>
      </c>
      <c r="C638" s="362">
        <v>229240</v>
      </c>
      <c r="D638" s="362">
        <v>0</v>
      </c>
      <c r="E638" s="362">
        <v>229240</v>
      </c>
    </row>
    <row r="639" spans="2:5" ht="15">
      <c r="B639" s="349" t="s">
        <v>822</v>
      </c>
      <c r="C639" s="347">
        <v>205532</v>
      </c>
      <c r="D639" s="347">
        <v>0</v>
      </c>
      <c r="E639" s="347">
        <v>205532</v>
      </c>
    </row>
    <row r="640" spans="2:5" ht="15">
      <c r="B640" s="349" t="s">
        <v>821</v>
      </c>
      <c r="C640" s="347">
        <v>20708</v>
      </c>
      <c r="D640" s="347">
        <v>0</v>
      </c>
      <c r="E640" s="347">
        <v>20708</v>
      </c>
    </row>
    <row r="641" spans="2:5" ht="15">
      <c r="B641" s="349" t="s">
        <v>818</v>
      </c>
      <c r="C641" s="347">
        <v>3000</v>
      </c>
      <c r="D641" s="347">
        <v>0</v>
      </c>
      <c r="E641" s="347">
        <v>3000</v>
      </c>
    </row>
    <row r="643" spans="1:5" ht="31.5" customHeight="1">
      <c r="A643" s="402" t="s">
        <v>849</v>
      </c>
      <c r="B643" s="403"/>
      <c r="C643" s="403"/>
      <c r="D643" s="403"/>
      <c r="E643" s="403"/>
    </row>
    <row r="644" spans="1:5" ht="14.25">
      <c r="A644" s="357"/>
      <c r="B644" s="358" t="s">
        <v>823</v>
      </c>
      <c r="C644" s="359">
        <v>10445253</v>
      </c>
      <c r="D644" s="359">
        <v>400</v>
      </c>
      <c r="E644" s="359">
        <v>10445653</v>
      </c>
    </row>
    <row r="645" spans="1:5" ht="14.25">
      <c r="A645" s="357"/>
      <c r="B645" s="358" t="s">
        <v>822</v>
      </c>
      <c r="C645" s="359">
        <v>4279266</v>
      </c>
      <c r="D645" s="359">
        <v>0</v>
      </c>
      <c r="E645" s="359">
        <v>4279266</v>
      </c>
    </row>
    <row r="646" spans="1:5" ht="14.25">
      <c r="A646" s="357"/>
      <c r="B646" s="358" t="s">
        <v>821</v>
      </c>
      <c r="C646" s="359">
        <v>627924</v>
      </c>
      <c r="D646" s="359">
        <v>0</v>
      </c>
      <c r="E646" s="359">
        <v>627924</v>
      </c>
    </row>
    <row r="647" spans="1:5" ht="14.25">
      <c r="A647" s="357"/>
      <c r="B647" s="358" t="s">
        <v>818</v>
      </c>
      <c r="C647" s="359">
        <v>32600</v>
      </c>
      <c r="D647" s="359">
        <v>0</v>
      </c>
      <c r="E647" s="359">
        <v>32600</v>
      </c>
    </row>
    <row r="648" spans="1:5" ht="14.25">
      <c r="A648" s="357"/>
      <c r="B648" s="358" t="s">
        <v>817</v>
      </c>
      <c r="C648" s="359">
        <v>5500366</v>
      </c>
      <c r="D648" s="359">
        <v>400</v>
      </c>
      <c r="E648" s="359">
        <v>5500766</v>
      </c>
    </row>
    <row r="649" spans="1:5" ht="30.75" customHeight="1">
      <c r="A649" s="357"/>
      <c r="B649" s="358" t="s">
        <v>816</v>
      </c>
      <c r="C649" s="359">
        <v>5097</v>
      </c>
      <c r="D649" s="359">
        <v>0</v>
      </c>
      <c r="E649" s="359">
        <v>5097</v>
      </c>
    </row>
    <row r="651" spans="1:5" ht="15.75" customHeight="1">
      <c r="A651" s="400" t="s">
        <v>848</v>
      </c>
      <c r="B651" s="401"/>
      <c r="C651" s="401"/>
      <c r="D651" s="401"/>
      <c r="E651" s="401"/>
    </row>
    <row r="652" spans="2:5" s="360" customFormat="1" ht="14.25">
      <c r="B652" s="361" t="s">
        <v>823</v>
      </c>
      <c r="C652" s="362">
        <v>72630</v>
      </c>
      <c r="D652" s="362">
        <v>0</v>
      </c>
      <c r="E652" s="362">
        <v>72630</v>
      </c>
    </row>
    <row r="653" spans="2:5" ht="15">
      <c r="B653" s="349" t="s">
        <v>817</v>
      </c>
      <c r="C653" s="347">
        <v>72630</v>
      </c>
      <c r="D653" s="347">
        <v>0</v>
      </c>
      <c r="E653" s="347">
        <v>72630</v>
      </c>
    </row>
    <row r="655" spans="1:5" ht="15.75" customHeight="1">
      <c r="A655" s="400" t="s">
        <v>847</v>
      </c>
      <c r="B655" s="401"/>
      <c r="C655" s="401"/>
      <c r="D655" s="401"/>
      <c r="E655" s="401"/>
    </row>
    <row r="656" spans="2:5" s="360" customFormat="1" ht="14.25">
      <c r="B656" s="361" t="s">
        <v>823</v>
      </c>
      <c r="C656" s="362">
        <v>13730</v>
      </c>
      <c r="D656" s="362">
        <v>0</v>
      </c>
      <c r="E656" s="362">
        <v>13730</v>
      </c>
    </row>
    <row r="657" spans="2:5" ht="15">
      <c r="B657" s="349" t="s">
        <v>817</v>
      </c>
      <c r="C657" s="347">
        <v>13730</v>
      </c>
      <c r="D657" s="347">
        <v>0</v>
      </c>
      <c r="E657" s="347">
        <v>13730</v>
      </c>
    </row>
    <row r="659" spans="1:5" ht="15.75" customHeight="1">
      <c r="A659" s="400" t="s">
        <v>846</v>
      </c>
      <c r="B659" s="401"/>
      <c r="C659" s="401"/>
      <c r="D659" s="401"/>
      <c r="E659" s="401"/>
    </row>
    <row r="660" spans="2:5" s="360" customFormat="1" ht="14.25">
      <c r="B660" s="361" t="s">
        <v>823</v>
      </c>
      <c r="C660" s="362">
        <v>27420</v>
      </c>
      <c r="D660" s="362">
        <v>0</v>
      </c>
      <c r="E660" s="362">
        <v>27420</v>
      </c>
    </row>
    <row r="661" spans="2:5" ht="15">
      <c r="B661" s="349" t="s">
        <v>817</v>
      </c>
      <c r="C661" s="347">
        <v>27420</v>
      </c>
      <c r="D661" s="347">
        <v>0</v>
      </c>
      <c r="E661" s="347">
        <v>27420</v>
      </c>
    </row>
    <row r="663" spans="1:5" ht="15.75" customHeight="1">
      <c r="A663" s="400" t="s">
        <v>845</v>
      </c>
      <c r="B663" s="401"/>
      <c r="C663" s="401"/>
      <c r="D663" s="401"/>
      <c r="E663" s="401"/>
    </row>
    <row r="664" spans="2:5" s="360" customFormat="1" ht="14.25">
      <c r="B664" s="361" t="s">
        <v>823</v>
      </c>
      <c r="C664" s="362">
        <v>4386</v>
      </c>
      <c r="D664" s="362">
        <v>0</v>
      </c>
      <c r="E664" s="362">
        <v>4386</v>
      </c>
    </row>
    <row r="665" spans="2:5" ht="15">
      <c r="B665" s="349" t="s">
        <v>821</v>
      </c>
      <c r="C665" s="347">
        <v>4386</v>
      </c>
      <c r="D665" s="347">
        <v>0</v>
      </c>
      <c r="E665" s="347">
        <v>4386</v>
      </c>
    </row>
    <row r="667" spans="1:5" ht="15.75" customHeight="1">
      <c r="A667" s="400" t="s">
        <v>844</v>
      </c>
      <c r="B667" s="401"/>
      <c r="C667" s="401"/>
      <c r="D667" s="401"/>
      <c r="E667" s="401"/>
    </row>
    <row r="668" spans="2:5" s="360" customFormat="1" ht="14.25">
      <c r="B668" s="361" t="s">
        <v>823</v>
      </c>
      <c r="C668" s="362">
        <v>1796237</v>
      </c>
      <c r="D668" s="362">
        <v>0</v>
      </c>
      <c r="E668" s="362">
        <v>1796237</v>
      </c>
    </row>
    <row r="669" spans="2:5" ht="15">
      <c r="B669" s="349" t="s">
        <v>822</v>
      </c>
      <c r="C669" s="347">
        <v>1583484</v>
      </c>
      <c r="D669" s="347">
        <v>0</v>
      </c>
      <c r="E669" s="347">
        <v>1583484</v>
      </c>
    </row>
    <row r="670" spans="2:5" ht="15">
      <c r="B670" s="349" t="s">
        <v>821</v>
      </c>
      <c r="C670" s="347">
        <v>44678</v>
      </c>
      <c r="D670" s="347">
        <v>0</v>
      </c>
      <c r="E670" s="347">
        <v>44678</v>
      </c>
    </row>
    <row r="671" spans="2:5" ht="15">
      <c r="B671" s="349" t="s">
        <v>818</v>
      </c>
      <c r="C671" s="347">
        <v>1300</v>
      </c>
      <c r="D671" s="347">
        <v>0</v>
      </c>
      <c r="E671" s="347">
        <v>1300</v>
      </c>
    </row>
    <row r="672" spans="2:5" ht="15">
      <c r="B672" s="349" t="s">
        <v>817</v>
      </c>
      <c r="C672" s="347">
        <v>166753</v>
      </c>
      <c r="D672" s="347">
        <v>0</v>
      </c>
      <c r="E672" s="347">
        <v>166753</v>
      </c>
    </row>
    <row r="673" spans="2:5" ht="30">
      <c r="B673" s="349" t="s">
        <v>816</v>
      </c>
      <c r="C673" s="347">
        <v>22</v>
      </c>
      <c r="D673" s="347">
        <v>0</v>
      </c>
      <c r="E673" s="347">
        <v>22</v>
      </c>
    </row>
    <row r="675" spans="1:5" ht="15.75" customHeight="1">
      <c r="A675" s="400" t="s">
        <v>843</v>
      </c>
      <c r="B675" s="401"/>
      <c r="C675" s="401"/>
      <c r="D675" s="401"/>
      <c r="E675" s="401"/>
    </row>
    <row r="676" spans="2:5" s="360" customFormat="1" ht="14.25">
      <c r="B676" s="361" t="s">
        <v>823</v>
      </c>
      <c r="C676" s="362">
        <v>128811</v>
      </c>
      <c r="D676" s="362">
        <v>0</v>
      </c>
      <c r="E676" s="362">
        <v>128811</v>
      </c>
    </row>
    <row r="677" spans="2:5" ht="15">
      <c r="B677" s="349" t="s">
        <v>822</v>
      </c>
      <c r="C677" s="347">
        <v>97737</v>
      </c>
      <c r="D677" s="347">
        <v>0</v>
      </c>
      <c r="E677" s="347">
        <v>97737</v>
      </c>
    </row>
    <row r="678" spans="2:5" ht="15">
      <c r="B678" s="349" t="s">
        <v>821</v>
      </c>
      <c r="C678" s="347">
        <v>29457</v>
      </c>
      <c r="D678" s="347">
        <v>0</v>
      </c>
      <c r="E678" s="347">
        <v>29457</v>
      </c>
    </row>
    <row r="679" spans="2:5" ht="15">
      <c r="B679" s="349" t="s">
        <v>818</v>
      </c>
      <c r="C679" s="347">
        <v>1300</v>
      </c>
      <c r="D679" s="347">
        <v>0</v>
      </c>
      <c r="E679" s="347">
        <v>1300</v>
      </c>
    </row>
    <row r="680" spans="2:5" ht="30">
      <c r="B680" s="349" t="s">
        <v>816</v>
      </c>
      <c r="C680" s="347">
        <v>317</v>
      </c>
      <c r="D680" s="347">
        <v>0</v>
      </c>
      <c r="E680" s="347">
        <v>317</v>
      </c>
    </row>
    <row r="682" spans="1:5" ht="15.75" customHeight="1">
      <c r="A682" s="400" t="s">
        <v>842</v>
      </c>
      <c r="B682" s="401"/>
      <c r="C682" s="401"/>
      <c r="D682" s="401"/>
      <c r="E682" s="401"/>
    </row>
    <row r="683" spans="2:5" s="360" customFormat="1" ht="14.25">
      <c r="B683" s="361" t="s">
        <v>823</v>
      </c>
      <c r="C683" s="362">
        <v>124964</v>
      </c>
      <c r="D683" s="362">
        <v>0</v>
      </c>
      <c r="E683" s="362">
        <v>124964</v>
      </c>
    </row>
    <row r="684" spans="2:5" ht="15">
      <c r="B684" s="349" t="s">
        <v>822</v>
      </c>
      <c r="C684" s="347">
        <v>90561</v>
      </c>
      <c r="D684" s="347">
        <v>0</v>
      </c>
      <c r="E684" s="347">
        <v>90561</v>
      </c>
    </row>
    <row r="685" spans="2:5" ht="15">
      <c r="B685" s="349" t="s">
        <v>821</v>
      </c>
      <c r="C685" s="347">
        <v>32708</v>
      </c>
      <c r="D685" s="347">
        <v>0</v>
      </c>
      <c r="E685" s="347">
        <v>32708</v>
      </c>
    </row>
    <row r="686" spans="2:5" ht="15">
      <c r="B686" s="349" t="s">
        <v>818</v>
      </c>
      <c r="C686" s="347">
        <v>1300</v>
      </c>
      <c r="D686" s="347">
        <v>0</v>
      </c>
      <c r="E686" s="347">
        <v>1300</v>
      </c>
    </row>
    <row r="687" spans="2:5" ht="30">
      <c r="B687" s="349" t="s">
        <v>816</v>
      </c>
      <c r="C687" s="347">
        <v>395</v>
      </c>
      <c r="D687" s="347">
        <v>0</v>
      </c>
      <c r="E687" s="347">
        <v>395</v>
      </c>
    </row>
    <row r="689" spans="1:5" ht="15.75" customHeight="1">
      <c r="A689" s="400" t="s">
        <v>841</v>
      </c>
      <c r="B689" s="401"/>
      <c r="C689" s="401"/>
      <c r="D689" s="401"/>
      <c r="E689" s="401"/>
    </row>
    <row r="690" spans="2:5" s="360" customFormat="1" ht="14.25">
      <c r="B690" s="361" t="s">
        <v>823</v>
      </c>
      <c r="C690" s="362">
        <v>137159</v>
      </c>
      <c r="D690" s="362">
        <v>0</v>
      </c>
      <c r="E690" s="362">
        <v>137159</v>
      </c>
    </row>
    <row r="691" spans="2:5" ht="15">
      <c r="B691" s="349" t="s">
        <v>822</v>
      </c>
      <c r="C691" s="347">
        <v>93322</v>
      </c>
      <c r="D691" s="347">
        <v>0</v>
      </c>
      <c r="E691" s="347">
        <v>93322</v>
      </c>
    </row>
    <row r="692" spans="2:5" ht="15">
      <c r="B692" s="349" t="s">
        <v>821</v>
      </c>
      <c r="C692" s="347">
        <v>43724</v>
      </c>
      <c r="D692" s="347">
        <v>0</v>
      </c>
      <c r="E692" s="347">
        <v>43724</v>
      </c>
    </row>
    <row r="693" spans="2:5" ht="30">
      <c r="B693" s="349" t="s">
        <v>816</v>
      </c>
      <c r="C693" s="347">
        <v>113</v>
      </c>
      <c r="D693" s="347">
        <v>0</v>
      </c>
      <c r="E693" s="347">
        <v>113</v>
      </c>
    </row>
    <row r="695" spans="1:5" ht="15.75" customHeight="1">
      <c r="A695" s="400" t="s">
        <v>840</v>
      </c>
      <c r="B695" s="401"/>
      <c r="C695" s="401"/>
      <c r="D695" s="401"/>
      <c r="E695" s="401"/>
    </row>
    <row r="696" spans="2:5" s="360" customFormat="1" ht="14.25">
      <c r="B696" s="361" t="s">
        <v>823</v>
      </c>
      <c r="C696" s="362">
        <v>151774</v>
      </c>
      <c r="D696" s="362">
        <v>0</v>
      </c>
      <c r="E696" s="362">
        <v>151774</v>
      </c>
    </row>
    <row r="697" spans="2:5" ht="15">
      <c r="B697" s="349" t="s">
        <v>822</v>
      </c>
      <c r="C697" s="347">
        <v>122028</v>
      </c>
      <c r="D697" s="347">
        <v>0</v>
      </c>
      <c r="E697" s="347">
        <v>122028</v>
      </c>
    </row>
    <row r="698" spans="2:5" ht="15">
      <c r="B698" s="349" t="s">
        <v>821</v>
      </c>
      <c r="C698" s="347">
        <v>26990</v>
      </c>
      <c r="D698" s="347">
        <v>0</v>
      </c>
      <c r="E698" s="347">
        <v>26990</v>
      </c>
    </row>
    <row r="699" spans="2:5" ht="15">
      <c r="B699" s="349" t="s">
        <v>818</v>
      </c>
      <c r="C699" s="347">
        <v>2400</v>
      </c>
      <c r="D699" s="347">
        <v>0</v>
      </c>
      <c r="E699" s="347">
        <v>2400</v>
      </c>
    </row>
    <row r="700" spans="2:5" ht="30">
      <c r="B700" s="349" t="s">
        <v>816</v>
      </c>
      <c r="C700" s="347">
        <v>356</v>
      </c>
      <c r="D700" s="347">
        <v>0</v>
      </c>
      <c r="E700" s="347">
        <v>356</v>
      </c>
    </row>
    <row r="702" spans="1:5" ht="15.75" customHeight="1">
      <c r="A702" s="400" t="s">
        <v>839</v>
      </c>
      <c r="B702" s="401"/>
      <c r="C702" s="401"/>
      <c r="D702" s="401"/>
      <c r="E702" s="401"/>
    </row>
    <row r="703" spans="2:5" s="360" customFormat="1" ht="14.25">
      <c r="B703" s="361" t="s">
        <v>823</v>
      </c>
      <c r="C703" s="362">
        <v>169981</v>
      </c>
      <c r="D703" s="362">
        <v>0</v>
      </c>
      <c r="E703" s="362">
        <v>169981</v>
      </c>
    </row>
    <row r="704" spans="2:5" ht="15">
      <c r="B704" s="349" t="s">
        <v>822</v>
      </c>
      <c r="C704" s="347">
        <v>140229</v>
      </c>
      <c r="D704" s="347">
        <v>0</v>
      </c>
      <c r="E704" s="347">
        <v>140229</v>
      </c>
    </row>
    <row r="705" spans="2:5" ht="15">
      <c r="B705" s="349" t="s">
        <v>821</v>
      </c>
      <c r="C705" s="347">
        <v>29405</v>
      </c>
      <c r="D705" s="347">
        <v>0</v>
      </c>
      <c r="E705" s="347">
        <v>29405</v>
      </c>
    </row>
    <row r="706" spans="2:5" ht="30">
      <c r="B706" s="349" t="s">
        <v>816</v>
      </c>
      <c r="C706" s="347">
        <v>347</v>
      </c>
      <c r="D706" s="347">
        <v>0</v>
      </c>
      <c r="E706" s="347">
        <v>347</v>
      </c>
    </row>
    <row r="708" spans="1:5" ht="15.75" customHeight="1">
      <c r="A708" s="400" t="s">
        <v>838</v>
      </c>
      <c r="B708" s="401"/>
      <c r="C708" s="401"/>
      <c r="D708" s="401"/>
      <c r="E708" s="401"/>
    </row>
    <row r="709" spans="2:5" s="360" customFormat="1" ht="14.25">
      <c r="B709" s="361" t="s">
        <v>823</v>
      </c>
      <c r="C709" s="362">
        <v>59863</v>
      </c>
      <c r="D709" s="362">
        <v>0</v>
      </c>
      <c r="E709" s="362">
        <v>59863</v>
      </c>
    </row>
    <row r="710" spans="2:5" ht="15">
      <c r="B710" s="349" t="s">
        <v>822</v>
      </c>
      <c r="C710" s="347">
        <v>38994</v>
      </c>
      <c r="D710" s="347">
        <v>0</v>
      </c>
      <c r="E710" s="347">
        <v>38994</v>
      </c>
    </row>
    <row r="711" spans="2:5" ht="15">
      <c r="B711" s="349" t="s">
        <v>821</v>
      </c>
      <c r="C711" s="347">
        <v>19569</v>
      </c>
      <c r="D711" s="347">
        <v>0</v>
      </c>
      <c r="E711" s="347">
        <v>19569</v>
      </c>
    </row>
    <row r="712" spans="2:5" ht="15">
      <c r="B712" s="349" t="s">
        <v>818</v>
      </c>
      <c r="C712" s="347">
        <v>1300</v>
      </c>
      <c r="D712" s="347">
        <v>0</v>
      </c>
      <c r="E712" s="347">
        <v>1300</v>
      </c>
    </row>
    <row r="714" spans="1:5" ht="15.75" customHeight="1">
      <c r="A714" s="400" t="s">
        <v>837</v>
      </c>
      <c r="B714" s="401"/>
      <c r="C714" s="401"/>
      <c r="D714" s="401"/>
      <c r="E714" s="401"/>
    </row>
    <row r="715" spans="2:5" s="360" customFormat="1" ht="14.25">
      <c r="B715" s="361" t="s">
        <v>823</v>
      </c>
      <c r="C715" s="362">
        <v>367739</v>
      </c>
      <c r="D715" s="362">
        <v>0</v>
      </c>
      <c r="E715" s="362">
        <v>367739</v>
      </c>
    </row>
    <row r="716" spans="2:5" ht="15">
      <c r="B716" s="349" t="s">
        <v>822</v>
      </c>
      <c r="C716" s="347">
        <v>139431</v>
      </c>
      <c r="D716" s="347">
        <v>0</v>
      </c>
      <c r="E716" s="347">
        <v>139431</v>
      </c>
    </row>
    <row r="717" spans="2:5" ht="15">
      <c r="B717" s="349" t="s">
        <v>821</v>
      </c>
      <c r="C717" s="347">
        <v>11519</v>
      </c>
      <c r="D717" s="347">
        <v>0</v>
      </c>
      <c r="E717" s="347">
        <v>11519</v>
      </c>
    </row>
    <row r="718" spans="2:5" ht="15">
      <c r="B718" s="349" t="s">
        <v>818</v>
      </c>
      <c r="C718" s="347">
        <v>2600</v>
      </c>
      <c r="D718" s="347">
        <v>0</v>
      </c>
      <c r="E718" s="347">
        <v>2600</v>
      </c>
    </row>
    <row r="719" spans="2:5" ht="15">
      <c r="B719" s="349" t="s">
        <v>817</v>
      </c>
      <c r="C719" s="347">
        <v>214038</v>
      </c>
      <c r="D719" s="347">
        <v>0</v>
      </c>
      <c r="E719" s="347">
        <v>214038</v>
      </c>
    </row>
    <row r="720" spans="2:5" ht="30">
      <c r="B720" s="349" t="s">
        <v>816</v>
      </c>
      <c r="C720" s="347">
        <v>151</v>
      </c>
      <c r="D720" s="347">
        <v>0</v>
      </c>
      <c r="E720" s="347">
        <v>151</v>
      </c>
    </row>
    <row r="722" spans="1:5" ht="15.75" customHeight="1">
      <c r="A722" s="400" t="s">
        <v>836</v>
      </c>
      <c r="B722" s="401"/>
      <c r="C722" s="401"/>
      <c r="D722" s="401"/>
      <c r="E722" s="401"/>
    </row>
    <row r="723" spans="2:5" s="360" customFormat="1" ht="14.25">
      <c r="B723" s="361" t="s">
        <v>823</v>
      </c>
      <c r="C723" s="362">
        <v>1397557</v>
      </c>
      <c r="D723" s="362">
        <v>0</v>
      </c>
      <c r="E723" s="362">
        <v>1397557</v>
      </c>
    </row>
    <row r="724" spans="2:5" ht="15">
      <c r="B724" s="349" t="s">
        <v>817</v>
      </c>
      <c r="C724" s="347">
        <v>1397557</v>
      </c>
      <c r="D724" s="347">
        <v>0</v>
      </c>
      <c r="E724" s="347">
        <v>1397557</v>
      </c>
    </row>
    <row r="726" spans="1:5" ht="15.75" customHeight="1">
      <c r="A726" s="400" t="s">
        <v>835</v>
      </c>
      <c r="B726" s="401"/>
      <c r="C726" s="401"/>
      <c r="D726" s="401"/>
      <c r="E726" s="401"/>
    </row>
    <row r="727" spans="2:5" s="360" customFormat="1" ht="14.25">
      <c r="B727" s="361" t="s">
        <v>823</v>
      </c>
      <c r="C727" s="362">
        <v>1767985</v>
      </c>
      <c r="D727" s="362">
        <v>0</v>
      </c>
      <c r="E727" s="362">
        <v>1767985</v>
      </c>
    </row>
    <row r="728" spans="2:5" ht="15">
      <c r="B728" s="349" t="s">
        <v>822</v>
      </c>
      <c r="C728" s="347">
        <v>5950</v>
      </c>
      <c r="D728" s="347">
        <v>0</v>
      </c>
      <c r="E728" s="347">
        <v>5950</v>
      </c>
    </row>
    <row r="729" spans="2:5" ht="15">
      <c r="B729" s="349" t="s">
        <v>821</v>
      </c>
      <c r="C729" s="347">
        <v>8273</v>
      </c>
      <c r="D729" s="347">
        <v>0</v>
      </c>
      <c r="E729" s="347">
        <v>8273</v>
      </c>
    </row>
    <row r="730" spans="2:5" ht="15">
      <c r="B730" s="349" t="s">
        <v>817</v>
      </c>
      <c r="C730" s="347">
        <v>1753762</v>
      </c>
      <c r="D730" s="347">
        <v>0</v>
      </c>
      <c r="E730" s="347">
        <v>1753762</v>
      </c>
    </row>
    <row r="732" spans="1:5" ht="15.75" customHeight="1">
      <c r="A732" s="400" t="s">
        <v>834</v>
      </c>
      <c r="B732" s="401"/>
      <c r="C732" s="401"/>
      <c r="D732" s="401"/>
      <c r="E732" s="401"/>
    </row>
    <row r="733" spans="2:5" s="360" customFormat="1" ht="14.25">
      <c r="B733" s="361" t="s">
        <v>823</v>
      </c>
      <c r="C733" s="362">
        <v>1250552</v>
      </c>
      <c r="D733" s="362">
        <v>0</v>
      </c>
      <c r="E733" s="362">
        <v>1250552</v>
      </c>
    </row>
    <row r="734" spans="2:5" ht="15">
      <c r="B734" s="349" t="s">
        <v>821</v>
      </c>
      <c r="C734" s="347">
        <v>6772</v>
      </c>
      <c r="D734" s="347">
        <v>0</v>
      </c>
      <c r="E734" s="347">
        <v>6772</v>
      </c>
    </row>
    <row r="735" spans="2:5" ht="15">
      <c r="B735" s="349" t="s">
        <v>818</v>
      </c>
      <c r="C735" s="347">
        <v>3900</v>
      </c>
      <c r="D735" s="347">
        <v>0</v>
      </c>
      <c r="E735" s="347">
        <v>3900</v>
      </c>
    </row>
    <row r="736" spans="2:5" ht="15">
      <c r="B736" s="349" t="s">
        <v>817</v>
      </c>
      <c r="C736" s="347">
        <v>1239880</v>
      </c>
      <c r="D736" s="347">
        <v>0</v>
      </c>
      <c r="E736" s="347">
        <v>1239880</v>
      </c>
    </row>
    <row r="738" spans="1:5" ht="15.75" customHeight="1">
      <c r="A738" s="400" t="s">
        <v>833</v>
      </c>
      <c r="B738" s="401"/>
      <c r="C738" s="401"/>
      <c r="D738" s="401"/>
      <c r="E738" s="401"/>
    </row>
    <row r="739" spans="2:5" s="360" customFormat="1" ht="14.25">
      <c r="B739" s="361" t="s">
        <v>823</v>
      </c>
      <c r="C739" s="362">
        <v>18793</v>
      </c>
      <c r="D739" s="362">
        <v>0</v>
      </c>
      <c r="E739" s="362">
        <v>18793</v>
      </c>
    </row>
    <row r="740" spans="2:5" ht="15">
      <c r="B740" s="349" t="s">
        <v>821</v>
      </c>
      <c r="C740" s="347">
        <v>3727</v>
      </c>
      <c r="D740" s="347">
        <v>0</v>
      </c>
      <c r="E740" s="347">
        <v>3727</v>
      </c>
    </row>
    <row r="741" spans="2:5" ht="15">
      <c r="B741" s="349" t="s">
        <v>817</v>
      </c>
      <c r="C741" s="347">
        <v>15066</v>
      </c>
      <c r="D741" s="347">
        <v>0</v>
      </c>
      <c r="E741" s="347">
        <v>15066</v>
      </c>
    </row>
    <row r="743" spans="1:5" ht="31.5" customHeight="1">
      <c r="A743" s="400" t="s">
        <v>832</v>
      </c>
      <c r="B743" s="401"/>
      <c r="C743" s="401"/>
      <c r="D743" s="401"/>
      <c r="E743" s="401"/>
    </row>
    <row r="744" spans="2:5" s="360" customFormat="1" ht="14.25">
      <c r="B744" s="361" t="s">
        <v>823</v>
      </c>
      <c r="C744" s="362">
        <v>498132</v>
      </c>
      <c r="D744" s="362">
        <v>400</v>
      </c>
      <c r="E744" s="362">
        <v>498532</v>
      </c>
    </row>
    <row r="745" spans="2:5" ht="15">
      <c r="B745" s="349" t="s">
        <v>817</v>
      </c>
      <c r="C745" s="347">
        <v>498132</v>
      </c>
      <c r="D745" s="347">
        <v>400</v>
      </c>
      <c r="E745" s="347">
        <v>498532</v>
      </c>
    </row>
    <row r="747" spans="1:5" ht="15.75" customHeight="1">
      <c r="A747" s="400" t="s">
        <v>831</v>
      </c>
      <c r="B747" s="401"/>
      <c r="C747" s="401"/>
      <c r="D747" s="401"/>
      <c r="E747" s="401"/>
    </row>
    <row r="748" spans="2:5" s="360" customFormat="1" ht="14.25">
      <c r="B748" s="361" t="s">
        <v>823</v>
      </c>
      <c r="C748" s="362">
        <v>100436</v>
      </c>
      <c r="D748" s="362">
        <v>0</v>
      </c>
      <c r="E748" s="362">
        <v>100436</v>
      </c>
    </row>
    <row r="749" spans="2:5" ht="15">
      <c r="B749" s="349" t="s">
        <v>822</v>
      </c>
      <c r="C749" s="347">
        <v>60124</v>
      </c>
      <c r="D749" s="347">
        <v>0</v>
      </c>
      <c r="E749" s="347">
        <v>60124</v>
      </c>
    </row>
    <row r="750" spans="2:5" ht="15">
      <c r="B750" s="349" t="s">
        <v>821</v>
      </c>
      <c r="C750" s="347">
        <v>39980</v>
      </c>
      <c r="D750" s="347">
        <v>0</v>
      </c>
      <c r="E750" s="347">
        <v>39980</v>
      </c>
    </row>
    <row r="751" spans="2:5" ht="30">
      <c r="B751" s="349" t="s">
        <v>816</v>
      </c>
      <c r="C751" s="347">
        <v>332</v>
      </c>
      <c r="D751" s="347">
        <v>0</v>
      </c>
      <c r="E751" s="347">
        <v>332</v>
      </c>
    </row>
    <row r="753" spans="1:5" ht="15.75" customHeight="1">
      <c r="A753" s="400" t="s">
        <v>830</v>
      </c>
      <c r="B753" s="401"/>
      <c r="C753" s="401"/>
      <c r="D753" s="401"/>
      <c r="E753" s="401"/>
    </row>
    <row r="754" spans="2:5" s="360" customFormat="1" ht="14.25">
      <c r="B754" s="361" t="s">
        <v>823</v>
      </c>
      <c r="C754" s="362">
        <v>18632</v>
      </c>
      <c r="D754" s="362">
        <v>0</v>
      </c>
      <c r="E754" s="362">
        <v>18632</v>
      </c>
    </row>
    <row r="755" spans="2:5" ht="15">
      <c r="B755" s="349" t="s">
        <v>822</v>
      </c>
      <c r="C755" s="347">
        <v>11159</v>
      </c>
      <c r="D755" s="347">
        <v>0</v>
      </c>
      <c r="E755" s="347">
        <v>11159</v>
      </c>
    </row>
    <row r="756" spans="2:5" ht="15">
      <c r="B756" s="349" t="s">
        <v>821</v>
      </c>
      <c r="C756" s="347">
        <v>7473</v>
      </c>
      <c r="D756" s="347">
        <v>0</v>
      </c>
      <c r="E756" s="347">
        <v>7473</v>
      </c>
    </row>
    <row r="758" spans="1:5" ht="15.75" customHeight="1">
      <c r="A758" s="400" t="s">
        <v>829</v>
      </c>
      <c r="B758" s="401"/>
      <c r="C758" s="401"/>
      <c r="D758" s="401"/>
      <c r="E758" s="401"/>
    </row>
    <row r="759" spans="2:5" s="360" customFormat="1" ht="14.25">
      <c r="B759" s="361" t="s">
        <v>823</v>
      </c>
      <c r="C759" s="362">
        <v>380081</v>
      </c>
      <c r="D759" s="362">
        <v>0</v>
      </c>
      <c r="E759" s="362">
        <v>380081</v>
      </c>
    </row>
    <row r="760" spans="2:5" ht="15">
      <c r="B760" s="349" t="s">
        <v>822</v>
      </c>
      <c r="C760" s="347">
        <v>291043</v>
      </c>
      <c r="D760" s="347">
        <v>0</v>
      </c>
      <c r="E760" s="347">
        <v>291043</v>
      </c>
    </row>
    <row r="761" spans="2:5" ht="15">
      <c r="B761" s="349" t="s">
        <v>821</v>
      </c>
      <c r="C761" s="347">
        <v>82991</v>
      </c>
      <c r="D761" s="347">
        <v>0</v>
      </c>
      <c r="E761" s="347">
        <v>82991</v>
      </c>
    </row>
    <row r="762" spans="2:5" ht="15">
      <c r="B762" s="349" t="s">
        <v>818</v>
      </c>
      <c r="C762" s="347">
        <v>5100</v>
      </c>
      <c r="D762" s="347">
        <v>0</v>
      </c>
      <c r="E762" s="347">
        <v>5100</v>
      </c>
    </row>
    <row r="763" spans="2:5" ht="15">
      <c r="B763" s="349" t="s">
        <v>817</v>
      </c>
      <c r="C763" s="347">
        <v>785</v>
      </c>
      <c r="D763" s="347">
        <v>0</v>
      </c>
      <c r="E763" s="347">
        <v>785</v>
      </c>
    </row>
    <row r="764" spans="2:5" ht="30">
      <c r="B764" s="349" t="s">
        <v>816</v>
      </c>
      <c r="C764" s="347">
        <v>162</v>
      </c>
      <c r="D764" s="347">
        <v>0</v>
      </c>
      <c r="E764" s="347">
        <v>162</v>
      </c>
    </row>
    <row r="766" spans="1:5" ht="15.75" customHeight="1">
      <c r="A766" s="400" t="s">
        <v>828</v>
      </c>
      <c r="B766" s="401"/>
      <c r="C766" s="401"/>
      <c r="D766" s="401"/>
      <c r="E766" s="401"/>
    </row>
    <row r="767" spans="2:5" s="360" customFormat="1" ht="14.25">
      <c r="B767" s="361" t="s">
        <v>823</v>
      </c>
      <c r="C767" s="362">
        <v>120935</v>
      </c>
      <c r="D767" s="362">
        <v>0</v>
      </c>
      <c r="E767" s="362">
        <v>120935</v>
      </c>
    </row>
    <row r="768" spans="2:5" ht="15">
      <c r="B768" s="349" t="s">
        <v>822</v>
      </c>
      <c r="C768" s="347">
        <v>97697</v>
      </c>
      <c r="D768" s="347">
        <v>0</v>
      </c>
      <c r="E768" s="347">
        <v>97697</v>
      </c>
    </row>
    <row r="769" spans="2:5" ht="15">
      <c r="B769" s="349" t="s">
        <v>821</v>
      </c>
      <c r="C769" s="347">
        <v>22060</v>
      </c>
      <c r="D769" s="347">
        <v>0</v>
      </c>
      <c r="E769" s="347">
        <v>22060</v>
      </c>
    </row>
    <row r="770" spans="2:5" ht="15">
      <c r="B770" s="349" t="s">
        <v>818</v>
      </c>
      <c r="C770" s="347">
        <v>1000</v>
      </c>
      <c r="D770" s="347">
        <v>0</v>
      </c>
      <c r="E770" s="347">
        <v>1000</v>
      </c>
    </row>
    <row r="771" spans="2:5" ht="30">
      <c r="B771" s="349" t="s">
        <v>816</v>
      </c>
      <c r="C771" s="347">
        <v>178</v>
      </c>
      <c r="D771" s="347">
        <v>0</v>
      </c>
      <c r="E771" s="347">
        <v>178</v>
      </c>
    </row>
    <row r="773" spans="1:5" ht="15.75" customHeight="1">
      <c r="A773" s="400" t="s">
        <v>827</v>
      </c>
      <c r="B773" s="401"/>
      <c r="C773" s="401"/>
      <c r="D773" s="401"/>
      <c r="E773" s="401"/>
    </row>
    <row r="774" spans="2:5" s="360" customFormat="1" ht="14.25">
      <c r="B774" s="361" t="s">
        <v>823</v>
      </c>
      <c r="C774" s="362">
        <v>1736843</v>
      </c>
      <c r="D774" s="362">
        <v>0</v>
      </c>
      <c r="E774" s="362">
        <v>1736843</v>
      </c>
    </row>
    <row r="775" spans="2:5" ht="15">
      <c r="B775" s="349" t="s">
        <v>822</v>
      </c>
      <c r="C775" s="347">
        <v>1507507</v>
      </c>
      <c r="D775" s="347">
        <v>0</v>
      </c>
      <c r="E775" s="347">
        <v>1507507</v>
      </c>
    </row>
    <row r="776" spans="2:5" ht="15">
      <c r="B776" s="349" t="s">
        <v>821</v>
      </c>
      <c r="C776" s="347">
        <v>214212</v>
      </c>
      <c r="D776" s="347">
        <v>0</v>
      </c>
      <c r="E776" s="347">
        <v>214212</v>
      </c>
    </row>
    <row r="777" spans="2:5" ht="15">
      <c r="B777" s="349" t="s">
        <v>818</v>
      </c>
      <c r="C777" s="347">
        <v>12400</v>
      </c>
      <c r="D777" s="347">
        <v>0</v>
      </c>
      <c r="E777" s="347">
        <v>12400</v>
      </c>
    </row>
    <row r="778" spans="2:5" ht="30">
      <c r="B778" s="349" t="s">
        <v>816</v>
      </c>
      <c r="C778" s="347">
        <v>2724</v>
      </c>
      <c r="D778" s="347">
        <v>0</v>
      </c>
      <c r="E778" s="347">
        <v>2724</v>
      </c>
    </row>
    <row r="780" spans="1:5" ht="15.75" customHeight="1">
      <c r="A780" s="400" t="s">
        <v>826</v>
      </c>
      <c r="B780" s="401"/>
      <c r="C780" s="401"/>
      <c r="D780" s="401"/>
      <c r="E780" s="401"/>
    </row>
    <row r="781" spans="2:5" s="360" customFormat="1" ht="14.25">
      <c r="B781" s="361" t="s">
        <v>823</v>
      </c>
      <c r="C781" s="362">
        <v>100613</v>
      </c>
      <c r="D781" s="362">
        <v>0</v>
      </c>
      <c r="E781" s="362">
        <v>100613</v>
      </c>
    </row>
    <row r="782" spans="2:5" ht="15">
      <c r="B782" s="349" t="s">
        <v>817</v>
      </c>
      <c r="C782" s="347">
        <v>100613</v>
      </c>
      <c r="D782" s="347">
        <v>0</v>
      </c>
      <c r="E782" s="347">
        <v>100613</v>
      </c>
    </row>
    <row r="784" spans="1:5" ht="15.75" customHeight="1">
      <c r="A784" s="402" t="s">
        <v>969</v>
      </c>
      <c r="B784" s="403"/>
      <c r="C784" s="403"/>
      <c r="D784" s="403"/>
      <c r="E784" s="403"/>
    </row>
    <row r="785" spans="1:5" ht="14.25">
      <c r="A785" s="357"/>
      <c r="B785" s="358" t="s">
        <v>823</v>
      </c>
      <c r="C785" s="359">
        <v>5471248</v>
      </c>
      <c r="D785" s="359">
        <v>-180527</v>
      </c>
      <c r="E785" s="359">
        <v>5290721</v>
      </c>
    </row>
    <row r="786" spans="1:5" ht="42.75" hidden="1">
      <c r="A786" s="357"/>
      <c r="B786" s="358" t="s">
        <v>816</v>
      </c>
      <c r="C786" s="359">
        <v>0</v>
      </c>
      <c r="D786" s="359">
        <v>0</v>
      </c>
      <c r="E786" s="359">
        <v>0</v>
      </c>
    </row>
    <row r="787" spans="1:5" ht="28.5">
      <c r="A787" s="357"/>
      <c r="B787" s="358" t="s">
        <v>815</v>
      </c>
      <c r="C787" s="359">
        <v>4893582</v>
      </c>
      <c r="D787" s="359">
        <v>0</v>
      </c>
      <c r="E787" s="359">
        <v>4893582</v>
      </c>
    </row>
    <row r="788" spans="1:5" ht="28.5">
      <c r="A788" s="357"/>
      <c r="B788" s="358" t="s">
        <v>814</v>
      </c>
      <c r="C788" s="359">
        <v>379088</v>
      </c>
      <c r="D788" s="359">
        <v>0</v>
      </c>
      <c r="E788" s="359">
        <v>379088</v>
      </c>
    </row>
    <row r="789" spans="1:5" ht="28.5">
      <c r="A789" s="357"/>
      <c r="B789" s="358" t="s">
        <v>813</v>
      </c>
      <c r="C789" s="359">
        <v>198578</v>
      </c>
      <c r="D789" s="359">
        <v>-180527</v>
      </c>
      <c r="E789" s="359">
        <v>18051</v>
      </c>
    </row>
    <row r="791" spans="1:5" ht="15.75" customHeight="1">
      <c r="A791" s="400" t="s">
        <v>825</v>
      </c>
      <c r="B791" s="401"/>
      <c r="C791" s="401"/>
      <c r="D791" s="401"/>
      <c r="E791" s="401"/>
    </row>
    <row r="792" spans="2:5" s="360" customFormat="1" ht="14.25">
      <c r="B792" s="361" t="s">
        <v>823</v>
      </c>
      <c r="C792" s="362">
        <v>4893582</v>
      </c>
      <c r="D792" s="362">
        <v>0</v>
      </c>
      <c r="E792" s="362">
        <v>4893582</v>
      </c>
    </row>
    <row r="793" spans="2:5" ht="15">
      <c r="B793" s="349" t="s">
        <v>815</v>
      </c>
      <c r="C793" s="347">
        <v>4893582</v>
      </c>
      <c r="D793" s="347">
        <v>0</v>
      </c>
      <c r="E793" s="347">
        <v>4893582</v>
      </c>
    </row>
    <row r="795" spans="1:5" ht="15.75" customHeight="1">
      <c r="A795" s="400" t="s">
        <v>824</v>
      </c>
      <c r="B795" s="401"/>
      <c r="C795" s="401"/>
      <c r="D795" s="401"/>
      <c r="E795" s="401"/>
    </row>
    <row r="796" spans="2:5" s="360" customFormat="1" ht="14.25">
      <c r="B796" s="361" t="s">
        <v>823</v>
      </c>
      <c r="C796" s="362">
        <v>379088</v>
      </c>
      <c r="D796" s="362">
        <v>0</v>
      </c>
      <c r="E796" s="362">
        <v>379088</v>
      </c>
    </row>
    <row r="797" spans="2:5" ht="30">
      <c r="B797" s="349" t="s">
        <v>814</v>
      </c>
      <c r="C797" s="347">
        <v>379088</v>
      </c>
      <c r="D797" s="347">
        <v>0</v>
      </c>
      <c r="E797" s="347">
        <v>379088</v>
      </c>
    </row>
    <row r="799" spans="1:5" ht="15.75" customHeight="1">
      <c r="A799" s="400" t="s">
        <v>788</v>
      </c>
      <c r="B799" s="401"/>
      <c r="C799" s="401"/>
      <c r="D799" s="401"/>
      <c r="E799" s="401"/>
    </row>
    <row r="800" spans="2:5" ht="14.25">
      <c r="B800" s="361" t="s">
        <v>823</v>
      </c>
      <c r="C800" s="362">
        <v>115028225</v>
      </c>
      <c r="D800" s="362">
        <v>5287552</v>
      </c>
      <c r="E800" s="362">
        <v>120315777</v>
      </c>
    </row>
    <row r="801" spans="2:5" ht="14.25">
      <c r="B801" s="361" t="s">
        <v>822</v>
      </c>
      <c r="C801" s="362">
        <v>44564004</v>
      </c>
      <c r="D801" s="362">
        <v>81187</v>
      </c>
      <c r="E801" s="362">
        <v>44645191</v>
      </c>
    </row>
    <row r="802" spans="2:5" ht="14.25">
      <c r="B802" s="361" t="s">
        <v>821</v>
      </c>
      <c r="C802" s="362">
        <v>22817290</v>
      </c>
      <c r="D802" s="362">
        <v>556616</v>
      </c>
      <c r="E802" s="362">
        <v>23373906</v>
      </c>
    </row>
    <row r="803" spans="2:5" ht="14.25">
      <c r="B803" s="361" t="s">
        <v>820</v>
      </c>
      <c r="C803" s="362">
        <v>8434573</v>
      </c>
      <c r="D803" s="362">
        <v>-22602</v>
      </c>
      <c r="E803" s="362">
        <v>8411971</v>
      </c>
    </row>
    <row r="804" spans="2:5" ht="14.25">
      <c r="B804" s="361" t="s">
        <v>819</v>
      </c>
      <c r="C804" s="362">
        <v>2086500</v>
      </c>
      <c r="D804" s="362">
        <v>0</v>
      </c>
      <c r="E804" s="362">
        <v>2086500</v>
      </c>
    </row>
    <row r="805" spans="2:5" ht="14.25">
      <c r="B805" s="361" t="s">
        <v>818</v>
      </c>
      <c r="C805" s="362">
        <v>23642215</v>
      </c>
      <c r="D805" s="362">
        <v>4852378</v>
      </c>
      <c r="E805" s="362">
        <v>28494593</v>
      </c>
    </row>
    <row r="806" spans="2:5" ht="14.25">
      <c r="B806" s="361" t="s">
        <v>817</v>
      </c>
      <c r="C806" s="362">
        <v>6525140</v>
      </c>
      <c r="D806" s="362">
        <v>500</v>
      </c>
      <c r="E806" s="362">
        <v>6525640</v>
      </c>
    </row>
    <row r="807" spans="2:5" ht="30.75" customHeight="1">
      <c r="B807" s="361" t="s">
        <v>816</v>
      </c>
      <c r="C807" s="362">
        <v>1487255</v>
      </c>
      <c r="D807" s="362">
        <v>0</v>
      </c>
      <c r="E807" s="362">
        <v>1487255</v>
      </c>
    </row>
    <row r="808" spans="2:5" ht="28.5">
      <c r="B808" s="361" t="s">
        <v>815</v>
      </c>
      <c r="C808" s="362">
        <v>4893582</v>
      </c>
      <c r="D808" s="362">
        <v>0</v>
      </c>
      <c r="E808" s="362">
        <v>4893582</v>
      </c>
    </row>
    <row r="809" spans="2:5" ht="28.5">
      <c r="B809" s="361" t="s">
        <v>814</v>
      </c>
      <c r="C809" s="362">
        <v>379088</v>
      </c>
      <c r="D809" s="362">
        <v>0</v>
      </c>
      <c r="E809" s="362">
        <v>379088</v>
      </c>
    </row>
    <row r="810" spans="2:5" ht="28.5">
      <c r="B810" s="361" t="s">
        <v>813</v>
      </c>
      <c r="C810" s="362">
        <v>198578</v>
      </c>
      <c r="D810" s="362">
        <v>-180527</v>
      </c>
      <c r="E810" s="362">
        <v>18051</v>
      </c>
    </row>
    <row r="811" ht="12.75">
      <c r="E811" s="348"/>
    </row>
    <row r="814" spans="1:5" ht="15.75" customHeight="1">
      <c r="A814" s="381"/>
      <c r="B814" s="381"/>
      <c r="D814" s="346" t="s">
        <v>981</v>
      </c>
      <c r="E814" s="350"/>
    </row>
  </sheetData>
  <sheetProtection/>
  <mergeCells count="147">
    <mergeCell ref="A17:E17"/>
    <mergeCell ref="A8:E8"/>
    <mergeCell ref="C2:E2"/>
    <mergeCell ref="C3:E3"/>
    <mergeCell ref="A5:E5"/>
    <mergeCell ref="A6:B6"/>
    <mergeCell ref="A53:E53"/>
    <mergeCell ref="A48:E48"/>
    <mergeCell ref="A42:E42"/>
    <mergeCell ref="A33:E33"/>
    <mergeCell ref="A37:E37"/>
    <mergeCell ref="A24:E24"/>
    <mergeCell ref="A28:E28"/>
    <mergeCell ref="A83:E83"/>
    <mergeCell ref="A79:E79"/>
    <mergeCell ref="A74:E74"/>
    <mergeCell ref="A67:E67"/>
    <mergeCell ref="A62:E62"/>
    <mergeCell ref="A57:E57"/>
    <mergeCell ref="A111:E111"/>
    <mergeCell ref="A107:E107"/>
    <mergeCell ref="A103:E103"/>
    <mergeCell ref="A95:E95"/>
    <mergeCell ref="A99:E99"/>
    <mergeCell ref="A88:E88"/>
    <mergeCell ref="A143:E143"/>
    <mergeCell ref="A138:E138"/>
    <mergeCell ref="A133:E133"/>
    <mergeCell ref="A125:E125"/>
    <mergeCell ref="A129:E129"/>
    <mergeCell ref="A116:E116"/>
    <mergeCell ref="A120:E120"/>
    <mergeCell ref="A172:E172"/>
    <mergeCell ref="A176:E176"/>
    <mergeCell ref="A164:E164"/>
    <mergeCell ref="A158:E158"/>
    <mergeCell ref="A152:E152"/>
    <mergeCell ref="A148:E148"/>
    <mergeCell ref="A197:E197"/>
    <mergeCell ref="A201:E201"/>
    <mergeCell ref="A193:E193"/>
    <mergeCell ref="A189:E189"/>
    <mergeCell ref="A181:E181"/>
    <mergeCell ref="A185:E185"/>
    <mergeCell ref="A225:E225"/>
    <mergeCell ref="A221:E221"/>
    <mergeCell ref="A213:E213"/>
    <mergeCell ref="A217:E217"/>
    <mergeCell ref="A209:E209"/>
    <mergeCell ref="A205:E205"/>
    <mergeCell ref="A253:E253"/>
    <mergeCell ref="A247:E247"/>
    <mergeCell ref="A241:E241"/>
    <mergeCell ref="A237:E237"/>
    <mergeCell ref="A229:E229"/>
    <mergeCell ref="A233:E233"/>
    <mergeCell ref="A289:E289"/>
    <mergeCell ref="A284:E284"/>
    <mergeCell ref="A278:E278"/>
    <mergeCell ref="A273:E273"/>
    <mergeCell ref="A267:E267"/>
    <mergeCell ref="A260:E260"/>
    <mergeCell ref="A326:E326"/>
    <mergeCell ref="A320:E320"/>
    <mergeCell ref="A312:E312"/>
    <mergeCell ref="A306:E306"/>
    <mergeCell ref="A300:E300"/>
    <mergeCell ref="A294:E294"/>
    <mergeCell ref="A353:E353"/>
    <mergeCell ref="A347:E347"/>
    <mergeCell ref="A343:E343"/>
    <mergeCell ref="A338:E338"/>
    <mergeCell ref="A330:E330"/>
    <mergeCell ref="A334:E334"/>
    <mergeCell ref="A392:E392"/>
    <mergeCell ref="A386:E386"/>
    <mergeCell ref="A380:E380"/>
    <mergeCell ref="A374:E374"/>
    <mergeCell ref="A366:E366"/>
    <mergeCell ref="A360:E360"/>
    <mergeCell ref="A427:E427"/>
    <mergeCell ref="A420:E420"/>
    <mergeCell ref="A414:E414"/>
    <mergeCell ref="A408:E408"/>
    <mergeCell ref="A403:E403"/>
    <mergeCell ref="A398:E398"/>
    <mergeCell ref="A466:E466"/>
    <mergeCell ref="A461:E461"/>
    <mergeCell ref="A456:E456"/>
    <mergeCell ref="A449:E449"/>
    <mergeCell ref="A443:E443"/>
    <mergeCell ref="A434:E434"/>
    <mergeCell ref="A510:E510"/>
    <mergeCell ref="A502:E502"/>
    <mergeCell ref="A493:E493"/>
    <mergeCell ref="A487:E487"/>
    <mergeCell ref="A481:E481"/>
    <mergeCell ref="A473:E473"/>
    <mergeCell ref="A552:E552"/>
    <mergeCell ref="A545:E545"/>
    <mergeCell ref="A536:E536"/>
    <mergeCell ref="A529:E529"/>
    <mergeCell ref="A525:E525"/>
    <mergeCell ref="A516:E516"/>
    <mergeCell ref="A589:E589"/>
    <mergeCell ref="A582:E582"/>
    <mergeCell ref="A575:E575"/>
    <mergeCell ref="A570:E570"/>
    <mergeCell ref="A562:E562"/>
    <mergeCell ref="A558:E558"/>
    <mergeCell ref="A622:E622"/>
    <mergeCell ref="A617:E617"/>
    <mergeCell ref="A610:E610"/>
    <mergeCell ref="A604:E604"/>
    <mergeCell ref="A600:E600"/>
    <mergeCell ref="A594:E594"/>
    <mergeCell ref="A655:E655"/>
    <mergeCell ref="A651:E651"/>
    <mergeCell ref="A643:E643"/>
    <mergeCell ref="A637:E637"/>
    <mergeCell ref="A631:E631"/>
    <mergeCell ref="A627:E627"/>
    <mergeCell ref="A695:E695"/>
    <mergeCell ref="A689:E689"/>
    <mergeCell ref="A682:E682"/>
    <mergeCell ref="A675:E675"/>
    <mergeCell ref="A667:E667"/>
    <mergeCell ref="A659:E659"/>
    <mergeCell ref="A663:E663"/>
    <mergeCell ref="A732:E732"/>
    <mergeCell ref="A726:E726"/>
    <mergeCell ref="A722:E722"/>
    <mergeCell ref="A714:E714"/>
    <mergeCell ref="A708:E708"/>
    <mergeCell ref="A702:E702"/>
    <mergeCell ref="A766:E766"/>
    <mergeCell ref="A758:E758"/>
    <mergeCell ref="A753:E753"/>
    <mergeCell ref="A743:E743"/>
    <mergeCell ref="A747:E747"/>
    <mergeCell ref="A738:E738"/>
    <mergeCell ref="A799:E799"/>
    <mergeCell ref="A791:E791"/>
    <mergeCell ref="A795:E795"/>
    <mergeCell ref="A784:E784"/>
    <mergeCell ref="A780:E780"/>
    <mergeCell ref="A773:E773"/>
  </mergeCells>
  <printOptions/>
  <pageMargins left="0.7874015748031497" right="0.7874015748031497" top="0.7874015748031497" bottom="0.7874015748031497" header="0.1968503937007874" footer="0.1968503937007874"/>
  <pageSetup horizontalDpi="600" verticalDpi="600" orientation="portrait" pageOrder="overThenDown" paperSize="9" scale="88" r:id="rId1"/>
  <headerFooter>
    <oddFooter>&amp;C&amp;P</oddFooter>
  </headerFooter>
  <rowBreaks count="3" manualBreakCount="3">
    <brk id="299" max="255" man="1"/>
    <brk id="419" max="255" man="1"/>
    <brk id="7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43"/>
  <sheetViews>
    <sheetView zoomScale="120" zoomScaleNormal="120" zoomScaleSheetLayoutView="80" zoomScalePageLayoutView="0" workbookViewId="0" topLeftCell="A1">
      <pane xSplit="7" ySplit="6" topLeftCell="S364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C165" sqref="C165:C166"/>
    </sheetView>
  </sheetViews>
  <sheetFormatPr defaultColWidth="9.140625" defaultRowHeight="15"/>
  <cols>
    <col min="1" max="1" width="3.28125" style="131" customWidth="1"/>
    <col min="2" max="2" width="10.140625" style="152" customWidth="1"/>
    <col min="3" max="3" width="42.140625" style="145" customWidth="1"/>
    <col min="4" max="4" width="4.140625" style="145" customWidth="1"/>
    <col min="5" max="5" width="13.8515625" style="145" customWidth="1"/>
    <col min="6" max="6" width="10.421875" style="131" customWidth="1"/>
    <col min="7" max="7" width="11.00390625" style="344" customWidth="1"/>
    <col min="8" max="9" width="11.140625" style="131" customWidth="1"/>
    <col min="10" max="11" width="10.8515625" style="131" customWidth="1"/>
    <col min="12" max="12" width="11.00390625" style="131" customWidth="1"/>
    <col min="13" max="13" width="12.28125" style="131" customWidth="1"/>
    <col min="14" max="17" width="11.140625" style="131" customWidth="1"/>
    <col min="18" max="21" width="11.7109375" style="131" customWidth="1"/>
    <col min="22" max="23" width="11.7109375" style="136" customWidth="1"/>
    <col min="24" max="24" width="13.140625" style="136" customWidth="1"/>
    <col min="25" max="16384" width="9.140625" style="131" customWidth="1"/>
  </cols>
  <sheetData>
    <row r="1" spans="2:13" ht="15.75">
      <c r="B1" s="132"/>
      <c r="C1" s="133"/>
      <c r="D1" s="133"/>
      <c r="E1" s="133"/>
      <c r="F1" s="134"/>
      <c r="G1" s="331"/>
      <c r="M1" s="135" t="s">
        <v>543</v>
      </c>
    </row>
    <row r="2" spans="2:13" ht="15">
      <c r="B2" s="132"/>
      <c r="C2" s="133"/>
      <c r="D2" s="133"/>
      <c r="E2" s="133"/>
      <c r="F2" s="134"/>
      <c r="G2" s="331"/>
      <c r="M2" s="137" t="s">
        <v>972</v>
      </c>
    </row>
    <row r="3" spans="2:13" ht="15">
      <c r="B3" s="132"/>
      <c r="C3" s="133"/>
      <c r="D3" s="133"/>
      <c r="E3" s="133"/>
      <c r="F3" s="134"/>
      <c r="G3" s="331"/>
      <c r="M3" s="317" t="s">
        <v>971</v>
      </c>
    </row>
    <row r="4" spans="1:24" ht="18" customHeight="1">
      <c r="A4" s="412" t="s">
        <v>544</v>
      </c>
      <c r="B4" s="412"/>
      <c r="C4" s="412"/>
      <c r="D4" s="412"/>
      <c r="E4" s="412"/>
      <c r="F4" s="412"/>
      <c r="G4" s="412"/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s="145" customFormat="1" ht="12.75" customHeight="1">
      <c r="A5" s="413" t="s">
        <v>545</v>
      </c>
      <c r="B5" s="415" t="s">
        <v>546</v>
      </c>
      <c r="C5" s="417" t="s">
        <v>547</v>
      </c>
      <c r="D5" s="140"/>
      <c r="E5" s="140" t="s">
        <v>548</v>
      </c>
      <c r="F5" s="140" t="s">
        <v>549</v>
      </c>
      <c r="G5" s="326" t="s">
        <v>550</v>
      </c>
      <c r="H5" s="141"/>
      <c r="I5" s="141"/>
      <c r="J5" s="142">
        <v>0.05</v>
      </c>
      <c r="K5" s="141"/>
      <c r="L5" s="142">
        <v>0.03</v>
      </c>
      <c r="M5" s="141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4" t="s">
        <v>551</v>
      </c>
    </row>
    <row r="6" spans="1:24" s="145" customFormat="1" ht="12.75">
      <c r="A6" s="414"/>
      <c r="B6" s="416"/>
      <c r="C6" s="418"/>
      <c r="D6" s="146"/>
      <c r="E6" s="146" t="s">
        <v>552</v>
      </c>
      <c r="F6" s="146" t="s">
        <v>553</v>
      </c>
      <c r="G6" s="327" t="s">
        <v>554</v>
      </c>
      <c r="H6" s="146">
        <v>2023</v>
      </c>
      <c r="I6" s="146">
        <f aca="true" t="shared" si="0" ref="I6:V6">SUM(H6+1)</f>
        <v>2024</v>
      </c>
      <c r="J6" s="146">
        <f t="shared" si="0"/>
        <v>2025</v>
      </c>
      <c r="K6" s="146">
        <f t="shared" si="0"/>
        <v>2026</v>
      </c>
      <c r="L6" s="146">
        <f t="shared" si="0"/>
        <v>2027</v>
      </c>
      <c r="M6" s="146">
        <f t="shared" si="0"/>
        <v>2028</v>
      </c>
      <c r="N6" s="146">
        <f t="shared" si="0"/>
        <v>2029</v>
      </c>
      <c r="O6" s="146">
        <f t="shared" si="0"/>
        <v>2030</v>
      </c>
      <c r="P6" s="146">
        <f t="shared" si="0"/>
        <v>2031</v>
      </c>
      <c r="Q6" s="146">
        <f t="shared" si="0"/>
        <v>2032</v>
      </c>
      <c r="R6" s="146">
        <f t="shared" si="0"/>
        <v>2033</v>
      </c>
      <c r="S6" s="146">
        <f t="shared" si="0"/>
        <v>2034</v>
      </c>
      <c r="T6" s="146">
        <f t="shared" si="0"/>
        <v>2035</v>
      </c>
      <c r="U6" s="146">
        <f t="shared" si="0"/>
        <v>2036</v>
      </c>
      <c r="V6" s="146">
        <f t="shared" si="0"/>
        <v>2037</v>
      </c>
      <c r="W6" s="147" t="s">
        <v>555</v>
      </c>
      <c r="X6" s="148" t="s">
        <v>556</v>
      </c>
    </row>
    <row r="7" spans="1:24" s="152" customFormat="1" ht="12.75" customHeight="1">
      <c r="A7" s="419">
        <v>1</v>
      </c>
      <c r="B7" s="149" t="s">
        <v>557</v>
      </c>
      <c r="C7" s="421" t="s">
        <v>558</v>
      </c>
      <c r="D7" s="421">
        <v>648</v>
      </c>
      <c r="E7" s="423">
        <v>45201391.5</v>
      </c>
      <c r="F7" s="425" t="s">
        <v>559</v>
      </c>
      <c r="G7" s="378" t="s">
        <v>560</v>
      </c>
      <c r="H7" s="285">
        <v>4178496</v>
      </c>
      <c r="I7" s="286">
        <v>3888532</v>
      </c>
      <c r="J7" s="286">
        <v>3795232</v>
      </c>
      <c r="K7" s="286">
        <v>3470364</v>
      </c>
      <c r="L7" s="286">
        <v>1653540</v>
      </c>
      <c r="M7" s="286">
        <v>1134524</v>
      </c>
      <c r="N7" s="286">
        <v>936532</v>
      </c>
      <c r="O7" s="286">
        <v>747604</v>
      </c>
      <c r="P7" s="286">
        <v>747604</v>
      </c>
      <c r="Q7" s="286">
        <v>747604</v>
      </c>
      <c r="R7" s="286">
        <v>725552</v>
      </c>
      <c r="S7" s="286">
        <v>269152</v>
      </c>
      <c r="T7" s="286"/>
      <c r="U7" s="286"/>
      <c r="V7" s="286"/>
      <c r="W7" s="287"/>
      <c r="X7" s="151">
        <f aca="true" t="shared" si="1" ref="X7:X38">SUM(H7:W7)</f>
        <v>22294736</v>
      </c>
    </row>
    <row r="8" spans="1:24" s="152" customFormat="1" ht="12.75">
      <c r="A8" s="420"/>
      <c r="B8" s="153" t="s">
        <v>561</v>
      </c>
      <c r="C8" s="422"/>
      <c r="D8" s="422"/>
      <c r="E8" s="424"/>
      <c r="F8" s="426"/>
      <c r="G8" s="379">
        <v>0.01424</v>
      </c>
      <c r="H8" s="288">
        <f>419495</f>
        <v>419495</v>
      </c>
      <c r="I8" s="289">
        <v>623945</v>
      </c>
      <c r="J8" s="289">
        <v>691880</v>
      </c>
      <c r="K8" s="289">
        <v>502670</v>
      </c>
      <c r="L8" s="289">
        <v>207080</v>
      </c>
      <c r="M8" s="289">
        <v>157470</v>
      </c>
      <c r="N8" s="289">
        <v>122905</v>
      </c>
      <c r="O8" s="289">
        <v>95290</v>
      </c>
      <c r="P8" s="289">
        <v>72235</v>
      </c>
      <c r="Q8" s="289">
        <v>49640</v>
      </c>
      <c r="R8" s="289">
        <v>26895</v>
      </c>
      <c r="S8" s="289">
        <v>7700</v>
      </c>
      <c r="T8" s="289">
        <v>455</v>
      </c>
      <c r="U8" s="289"/>
      <c r="V8" s="289"/>
      <c r="W8" s="290"/>
      <c r="X8" s="156">
        <f t="shared" si="1"/>
        <v>2977660</v>
      </c>
    </row>
    <row r="9" spans="1:24" s="152" customFormat="1" ht="12.75" customHeight="1">
      <c r="A9" s="419">
        <v>2</v>
      </c>
      <c r="B9" s="149" t="s">
        <v>557</v>
      </c>
      <c r="C9" s="427" t="s">
        <v>562</v>
      </c>
      <c r="D9" s="427">
        <v>628</v>
      </c>
      <c r="E9" s="423">
        <v>119421</v>
      </c>
      <c r="F9" s="429" t="s">
        <v>563</v>
      </c>
      <c r="G9" s="380" t="s">
        <v>560</v>
      </c>
      <c r="H9" s="291">
        <v>6728</v>
      </c>
      <c r="I9" s="292">
        <v>6728</v>
      </c>
      <c r="J9" s="292">
        <v>6728</v>
      </c>
      <c r="K9" s="292">
        <v>6728</v>
      </c>
      <c r="L9" s="157">
        <v>6728</v>
      </c>
      <c r="M9" s="292">
        <v>6728</v>
      </c>
      <c r="N9" s="292">
        <v>6728</v>
      </c>
      <c r="O9" s="292">
        <v>6728</v>
      </c>
      <c r="P9" s="292">
        <v>6728</v>
      </c>
      <c r="Q9" s="292">
        <v>6728</v>
      </c>
      <c r="R9" s="292">
        <v>6728</v>
      </c>
      <c r="S9" s="292">
        <v>6728</v>
      </c>
      <c r="T9" s="292">
        <v>1682</v>
      </c>
      <c r="U9" s="292"/>
      <c r="V9" s="292"/>
      <c r="W9" s="293"/>
      <c r="X9" s="151">
        <f t="shared" si="1"/>
        <v>82418</v>
      </c>
    </row>
    <row r="10" spans="1:24" s="152" customFormat="1" ht="12.75">
      <c r="A10" s="420"/>
      <c r="B10" s="159" t="s">
        <v>564</v>
      </c>
      <c r="C10" s="428"/>
      <c r="D10" s="428"/>
      <c r="E10" s="424"/>
      <c r="F10" s="430"/>
      <c r="G10" s="379">
        <v>0.0355</v>
      </c>
      <c r="H10" s="294">
        <f>2195-130</f>
        <v>2065</v>
      </c>
      <c r="I10" s="295">
        <f>2660+175</f>
        <v>2835</v>
      </c>
      <c r="J10" s="295">
        <v>3445</v>
      </c>
      <c r="K10" s="295">
        <v>3105</v>
      </c>
      <c r="L10" s="160">
        <v>1660</v>
      </c>
      <c r="M10" s="295">
        <v>1460</v>
      </c>
      <c r="N10" s="295">
        <v>1250</v>
      </c>
      <c r="O10" s="295">
        <v>1045</v>
      </c>
      <c r="P10" s="295">
        <v>840</v>
      </c>
      <c r="Q10" s="295">
        <v>640</v>
      </c>
      <c r="R10" s="295">
        <v>430</v>
      </c>
      <c r="S10" s="295">
        <v>225</v>
      </c>
      <c r="T10" s="295">
        <v>35</v>
      </c>
      <c r="U10" s="295"/>
      <c r="V10" s="295"/>
      <c r="W10" s="296"/>
      <c r="X10" s="156">
        <f t="shared" si="1"/>
        <v>19035</v>
      </c>
    </row>
    <row r="11" spans="1:24" s="152" customFormat="1" ht="12.75" customHeight="1">
      <c r="A11" s="419">
        <v>3</v>
      </c>
      <c r="B11" s="149" t="s">
        <v>557</v>
      </c>
      <c r="C11" s="427" t="s">
        <v>565</v>
      </c>
      <c r="D11" s="427">
        <v>629</v>
      </c>
      <c r="E11" s="423">
        <v>463710</v>
      </c>
      <c r="F11" s="425" t="s">
        <v>566</v>
      </c>
      <c r="G11" s="380" t="s">
        <v>560</v>
      </c>
      <c r="H11" s="297">
        <v>25412</v>
      </c>
      <c r="I11" s="298">
        <v>25412</v>
      </c>
      <c r="J11" s="298">
        <v>25412</v>
      </c>
      <c r="K11" s="298">
        <v>25412</v>
      </c>
      <c r="L11" s="162">
        <v>25412</v>
      </c>
      <c r="M11" s="298">
        <v>25412</v>
      </c>
      <c r="N11" s="298">
        <v>25412</v>
      </c>
      <c r="O11" s="298">
        <v>25412</v>
      </c>
      <c r="P11" s="298">
        <v>25412</v>
      </c>
      <c r="Q11" s="298">
        <v>25412</v>
      </c>
      <c r="R11" s="298">
        <v>25412</v>
      </c>
      <c r="S11" s="298">
        <v>25412</v>
      </c>
      <c r="T11" s="298">
        <v>6353</v>
      </c>
      <c r="U11" s="298"/>
      <c r="V11" s="298"/>
      <c r="W11" s="299"/>
      <c r="X11" s="151">
        <f t="shared" si="1"/>
        <v>311297</v>
      </c>
    </row>
    <row r="12" spans="1:24" s="152" customFormat="1" ht="12.75">
      <c r="A12" s="420"/>
      <c r="B12" s="159" t="s">
        <v>567</v>
      </c>
      <c r="C12" s="428"/>
      <c r="D12" s="428"/>
      <c r="E12" s="424"/>
      <c r="F12" s="426"/>
      <c r="G12" s="379">
        <v>0.0355</v>
      </c>
      <c r="H12" s="294">
        <f>8280-485</f>
        <v>7795</v>
      </c>
      <c r="I12" s="295">
        <f>10035+675</f>
        <v>10710</v>
      </c>
      <c r="J12" s="295">
        <v>13010</v>
      </c>
      <c r="K12" s="295">
        <v>11720</v>
      </c>
      <c r="L12" s="160">
        <v>6260</v>
      </c>
      <c r="M12" s="295">
        <v>5505</v>
      </c>
      <c r="N12" s="295">
        <v>4715</v>
      </c>
      <c r="O12" s="295">
        <v>3940</v>
      </c>
      <c r="P12" s="295">
        <v>3170</v>
      </c>
      <c r="Q12" s="295">
        <v>2400</v>
      </c>
      <c r="R12" s="295">
        <v>1625</v>
      </c>
      <c r="S12" s="295">
        <v>850</v>
      </c>
      <c r="T12" s="295">
        <v>135</v>
      </c>
      <c r="U12" s="295"/>
      <c r="V12" s="295"/>
      <c r="W12" s="296"/>
      <c r="X12" s="156">
        <f t="shared" si="1"/>
        <v>71835</v>
      </c>
    </row>
    <row r="13" spans="1:24" s="166" customFormat="1" ht="12.75" customHeight="1">
      <c r="A13" s="419">
        <v>4</v>
      </c>
      <c r="B13" s="149" t="s">
        <v>557</v>
      </c>
      <c r="C13" s="427" t="s">
        <v>568</v>
      </c>
      <c r="D13" s="431">
        <v>630</v>
      </c>
      <c r="E13" s="423">
        <v>162998</v>
      </c>
      <c r="F13" s="433" t="s">
        <v>569</v>
      </c>
      <c r="G13" s="380" t="s">
        <v>560</v>
      </c>
      <c r="H13" s="163">
        <v>6976</v>
      </c>
      <c r="I13" s="164">
        <v>6976</v>
      </c>
      <c r="J13" s="164">
        <v>6976</v>
      </c>
      <c r="K13" s="164">
        <v>6976</v>
      </c>
      <c r="L13" s="164">
        <v>6976</v>
      </c>
      <c r="M13" s="164">
        <v>6976</v>
      </c>
      <c r="N13" s="164">
        <v>6976</v>
      </c>
      <c r="O13" s="164">
        <v>6976</v>
      </c>
      <c r="P13" s="164">
        <v>6976</v>
      </c>
      <c r="Q13" s="164">
        <v>6976</v>
      </c>
      <c r="R13" s="164">
        <v>6976</v>
      </c>
      <c r="S13" s="164">
        <v>6976</v>
      </c>
      <c r="T13" s="164">
        <v>3488</v>
      </c>
      <c r="U13" s="164"/>
      <c r="V13" s="164"/>
      <c r="W13" s="165"/>
      <c r="X13" s="151">
        <f t="shared" si="1"/>
        <v>87200</v>
      </c>
    </row>
    <row r="14" spans="1:24" s="152" customFormat="1" ht="12.75">
      <c r="A14" s="420"/>
      <c r="B14" s="159" t="s">
        <v>570</v>
      </c>
      <c r="C14" s="428"/>
      <c r="D14" s="432"/>
      <c r="E14" s="424"/>
      <c r="F14" s="434"/>
      <c r="G14" s="379">
        <v>0.00734</v>
      </c>
      <c r="H14" s="167">
        <v>1830</v>
      </c>
      <c r="I14" s="168">
        <v>2820</v>
      </c>
      <c r="J14" s="168">
        <v>3660</v>
      </c>
      <c r="K14" s="168">
        <v>3310</v>
      </c>
      <c r="L14" s="168">
        <v>1775</v>
      </c>
      <c r="M14" s="168">
        <v>1565</v>
      </c>
      <c r="N14" s="168">
        <v>1350</v>
      </c>
      <c r="O14" s="168">
        <v>1135</v>
      </c>
      <c r="P14" s="168">
        <v>925</v>
      </c>
      <c r="Q14" s="168">
        <v>715</v>
      </c>
      <c r="R14" s="168">
        <v>500</v>
      </c>
      <c r="S14" s="168">
        <v>290</v>
      </c>
      <c r="T14" s="168">
        <v>75</v>
      </c>
      <c r="U14" s="168"/>
      <c r="V14" s="168"/>
      <c r="W14" s="169"/>
      <c r="X14" s="156">
        <f t="shared" si="1"/>
        <v>19950</v>
      </c>
    </row>
    <row r="15" spans="1:24" s="152" customFormat="1" ht="12.75" customHeight="1">
      <c r="A15" s="419">
        <v>5</v>
      </c>
      <c r="B15" s="149" t="s">
        <v>571</v>
      </c>
      <c r="C15" s="427" t="s">
        <v>572</v>
      </c>
      <c r="D15" s="431">
        <v>631</v>
      </c>
      <c r="E15" s="423">
        <f>89504-0.24</f>
        <v>89503.76</v>
      </c>
      <c r="F15" s="435" t="s">
        <v>573</v>
      </c>
      <c r="G15" s="380" t="s">
        <v>560</v>
      </c>
      <c r="H15" s="170">
        <v>5116</v>
      </c>
      <c r="I15" s="171">
        <v>5116</v>
      </c>
      <c r="J15" s="171">
        <v>5116</v>
      </c>
      <c r="K15" s="171">
        <v>5116</v>
      </c>
      <c r="L15" s="171">
        <v>5116</v>
      </c>
      <c r="M15" s="171">
        <v>5116</v>
      </c>
      <c r="N15" s="171">
        <v>5116</v>
      </c>
      <c r="O15" s="171">
        <v>5116</v>
      </c>
      <c r="P15" s="171">
        <v>5116</v>
      </c>
      <c r="Q15" s="171">
        <v>5116</v>
      </c>
      <c r="R15" s="171">
        <f>5116</f>
        <v>5116</v>
      </c>
      <c r="S15" s="171">
        <v>5116</v>
      </c>
      <c r="T15" s="171">
        <v>2557.76</v>
      </c>
      <c r="U15" s="171"/>
      <c r="V15" s="171"/>
      <c r="W15" s="172"/>
      <c r="X15" s="151">
        <f t="shared" si="1"/>
        <v>63949.76</v>
      </c>
    </row>
    <row r="16" spans="1:24" s="152" customFormat="1" ht="12.75">
      <c r="A16" s="420"/>
      <c r="B16" s="159" t="s">
        <v>574</v>
      </c>
      <c r="C16" s="428"/>
      <c r="D16" s="432"/>
      <c r="E16" s="424"/>
      <c r="F16" s="436"/>
      <c r="G16" s="379">
        <v>0.01548</v>
      </c>
      <c r="H16" s="167">
        <v>1610</v>
      </c>
      <c r="I16" s="168">
        <v>2065</v>
      </c>
      <c r="J16" s="168">
        <v>2685</v>
      </c>
      <c r="K16" s="168">
        <v>2425</v>
      </c>
      <c r="L16" s="168">
        <v>1300</v>
      </c>
      <c r="M16" s="168">
        <v>1150</v>
      </c>
      <c r="N16" s="168">
        <v>990</v>
      </c>
      <c r="O16" s="168">
        <v>835</v>
      </c>
      <c r="P16" s="168">
        <v>680</v>
      </c>
      <c r="Q16" s="168">
        <v>525</v>
      </c>
      <c r="R16" s="168">
        <v>365</v>
      </c>
      <c r="S16" s="168">
        <v>210</v>
      </c>
      <c r="T16" s="168">
        <v>55</v>
      </c>
      <c r="U16" s="168"/>
      <c r="V16" s="168"/>
      <c r="W16" s="169"/>
      <c r="X16" s="156">
        <f t="shared" si="1"/>
        <v>14895</v>
      </c>
    </row>
    <row r="17" spans="1:24" s="152" customFormat="1" ht="12.75" customHeight="1">
      <c r="A17" s="419">
        <v>6</v>
      </c>
      <c r="B17" s="149" t="s">
        <v>557</v>
      </c>
      <c r="C17" s="427" t="s">
        <v>575</v>
      </c>
      <c r="D17" s="431">
        <v>632</v>
      </c>
      <c r="E17" s="423">
        <v>1331708.19</v>
      </c>
      <c r="F17" s="437" t="s">
        <v>576</v>
      </c>
      <c r="G17" s="380" t="s">
        <v>560</v>
      </c>
      <c r="H17" s="291">
        <v>20000</v>
      </c>
      <c r="I17" s="292">
        <v>20000</v>
      </c>
      <c r="J17" s="292">
        <v>20000</v>
      </c>
      <c r="K17" s="292">
        <v>50000</v>
      </c>
      <c r="L17" s="157">
        <v>79000</v>
      </c>
      <c r="M17" s="292">
        <v>79000</v>
      </c>
      <c r="N17" s="292">
        <v>79000</v>
      </c>
      <c r="O17" s="292">
        <v>79000</v>
      </c>
      <c r="P17" s="292">
        <v>79000</v>
      </c>
      <c r="Q17" s="298">
        <v>79000</v>
      </c>
      <c r="R17" s="298">
        <f>79000</f>
        <v>79000</v>
      </c>
      <c r="S17" s="298">
        <v>79000</v>
      </c>
      <c r="T17" s="298">
        <v>59250</v>
      </c>
      <c r="U17" s="298"/>
      <c r="V17" s="298"/>
      <c r="W17" s="299"/>
      <c r="X17" s="151">
        <f t="shared" si="1"/>
        <v>801250</v>
      </c>
    </row>
    <row r="18" spans="1:24" s="152" customFormat="1" ht="12.75">
      <c r="A18" s="420"/>
      <c r="B18" s="159" t="s">
        <v>577</v>
      </c>
      <c r="C18" s="428"/>
      <c r="D18" s="432"/>
      <c r="E18" s="424"/>
      <c r="F18" s="438"/>
      <c r="G18" s="379">
        <v>0.02875</v>
      </c>
      <c r="H18" s="294">
        <v>23270</v>
      </c>
      <c r="I18" s="295">
        <v>27695</v>
      </c>
      <c r="J18" s="295">
        <v>38435</v>
      </c>
      <c r="K18" s="295">
        <v>37105</v>
      </c>
      <c r="L18" s="160">
        <v>20610</v>
      </c>
      <c r="M18" s="295">
        <v>18305</v>
      </c>
      <c r="N18" s="295">
        <v>15850</v>
      </c>
      <c r="O18" s="295">
        <v>13450</v>
      </c>
      <c r="P18" s="295">
        <v>11045</v>
      </c>
      <c r="Q18" s="295">
        <v>8670</v>
      </c>
      <c r="R18" s="295">
        <v>6240</v>
      </c>
      <c r="S18" s="295">
        <v>3835</v>
      </c>
      <c r="T18" s="295">
        <v>1435</v>
      </c>
      <c r="U18" s="295"/>
      <c r="V18" s="295"/>
      <c r="W18" s="296"/>
      <c r="X18" s="156">
        <f t="shared" si="1"/>
        <v>225945</v>
      </c>
    </row>
    <row r="19" spans="1:24" s="152" customFormat="1" ht="12.75" customHeight="1">
      <c r="A19" s="419">
        <v>7</v>
      </c>
      <c r="B19" s="149" t="s">
        <v>557</v>
      </c>
      <c r="C19" s="439" t="s">
        <v>338</v>
      </c>
      <c r="D19" s="431">
        <v>633</v>
      </c>
      <c r="E19" s="440">
        <f>8339124-3412924+1558975</f>
        <v>6485175</v>
      </c>
      <c r="F19" s="437" t="s">
        <v>578</v>
      </c>
      <c r="G19" s="380" t="s">
        <v>560</v>
      </c>
      <c r="H19" s="173">
        <v>5000</v>
      </c>
      <c r="I19" s="174">
        <v>8000</v>
      </c>
      <c r="J19" s="174">
        <v>20000</v>
      </c>
      <c r="K19" s="174">
        <v>60000</v>
      </c>
      <c r="L19" s="174">
        <v>238000</v>
      </c>
      <c r="M19" s="174">
        <v>238000</v>
      </c>
      <c r="N19" s="174">
        <v>304544</v>
      </c>
      <c r="O19" s="174">
        <v>304544</v>
      </c>
      <c r="P19" s="174">
        <v>304544</v>
      </c>
      <c r="Q19" s="174">
        <v>304544</v>
      </c>
      <c r="R19" s="174">
        <v>304544</v>
      </c>
      <c r="S19" s="174">
        <v>304544</v>
      </c>
      <c r="T19" s="174">
        <v>304544</v>
      </c>
      <c r="U19" s="174">
        <v>304544</v>
      </c>
      <c r="V19" s="175">
        <v>304544</v>
      </c>
      <c r="W19" s="176">
        <v>2805974.29</v>
      </c>
      <c r="X19" s="151">
        <f t="shared" si="1"/>
        <v>6115870.29</v>
      </c>
    </row>
    <row r="20" spans="1:24" s="152" customFormat="1" ht="12.75">
      <c r="A20" s="420"/>
      <c r="B20" s="159" t="s">
        <v>579</v>
      </c>
      <c r="C20" s="422"/>
      <c r="D20" s="432"/>
      <c r="E20" s="441"/>
      <c r="F20" s="438"/>
      <c r="G20" s="379">
        <v>0.00949</v>
      </c>
      <c r="H20" s="177">
        <v>153660</v>
      </c>
      <c r="I20" s="178">
        <v>248455</v>
      </c>
      <c r="J20" s="178">
        <v>309195</v>
      </c>
      <c r="K20" s="178">
        <v>307790</v>
      </c>
      <c r="L20" s="178">
        <v>181780</v>
      </c>
      <c r="M20" s="178">
        <v>175325</v>
      </c>
      <c r="N20" s="178">
        <v>167180</v>
      </c>
      <c r="O20" s="178">
        <v>158030</v>
      </c>
      <c r="P20" s="178">
        <v>148765</v>
      </c>
      <c r="Q20" s="178">
        <v>139890</v>
      </c>
      <c r="R20" s="178">
        <v>130240</v>
      </c>
      <c r="S20" s="178">
        <v>120975</v>
      </c>
      <c r="T20" s="178">
        <v>111715</v>
      </c>
      <c r="U20" s="178">
        <v>102735</v>
      </c>
      <c r="V20" s="178">
        <v>93185</v>
      </c>
      <c r="W20" s="179">
        <v>423520</v>
      </c>
      <c r="X20" s="156">
        <f t="shared" si="1"/>
        <v>2972440</v>
      </c>
    </row>
    <row r="21" spans="1:24" s="152" customFormat="1" ht="12.75" customHeight="1">
      <c r="A21" s="419">
        <v>8</v>
      </c>
      <c r="B21" s="149" t="s">
        <v>557</v>
      </c>
      <c r="C21" s="439" t="s">
        <v>580</v>
      </c>
      <c r="D21" s="431">
        <v>634</v>
      </c>
      <c r="E21" s="423">
        <f>206622-0.62</f>
        <v>206621.38</v>
      </c>
      <c r="F21" s="437" t="s">
        <v>581</v>
      </c>
      <c r="G21" s="380" t="s">
        <v>560</v>
      </c>
      <c r="H21" s="173">
        <v>13640</v>
      </c>
      <c r="I21" s="174">
        <v>13640</v>
      </c>
      <c r="J21" s="174">
        <v>13640</v>
      </c>
      <c r="K21" s="174">
        <v>13640</v>
      </c>
      <c r="L21" s="174">
        <v>13640</v>
      </c>
      <c r="M21" s="174">
        <v>13640</v>
      </c>
      <c r="N21" s="174">
        <v>13640</v>
      </c>
      <c r="O21" s="174">
        <v>13640</v>
      </c>
      <c r="P21" s="174">
        <v>13640</v>
      </c>
      <c r="Q21" s="174">
        <v>13640</v>
      </c>
      <c r="R21" s="174">
        <v>13640</v>
      </c>
      <c r="S21" s="174">
        <v>13640</v>
      </c>
      <c r="T21" s="174">
        <v>13640</v>
      </c>
      <c r="U21" s="175">
        <v>13661.38</v>
      </c>
      <c r="V21" s="175"/>
      <c r="W21" s="176"/>
      <c r="X21" s="151">
        <f t="shared" si="1"/>
        <v>190981.38</v>
      </c>
    </row>
    <row r="22" spans="1:24" s="152" customFormat="1" ht="12.75">
      <c r="A22" s="420"/>
      <c r="B22" s="159" t="s">
        <v>582</v>
      </c>
      <c r="C22" s="422"/>
      <c r="D22" s="432"/>
      <c r="E22" s="424"/>
      <c r="F22" s="438"/>
      <c r="G22" s="379">
        <v>0.00949</v>
      </c>
      <c r="H22" s="177">
        <v>4225</v>
      </c>
      <c r="I22" s="178">
        <v>6240</v>
      </c>
      <c r="J22" s="178">
        <v>8195</v>
      </c>
      <c r="K22" s="178">
        <v>7505</v>
      </c>
      <c r="L22" s="178">
        <v>4090</v>
      </c>
      <c r="M22" s="178">
        <v>3685</v>
      </c>
      <c r="N22" s="178">
        <v>3230</v>
      </c>
      <c r="O22" s="178">
        <v>2845</v>
      </c>
      <c r="P22" s="178">
        <v>2430</v>
      </c>
      <c r="Q22" s="178">
        <v>2020</v>
      </c>
      <c r="R22" s="178">
        <v>1600</v>
      </c>
      <c r="S22" s="178">
        <v>1185</v>
      </c>
      <c r="T22" s="178">
        <v>770</v>
      </c>
      <c r="U22" s="178">
        <v>355</v>
      </c>
      <c r="V22" s="178">
        <v>25</v>
      </c>
      <c r="W22" s="179"/>
      <c r="X22" s="156">
        <f t="shared" si="1"/>
        <v>48400</v>
      </c>
    </row>
    <row r="23" spans="1:24" s="152" customFormat="1" ht="12.75" customHeight="1">
      <c r="A23" s="419">
        <v>9</v>
      </c>
      <c r="B23" s="149" t="s">
        <v>557</v>
      </c>
      <c r="C23" s="421" t="s">
        <v>583</v>
      </c>
      <c r="D23" s="431">
        <v>635</v>
      </c>
      <c r="E23" s="423">
        <v>307624.96</v>
      </c>
      <c r="F23" s="425" t="s">
        <v>584</v>
      </c>
      <c r="G23" s="380" t="s">
        <v>560</v>
      </c>
      <c r="H23" s="291">
        <v>5000</v>
      </c>
      <c r="I23" s="292">
        <v>10000</v>
      </c>
      <c r="J23" s="292">
        <v>23824</v>
      </c>
      <c r="K23" s="292">
        <v>23824</v>
      </c>
      <c r="L23" s="157">
        <v>23824</v>
      </c>
      <c r="M23" s="292">
        <v>23824</v>
      </c>
      <c r="N23" s="292">
        <v>23824</v>
      </c>
      <c r="O23" s="292">
        <v>23824</v>
      </c>
      <c r="P23" s="292">
        <v>23824</v>
      </c>
      <c r="Q23" s="298">
        <v>23824</v>
      </c>
      <c r="R23" s="298">
        <f>23824</f>
        <v>23824</v>
      </c>
      <c r="S23" s="298">
        <v>23824</v>
      </c>
      <c r="T23" s="298">
        <v>23824</v>
      </c>
      <c r="U23" s="298">
        <v>23810.96</v>
      </c>
      <c r="V23" s="298"/>
      <c r="W23" s="299"/>
      <c r="X23" s="151">
        <f t="shared" si="1"/>
        <v>300874.96</v>
      </c>
    </row>
    <row r="24" spans="1:24" s="152" customFormat="1" ht="12.75">
      <c r="A24" s="420"/>
      <c r="B24" s="159" t="s">
        <v>585</v>
      </c>
      <c r="C24" s="422"/>
      <c r="D24" s="432"/>
      <c r="E24" s="424"/>
      <c r="F24" s="426"/>
      <c r="G24" s="379">
        <v>0.015</v>
      </c>
      <c r="H24" s="294">
        <v>6090</v>
      </c>
      <c r="I24" s="295">
        <v>10465</v>
      </c>
      <c r="J24" s="295">
        <v>14270</v>
      </c>
      <c r="K24" s="295">
        <v>13100</v>
      </c>
      <c r="L24" s="160">
        <v>7135</v>
      </c>
      <c r="M24" s="295">
        <v>6430</v>
      </c>
      <c r="N24" s="295">
        <v>5690</v>
      </c>
      <c r="O24" s="295">
        <v>4965</v>
      </c>
      <c r="P24" s="295">
        <v>4240</v>
      </c>
      <c r="Q24" s="295">
        <v>3525</v>
      </c>
      <c r="R24" s="295">
        <v>2790</v>
      </c>
      <c r="S24" s="295">
        <v>2065</v>
      </c>
      <c r="T24" s="295">
        <v>1340</v>
      </c>
      <c r="U24" s="295">
        <v>615</v>
      </c>
      <c r="V24" s="295">
        <v>40</v>
      </c>
      <c r="W24" s="296"/>
      <c r="X24" s="156">
        <f t="shared" si="1"/>
        <v>82760</v>
      </c>
    </row>
    <row r="25" spans="1:24" s="152" customFormat="1" ht="12.75" customHeight="1">
      <c r="A25" s="419">
        <v>10</v>
      </c>
      <c r="B25" s="149" t="s">
        <v>557</v>
      </c>
      <c r="C25" s="421" t="s">
        <v>586</v>
      </c>
      <c r="D25" s="431">
        <v>636</v>
      </c>
      <c r="E25" s="423">
        <v>69989</v>
      </c>
      <c r="F25" s="425" t="s">
        <v>584</v>
      </c>
      <c r="G25" s="380" t="s">
        <v>560</v>
      </c>
      <c r="H25" s="291">
        <v>2000</v>
      </c>
      <c r="I25" s="292">
        <v>2000</v>
      </c>
      <c r="J25" s="292">
        <v>5000</v>
      </c>
      <c r="K25" s="292">
        <v>5272</v>
      </c>
      <c r="L25" s="157">
        <v>5272</v>
      </c>
      <c r="M25" s="292">
        <v>5272</v>
      </c>
      <c r="N25" s="292">
        <v>5272</v>
      </c>
      <c r="O25" s="292">
        <v>5272</v>
      </c>
      <c r="P25" s="292">
        <v>5272</v>
      </c>
      <c r="Q25" s="292">
        <v>5272</v>
      </c>
      <c r="R25" s="292">
        <v>5272</v>
      </c>
      <c r="S25" s="292">
        <v>5272</v>
      </c>
      <c r="T25" s="292">
        <v>5272</v>
      </c>
      <c r="U25" s="292">
        <v>5269</v>
      </c>
      <c r="V25" s="292"/>
      <c r="W25" s="293"/>
      <c r="X25" s="151">
        <f t="shared" si="1"/>
        <v>66989</v>
      </c>
    </row>
    <row r="26" spans="1:24" s="152" customFormat="1" ht="12.75">
      <c r="A26" s="420"/>
      <c r="B26" s="159" t="s">
        <v>587</v>
      </c>
      <c r="C26" s="422"/>
      <c r="D26" s="432"/>
      <c r="E26" s="424"/>
      <c r="F26" s="426"/>
      <c r="G26" s="379">
        <v>0.015</v>
      </c>
      <c r="H26" s="294">
        <v>1355</v>
      </c>
      <c r="I26" s="295">
        <v>2305</v>
      </c>
      <c r="J26" s="295">
        <v>3150</v>
      </c>
      <c r="K26" s="295">
        <v>2900</v>
      </c>
      <c r="L26" s="160">
        <v>1580</v>
      </c>
      <c r="M26" s="295">
        <v>1425</v>
      </c>
      <c r="N26" s="295">
        <v>1260</v>
      </c>
      <c r="O26" s="295">
        <v>1100</v>
      </c>
      <c r="P26" s="295">
        <v>940</v>
      </c>
      <c r="Q26" s="295">
        <v>780</v>
      </c>
      <c r="R26" s="295">
        <v>620</v>
      </c>
      <c r="S26" s="295">
        <v>460</v>
      </c>
      <c r="T26" s="295">
        <v>300</v>
      </c>
      <c r="U26" s="295">
        <v>140</v>
      </c>
      <c r="V26" s="295">
        <v>10</v>
      </c>
      <c r="W26" s="296"/>
      <c r="X26" s="156">
        <f t="shared" si="1"/>
        <v>18325</v>
      </c>
    </row>
    <row r="27" spans="1:24" s="152" customFormat="1" ht="12.75" customHeight="1">
      <c r="A27" s="419">
        <v>11</v>
      </c>
      <c r="B27" s="149" t="s">
        <v>557</v>
      </c>
      <c r="C27" s="421" t="s">
        <v>588</v>
      </c>
      <c r="D27" s="421">
        <v>637</v>
      </c>
      <c r="E27" s="423">
        <v>212555.77</v>
      </c>
      <c r="F27" s="425" t="s">
        <v>589</v>
      </c>
      <c r="G27" s="378" t="s">
        <v>560</v>
      </c>
      <c r="H27" s="173">
        <v>2000</v>
      </c>
      <c r="I27" s="174">
        <v>2000</v>
      </c>
      <c r="J27" s="174">
        <v>2000</v>
      </c>
      <c r="K27" s="174">
        <v>5000</v>
      </c>
      <c r="L27" s="174">
        <v>19920</v>
      </c>
      <c r="M27" s="174">
        <v>19920</v>
      </c>
      <c r="N27" s="174">
        <v>19920</v>
      </c>
      <c r="O27" s="174">
        <v>19920</v>
      </c>
      <c r="P27" s="174">
        <v>19920</v>
      </c>
      <c r="Q27" s="175">
        <v>19920</v>
      </c>
      <c r="R27" s="175">
        <v>19920</v>
      </c>
      <c r="S27" s="175">
        <v>19920</v>
      </c>
      <c r="T27" s="175">
        <v>19920</v>
      </c>
      <c r="U27" s="175">
        <v>19525.77</v>
      </c>
      <c r="V27" s="175"/>
      <c r="W27" s="176"/>
      <c r="X27" s="151">
        <f t="shared" si="1"/>
        <v>209805.77</v>
      </c>
    </row>
    <row r="28" spans="1:24" s="152" customFormat="1" ht="12.75">
      <c r="A28" s="420"/>
      <c r="B28" s="159" t="s">
        <v>590</v>
      </c>
      <c r="C28" s="422"/>
      <c r="D28" s="422"/>
      <c r="E28" s="424"/>
      <c r="F28" s="426"/>
      <c r="G28" s="379">
        <v>0.01572</v>
      </c>
      <c r="H28" s="177">
        <v>4370</v>
      </c>
      <c r="I28" s="178">
        <v>7385</v>
      </c>
      <c r="J28" s="178">
        <v>10420</v>
      </c>
      <c r="K28" s="178">
        <v>10285</v>
      </c>
      <c r="L28" s="178">
        <v>5930</v>
      </c>
      <c r="M28" s="178">
        <v>5365</v>
      </c>
      <c r="N28" s="178">
        <v>4745</v>
      </c>
      <c r="O28" s="178">
        <v>4140</v>
      </c>
      <c r="P28" s="178">
        <v>3530</v>
      </c>
      <c r="Q28" s="178">
        <v>2935</v>
      </c>
      <c r="R28" s="178">
        <v>2320</v>
      </c>
      <c r="S28" s="178">
        <v>1715</v>
      </c>
      <c r="T28" s="178">
        <v>1110</v>
      </c>
      <c r="U28" s="178">
        <v>505</v>
      </c>
      <c r="V28" s="178">
        <v>30</v>
      </c>
      <c r="W28" s="179"/>
      <c r="X28" s="156">
        <f t="shared" si="1"/>
        <v>64785</v>
      </c>
    </row>
    <row r="29" spans="1:24" s="180" customFormat="1" ht="18" customHeight="1">
      <c r="A29" s="419">
        <v>12</v>
      </c>
      <c r="B29" s="149" t="s">
        <v>557</v>
      </c>
      <c r="C29" s="421" t="s">
        <v>591</v>
      </c>
      <c r="D29" s="421">
        <v>638</v>
      </c>
      <c r="E29" s="423">
        <v>1496459</v>
      </c>
      <c r="F29" s="437" t="s">
        <v>592</v>
      </c>
      <c r="G29" s="378" t="s">
        <v>560</v>
      </c>
      <c r="H29" s="173">
        <v>5000</v>
      </c>
      <c r="I29" s="174">
        <v>5000</v>
      </c>
      <c r="J29" s="174">
        <v>10000</v>
      </c>
      <c r="K29" s="174">
        <v>20000</v>
      </c>
      <c r="L29" s="174">
        <v>50000</v>
      </c>
      <c r="M29" s="174">
        <v>50000</v>
      </c>
      <c r="N29" s="174">
        <v>50000</v>
      </c>
      <c r="O29" s="174">
        <v>69458</v>
      </c>
      <c r="P29" s="174">
        <v>75944</v>
      </c>
      <c r="Q29" s="175">
        <v>75944</v>
      </c>
      <c r="R29" s="175">
        <f>75944</f>
        <v>75944</v>
      </c>
      <c r="S29" s="175">
        <v>75944</v>
      </c>
      <c r="T29" s="175">
        <v>75944</v>
      </c>
      <c r="U29" s="175">
        <v>75944</v>
      </c>
      <c r="V29" s="175">
        <v>75944</v>
      </c>
      <c r="W29" s="176">
        <v>700643</v>
      </c>
      <c r="X29" s="151">
        <f t="shared" si="1"/>
        <v>1491709</v>
      </c>
    </row>
    <row r="30" spans="1:24" s="180" customFormat="1" ht="14.25" customHeight="1">
      <c r="A30" s="420"/>
      <c r="B30" s="159" t="s">
        <v>593</v>
      </c>
      <c r="C30" s="422"/>
      <c r="D30" s="422"/>
      <c r="E30" s="424"/>
      <c r="F30" s="438"/>
      <c r="G30" s="379">
        <v>0.01732</v>
      </c>
      <c r="H30" s="177">
        <v>34815</v>
      </c>
      <c r="I30" s="178">
        <v>60430</v>
      </c>
      <c r="J30" s="178">
        <v>75025</v>
      </c>
      <c r="K30" s="178">
        <v>74425</v>
      </c>
      <c r="L30" s="178">
        <v>43875</v>
      </c>
      <c r="M30" s="178">
        <v>42520</v>
      </c>
      <c r="N30" s="178">
        <v>40885</v>
      </c>
      <c r="O30" s="178">
        <v>39300</v>
      </c>
      <c r="P30" s="178">
        <v>37125</v>
      </c>
      <c r="Q30" s="178">
        <v>34915</v>
      </c>
      <c r="R30" s="178">
        <v>32505</v>
      </c>
      <c r="S30" s="178">
        <v>30195</v>
      </c>
      <c r="T30" s="178">
        <v>27890</v>
      </c>
      <c r="U30" s="178">
        <v>25650</v>
      </c>
      <c r="V30" s="178">
        <v>23270</v>
      </c>
      <c r="W30" s="179">
        <v>105880</v>
      </c>
      <c r="X30" s="156">
        <f t="shared" si="1"/>
        <v>728705</v>
      </c>
    </row>
    <row r="31" spans="1:24" s="180" customFormat="1" ht="12.75" customHeight="1">
      <c r="A31" s="419">
        <v>13</v>
      </c>
      <c r="B31" s="149" t="s">
        <v>557</v>
      </c>
      <c r="C31" s="421" t="s">
        <v>594</v>
      </c>
      <c r="D31" s="421">
        <v>639</v>
      </c>
      <c r="E31" s="423">
        <v>520249</v>
      </c>
      <c r="F31" s="442" t="s">
        <v>595</v>
      </c>
      <c r="G31" s="378" t="s">
        <v>560</v>
      </c>
      <c r="H31" s="173">
        <v>2000</v>
      </c>
      <c r="I31" s="174">
        <v>5000</v>
      </c>
      <c r="J31" s="174">
        <v>5000</v>
      </c>
      <c r="K31" s="174">
        <v>10000</v>
      </c>
      <c r="L31" s="174">
        <v>45000</v>
      </c>
      <c r="M31" s="174">
        <v>45000</v>
      </c>
      <c r="N31" s="174">
        <v>45000</v>
      </c>
      <c r="O31" s="174">
        <v>45000</v>
      </c>
      <c r="P31" s="174">
        <v>45000</v>
      </c>
      <c r="Q31" s="175">
        <v>45000</v>
      </c>
      <c r="R31" s="175">
        <v>45000</v>
      </c>
      <c r="S31" s="175">
        <v>45000</v>
      </c>
      <c r="T31" s="175">
        <v>45000</v>
      </c>
      <c r="U31" s="175">
        <v>45000</v>
      </c>
      <c r="V31" s="175">
        <v>44949</v>
      </c>
      <c r="W31" s="176"/>
      <c r="X31" s="151">
        <f t="shared" si="1"/>
        <v>516949</v>
      </c>
    </row>
    <row r="32" spans="1:24" s="180" customFormat="1" ht="12.75">
      <c r="A32" s="420"/>
      <c r="B32" s="159" t="s">
        <v>596</v>
      </c>
      <c r="C32" s="422"/>
      <c r="D32" s="422"/>
      <c r="E32" s="424"/>
      <c r="F32" s="443"/>
      <c r="G32" s="379">
        <v>0.01732</v>
      </c>
      <c r="H32" s="177">
        <v>11405</v>
      </c>
      <c r="I32" s="178">
        <v>18295</v>
      </c>
      <c r="J32" s="178">
        <v>25815</v>
      </c>
      <c r="K32" s="178">
        <v>25510</v>
      </c>
      <c r="L32" s="178">
        <v>14785</v>
      </c>
      <c r="M32" s="178">
        <v>13515</v>
      </c>
      <c r="N32" s="178">
        <v>12110</v>
      </c>
      <c r="O32" s="178">
        <v>10740</v>
      </c>
      <c r="P32" s="178">
        <v>9370</v>
      </c>
      <c r="Q32" s="178">
        <v>8025</v>
      </c>
      <c r="R32" s="178">
        <v>6635</v>
      </c>
      <c r="S32" s="178">
        <v>5265</v>
      </c>
      <c r="T32" s="178">
        <v>3895</v>
      </c>
      <c r="U32" s="178">
        <v>2535</v>
      </c>
      <c r="V32" s="178">
        <v>1065</v>
      </c>
      <c r="W32" s="179"/>
      <c r="X32" s="156">
        <f t="shared" si="1"/>
        <v>168965</v>
      </c>
    </row>
    <row r="33" spans="1:24" s="152" customFormat="1" ht="17.25" customHeight="1">
      <c r="A33" s="419">
        <v>14</v>
      </c>
      <c r="B33" s="149" t="s">
        <v>557</v>
      </c>
      <c r="C33" s="421" t="s">
        <v>597</v>
      </c>
      <c r="D33" s="421">
        <v>640</v>
      </c>
      <c r="E33" s="423">
        <f>409900-0.21</f>
        <v>409899.79</v>
      </c>
      <c r="F33" s="442" t="s">
        <v>598</v>
      </c>
      <c r="G33" s="378" t="s">
        <v>560</v>
      </c>
      <c r="H33" s="173">
        <v>2000</v>
      </c>
      <c r="I33" s="174">
        <v>5000</v>
      </c>
      <c r="J33" s="174">
        <v>5000</v>
      </c>
      <c r="K33" s="174">
        <v>10000</v>
      </c>
      <c r="L33" s="174">
        <v>34964</v>
      </c>
      <c r="M33" s="174">
        <v>34964</v>
      </c>
      <c r="N33" s="174">
        <v>34964</v>
      </c>
      <c r="O33" s="174">
        <v>34964</v>
      </c>
      <c r="P33" s="174">
        <v>34964</v>
      </c>
      <c r="Q33" s="175">
        <v>34964</v>
      </c>
      <c r="R33" s="175">
        <v>34964</v>
      </c>
      <c r="S33" s="175">
        <v>34964</v>
      </c>
      <c r="T33" s="175">
        <v>34964</v>
      </c>
      <c r="U33" s="175">
        <v>34964</v>
      </c>
      <c r="V33" s="175">
        <v>34959.79</v>
      </c>
      <c r="W33" s="175"/>
      <c r="X33" s="151">
        <f t="shared" si="1"/>
        <v>406599.79</v>
      </c>
    </row>
    <row r="34" spans="1:24" s="152" customFormat="1" ht="17.25" customHeight="1">
      <c r="A34" s="420"/>
      <c r="B34" s="159" t="s">
        <v>599</v>
      </c>
      <c r="C34" s="422"/>
      <c r="D34" s="422"/>
      <c r="E34" s="424"/>
      <c r="F34" s="443"/>
      <c r="G34" s="379">
        <v>0.02983</v>
      </c>
      <c r="H34" s="177">
        <f>12290-710</f>
        <v>11580</v>
      </c>
      <c r="I34" s="178">
        <v>14365</v>
      </c>
      <c r="J34" s="178">
        <v>20220</v>
      </c>
      <c r="K34" s="178">
        <v>19915</v>
      </c>
      <c r="L34" s="178">
        <v>11495</v>
      </c>
      <c r="M34" s="178">
        <v>10500</v>
      </c>
      <c r="N34" s="178">
        <v>9410</v>
      </c>
      <c r="O34" s="178">
        <v>8345</v>
      </c>
      <c r="P34" s="178">
        <v>7280</v>
      </c>
      <c r="Q34" s="178">
        <v>6235</v>
      </c>
      <c r="R34" s="178">
        <v>5155</v>
      </c>
      <c r="S34" s="178">
        <v>4090</v>
      </c>
      <c r="T34" s="178">
        <v>3030</v>
      </c>
      <c r="U34" s="178">
        <v>1970</v>
      </c>
      <c r="V34" s="178">
        <v>900</v>
      </c>
      <c r="W34" s="178">
        <v>60</v>
      </c>
      <c r="X34" s="156">
        <f t="shared" si="1"/>
        <v>134550</v>
      </c>
    </row>
    <row r="35" spans="1:24" s="152" customFormat="1" ht="12.75" customHeight="1">
      <c r="A35" s="419">
        <v>15</v>
      </c>
      <c r="B35" s="149" t="s">
        <v>557</v>
      </c>
      <c r="C35" s="427" t="s">
        <v>600</v>
      </c>
      <c r="D35" s="421">
        <v>642</v>
      </c>
      <c r="E35" s="423">
        <f>231313-0.12</f>
        <v>231312.88</v>
      </c>
      <c r="F35" s="437" t="s">
        <v>601</v>
      </c>
      <c r="G35" s="378" t="s">
        <v>560</v>
      </c>
      <c r="H35" s="291">
        <v>14620</v>
      </c>
      <c r="I35" s="292">
        <v>14620</v>
      </c>
      <c r="J35" s="292">
        <v>14620</v>
      </c>
      <c r="K35" s="292">
        <v>14620</v>
      </c>
      <c r="L35" s="286">
        <v>14620</v>
      </c>
      <c r="M35" s="292">
        <v>14620</v>
      </c>
      <c r="N35" s="292">
        <v>14620</v>
      </c>
      <c r="O35" s="292">
        <v>14620</v>
      </c>
      <c r="P35" s="292">
        <v>14620</v>
      </c>
      <c r="Q35" s="292">
        <v>14620</v>
      </c>
      <c r="R35" s="292">
        <f>14620</f>
        <v>14620</v>
      </c>
      <c r="S35" s="292">
        <v>14620</v>
      </c>
      <c r="T35" s="292">
        <v>14620</v>
      </c>
      <c r="U35" s="298">
        <v>14620</v>
      </c>
      <c r="V35" s="298">
        <v>14632.88</v>
      </c>
      <c r="W35" s="299"/>
      <c r="X35" s="151">
        <f t="shared" si="1"/>
        <v>219312.88</v>
      </c>
    </row>
    <row r="36" spans="1:24" s="152" customFormat="1" ht="12.75">
      <c r="A36" s="420"/>
      <c r="B36" s="159" t="s">
        <v>602</v>
      </c>
      <c r="C36" s="428"/>
      <c r="D36" s="422"/>
      <c r="E36" s="424"/>
      <c r="F36" s="438"/>
      <c r="G36" s="379">
        <v>0.04076</v>
      </c>
      <c r="H36" s="294">
        <f>5855-575</f>
        <v>5280</v>
      </c>
      <c r="I36" s="295">
        <f>7205+1835</f>
        <v>9040</v>
      </c>
      <c r="J36" s="295">
        <v>9525</v>
      </c>
      <c r="K36" s="295">
        <v>8785</v>
      </c>
      <c r="L36" s="289">
        <v>4825</v>
      </c>
      <c r="M36" s="295">
        <v>4395</v>
      </c>
      <c r="N36" s="295">
        <v>3935</v>
      </c>
      <c r="O36" s="295">
        <v>3490</v>
      </c>
      <c r="P36" s="295">
        <v>3045</v>
      </c>
      <c r="Q36" s="295">
        <v>2610</v>
      </c>
      <c r="R36" s="295">
        <v>2160</v>
      </c>
      <c r="S36" s="295">
        <v>1715</v>
      </c>
      <c r="T36" s="295">
        <v>1270</v>
      </c>
      <c r="U36" s="295">
        <v>825</v>
      </c>
      <c r="V36" s="295">
        <v>380</v>
      </c>
      <c r="W36" s="296">
        <v>25</v>
      </c>
      <c r="X36" s="156">
        <f t="shared" si="1"/>
        <v>61305</v>
      </c>
    </row>
    <row r="37" spans="1:24" s="152" customFormat="1" ht="12.75" customHeight="1">
      <c r="A37" s="419">
        <v>16</v>
      </c>
      <c r="B37" s="149" t="s">
        <v>557</v>
      </c>
      <c r="C37" s="421" t="s">
        <v>603</v>
      </c>
      <c r="D37" s="421">
        <v>644</v>
      </c>
      <c r="E37" s="423">
        <f>1188567-257831-28891.82</f>
        <v>901844.18</v>
      </c>
      <c r="F37" s="444" t="s">
        <v>604</v>
      </c>
      <c r="G37" s="378" t="s">
        <v>560</v>
      </c>
      <c r="H37" s="285">
        <v>2000</v>
      </c>
      <c r="I37" s="286">
        <v>6000</v>
      </c>
      <c r="J37" s="286">
        <v>10000</v>
      </c>
      <c r="K37" s="286">
        <v>16000</v>
      </c>
      <c r="L37" s="286">
        <v>36800</v>
      </c>
      <c r="M37" s="286">
        <v>36800</v>
      </c>
      <c r="N37" s="286">
        <v>36800</v>
      </c>
      <c r="O37" s="286">
        <v>36800</v>
      </c>
      <c r="P37" s="286">
        <v>36800</v>
      </c>
      <c r="Q37" s="286">
        <v>36800</v>
      </c>
      <c r="R37" s="286">
        <v>36800</v>
      </c>
      <c r="S37" s="286">
        <v>36800</v>
      </c>
      <c r="T37" s="286">
        <v>36800</v>
      </c>
      <c r="U37" s="286">
        <v>36800</v>
      </c>
      <c r="V37" s="286">
        <v>36800</v>
      </c>
      <c r="W37" s="287">
        <v>377002</v>
      </c>
      <c r="X37" s="151">
        <f t="shared" si="1"/>
        <v>815802</v>
      </c>
    </row>
    <row r="38" spans="1:24" s="152" customFormat="1" ht="15" customHeight="1">
      <c r="A38" s="420"/>
      <c r="B38" s="153" t="s">
        <v>605</v>
      </c>
      <c r="C38" s="422"/>
      <c r="D38" s="422"/>
      <c r="E38" s="424"/>
      <c r="F38" s="445"/>
      <c r="G38" s="379">
        <v>0.00939</v>
      </c>
      <c r="H38" s="288">
        <v>20445</v>
      </c>
      <c r="I38" s="289">
        <v>33050</v>
      </c>
      <c r="J38" s="289">
        <v>40865</v>
      </c>
      <c r="K38" s="289">
        <v>40305</v>
      </c>
      <c r="L38" s="289">
        <v>23575</v>
      </c>
      <c r="M38" s="289">
        <v>22550</v>
      </c>
      <c r="N38" s="289">
        <v>21370</v>
      </c>
      <c r="O38" s="289">
        <v>20250</v>
      </c>
      <c r="P38" s="289">
        <v>19130</v>
      </c>
      <c r="Q38" s="289">
        <v>18060</v>
      </c>
      <c r="R38" s="289">
        <v>16895</v>
      </c>
      <c r="S38" s="289">
        <v>15775</v>
      </c>
      <c r="T38" s="289">
        <v>14655</v>
      </c>
      <c r="U38" s="289">
        <v>13575</v>
      </c>
      <c r="V38" s="289">
        <v>12415</v>
      </c>
      <c r="W38" s="290">
        <v>62805</v>
      </c>
      <c r="X38" s="156">
        <f t="shared" si="1"/>
        <v>395720</v>
      </c>
    </row>
    <row r="39" spans="1:24" s="152" customFormat="1" ht="12.75" customHeight="1">
      <c r="A39" s="419">
        <v>17</v>
      </c>
      <c r="B39" s="149" t="s">
        <v>557</v>
      </c>
      <c r="C39" s="421" t="s">
        <v>606</v>
      </c>
      <c r="D39" s="421">
        <v>645</v>
      </c>
      <c r="E39" s="423">
        <v>785535</v>
      </c>
      <c r="F39" s="444" t="s">
        <v>607</v>
      </c>
      <c r="G39" s="378" t="s">
        <v>560</v>
      </c>
      <c r="H39" s="285">
        <v>4000</v>
      </c>
      <c r="I39" s="286">
        <v>6000</v>
      </c>
      <c r="J39" s="286">
        <v>10000</v>
      </c>
      <c r="K39" s="286">
        <v>20000</v>
      </c>
      <c r="L39" s="286">
        <v>66200</v>
      </c>
      <c r="M39" s="286">
        <v>66200</v>
      </c>
      <c r="N39" s="286">
        <v>66200</v>
      </c>
      <c r="O39" s="286">
        <v>66200</v>
      </c>
      <c r="P39" s="286">
        <v>66200</v>
      </c>
      <c r="Q39" s="286">
        <v>66200</v>
      </c>
      <c r="R39" s="286">
        <v>66200</v>
      </c>
      <c r="S39" s="286">
        <v>66200</v>
      </c>
      <c r="T39" s="286">
        <v>66200</v>
      </c>
      <c r="U39" s="286">
        <v>66200</v>
      </c>
      <c r="V39" s="286">
        <v>66200</v>
      </c>
      <c r="W39" s="287">
        <v>14960</v>
      </c>
      <c r="X39" s="151">
        <f aca="true" t="shared" si="2" ref="X39:X70">SUM(H39:W39)</f>
        <v>783160</v>
      </c>
    </row>
    <row r="40" spans="1:24" s="152" customFormat="1" ht="12.75">
      <c r="A40" s="420"/>
      <c r="B40" s="153" t="s">
        <v>608</v>
      </c>
      <c r="C40" s="422"/>
      <c r="D40" s="422"/>
      <c r="E40" s="424"/>
      <c r="F40" s="445"/>
      <c r="G40" s="379">
        <v>0.01513</v>
      </c>
      <c r="H40" s="288">
        <v>15970</v>
      </c>
      <c r="I40" s="289">
        <v>27690</v>
      </c>
      <c r="J40" s="289">
        <v>39110</v>
      </c>
      <c r="K40" s="289">
        <v>38505</v>
      </c>
      <c r="L40" s="289">
        <v>22285</v>
      </c>
      <c r="M40" s="289">
        <v>20340</v>
      </c>
      <c r="N40" s="289">
        <v>18325</v>
      </c>
      <c r="O40" s="289">
        <v>16305</v>
      </c>
      <c r="P40" s="289">
        <v>14285</v>
      </c>
      <c r="Q40" s="289">
        <v>12265</v>
      </c>
      <c r="R40" s="289">
        <v>10245</v>
      </c>
      <c r="S40" s="289">
        <v>8225</v>
      </c>
      <c r="T40" s="289">
        <v>6210</v>
      </c>
      <c r="U40" s="289">
        <v>4190</v>
      </c>
      <c r="V40" s="289">
        <v>2170</v>
      </c>
      <c r="W40" s="290">
        <v>330</v>
      </c>
      <c r="X40" s="156">
        <f>SUM(H40:W40)</f>
        <v>256450</v>
      </c>
    </row>
    <row r="41" spans="1:24" s="152" customFormat="1" ht="17.25" customHeight="1">
      <c r="A41" s="419">
        <v>18</v>
      </c>
      <c r="B41" s="149" t="s">
        <v>557</v>
      </c>
      <c r="C41" s="421" t="s">
        <v>609</v>
      </c>
      <c r="D41" s="421">
        <v>646</v>
      </c>
      <c r="E41" s="440">
        <f>2223157+31089</f>
        <v>2254246</v>
      </c>
      <c r="F41" s="446" t="s">
        <v>610</v>
      </c>
      <c r="G41" s="378" t="s">
        <v>560</v>
      </c>
      <c r="H41" s="285">
        <v>6000</v>
      </c>
      <c r="I41" s="286">
        <v>10000</v>
      </c>
      <c r="J41" s="286">
        <v>20000</v>
      </c>
      <c r="K41" s="286">
        <v>40000</v>
      </c>
      <c r="L41" s="286">
        <v>102248</v>
      </c>
      <c r="M41" s="286">
        <v>102248</v>
      </c>
      <c r="N41" s="286">
        <v>102248</v>
      </c>
      <c r="O41" s="286">
        <v>102248</v>
      </c>
      <c r="P41" s="286">
        <v>102248</v>
      </c>
      <c r="Q41" s="286">
        <v>102248</v>
      </c>
      <c r="R41" s="286">
        <v>102248</v>
      </c>
      <c r="S41" s="286">
        <v>102248</v>
      </c>
      <c r="T41" s="286">
        <v>102248</v>
      </c>
      <c r="U41" s="286">
        <v>102248</v>
      </c>
      <c r="V41" s="286">
        <v>102248</v>
      </c>
      <c r="W41" s="287">
        <v>1048018</v>
      </c>
      <c r="X41" s="151">
        <f t="shared" si="2"/>
        <v>2248746</v>
      </c>
    </row>
    <row r="42" spans="1:24" s="152" customFormat="1" ht="26.25" customHeight="1">
      <c r="A42" s="420"/>
      <c r="B42" s="153" t="s">
        <v>611</v>
      </c>
      <c r="C42" s="422"/>
      <c r="D42" s="422"/>
      <c r="E42" s="441"/>
      <c r="F42" s="447"/>
      <c r="G42" s="379">
        <v>0.01513</v>
      </c>
      <c r="H42" s="288">
        <v>48755</v>
      </c>
      <c r="I42" s="289">
        <v>91135</v>
      </c>
      <c r="J42" s="289">
        <v>113005</v>
      </c>
      <c r="K42" s="289">
        <v>111810</v>
      </c>
      <c r="L42" s="289">
        <v>65505</v>
      </c>
      <c r="M42" s="289">
        <v>62675</v>
      </c>
      <c r="N42" s="289">
        <v>59390</v>
      </c>
      <c r="O42" s="289">
        <v>56280</v>
      </c>
      <c r="P42" s="289">
        <v>53170</v>
      </c>
      <c r="Q42" s="289">
        <v>50200</v>
      </c>
      <c r="R42" s="289">
        <v>46950</v>
      </c>
      <c r="S42" s="289">
        <v>43840</v>
      </c>
      <c r="T42" s="289">
        <v>40730</v>
      </c>
      <c r="U42" s="289">
        <v>37725</v>
      </c>
      <c r="V42" s="289">
        <v>34510</v>
      </c>
      <c r="W42" s="290">
        <v>174670</v>
      </c>
      <c r="X42" s="156">
        <f t="shared" si="2"/>
        <v>1090350</v>
      </c>
    </row>
    <row r="43" spans="1:24" s="152" customFormat="1" ht="17.25" customHeight="1">
      <c r="A43" s="419">
        <v>19</v>
      </c>
      <c r="B43" s="149" t="s">
        <v>557</v>
      </c>
      <c r="C43" s="421" t="s">
        <v>228</v>
      </c>
      <c r="D43" s="421">
        <v>647</v>
      </c>
      <c r="E43" s="423">
        <v>1632032</v>
      </c>
      <c r="F43" s="446" t="s">
        <v>610</v>
      </c>
      <c r="G43" s="300" t="s">
        <v>560</v>
      </c>
      <c r="H43" s="286">
        <v>6000</v>
      </c>
      <c r="I43" s="286">
        <v>20000</v>
      </c>
      <c r="J43" s="286">
        <v>40000</v>
      </c>
      <c r="K43" s="286">
        <v>60000</v>
      </c>
      <c r="L43" s="286">
        <v>65168</v>
      </c>
      <c r="M43" s="286">
        <v>65168</v>
      </c>
      <c r="N43" s="286">
        <v>65168</v>
      </c>
      <c r="O43" s="286">
        <v>65168</v>
      </c>
      <c r="P43" s="286">
        <v>65168</v>
      </c>
      <c r="Q43" s="286">
        <v>65168</v>
      </c>
      <c r="R43" s="286">
        <v>65168</v>
      </c>
      <c r="S43" s="286">
        <v>65168</v>
      </c>
      <c r="T43" s="286">
        <v>65168</v>
      </c>
      <c r="U43" s="286">
        <v>65168</v>
      </c>
      <c r="V43" s="286">
        <v>65168</v>
      </c>
      <c r="W43" s="287">
        <v>667953</v>
      </c>
      <c r="X43" s="370">
        <f t="shared" si="2"/>
        <v>1510801</v>
      </c>
    </row>
    <row r="44" spans="1:24" s="152" customFormat="1" ht="15.75" customHeight="1">
      <c r="A44" s="420"/>
      <c r="B44" s="153" t="s">
        <v>612</v>
      </c>
      <c r="C44" s="422"/>
      <c r="D44" s="422"/>
      <c r="E44" s="424"/>
      <c r="F44" s="447"/>
      <c r="G44" s="182">
        <v>0.01513</v>
      </c>
      <c r="H44" s="289">
        <v>32745</v>
      </c>
      <c r="I44" s="289">
        <v>61040</v>
      </c>
      <c r="J44" s="289">
        <v>74905</v>
      </c>
      <c r="K44" s="289">
        <v>72720</v>
      </c>
      <c r="L44" s="289">
        <v>41810</v>
      </c>
      <c r="M44" s="289">
        <v>39945</v>
      </c>
      <c r="N44" s="289">
        <v>37855</v>
      </c>
      <c r="O44" s="289">
        <v>35870</v>
      </c>
      <c r="P44" s="289">
        <v>33890</v>
      </c>
      <c r="Q44" s="289">
        <v>31995</v>
      </c>
      <c r="R44" s="289">
        <v>29925</v>
      </c>
      <c r="S44" s="289">
        <v>27945</v>
      </c>
      <c r="T44" s="289">
        <v>25960</v>
      </c>
      <c r="U44" s="289">
        <v>24045</v>
      </c>
      <c r="V44" s="289">
        <v>21995</v>
      </c>
      <c r="W44" s="290">
        <v>111325</v>
      </c>
      <c r="X44" s="156">
        <f t="shared" si="2"/>
        <v>703970</v>
      </c>
    </row>
    <row r="45" spans="1:24" s="152" customFormat="1" ht="18" customHeight="1">
      <c r="A45" s="419">
        <v>20</v>
      </c>
      <c r="B45" s="149" t="s">
        <v>557</v>
      </c>
      <c r="C45" s="421" t="s">
        <v>613</v>
      </c>
      <c r="D45" s="421">
        <v>649</v>
      </c>
      <c r="E45" s="440">
        <f>1181972+164205</f>
        <v>1346177</v>
      </c>
      <c r="F45" s="446" t="s">
        <v>614</v>
      </c>
      <c r="G45" s="300" t="s">
        <v>560</v>
      </c>
      <c r="H45" s="286">
        <v>6000</v>
      </c>
      <c r="I45" s="286">
        <v>10000</v>
      </c>
      <c r="J45" s="286">
        <v>20000</v>
      </c>
      <c r="K45" s="286">
        <v>40000</v>
      </c>
      <c r="L45" s="286">
        <v>51324</v>
      </c>
      <c r="M45" s="286">
        <v>59336</v>
      </c>
      <c r="N45" s="286">
        <v>59336</v>
      </c>
      <c r="O45" s="286">
        <v>59336</v>
      </c>
      <c r="P45" s="286">
        <v>59336</v>
      </c>
      <c r="Q45" s="286">
        <v>59336</v>
      </c>
      <c r="R45" s="286">
        <v>59336</v>
      </c>
      <c r="S45" s="286">
        <v>59336</v>
      </c>
      <c r="T45" s="286">
        <v>59336</v>
      </c>
      <c r="U45" s="286">
        <v>59336</v>
      </c>
      <c r="V45" s="286">
        <v>59336</v>
      </c>
      <c r="W45" s="287">
        <v>622993</v>
      </c>
      <c r="X45" s="151">
        <f t="shared" si="2"/>
        <v>1343677</v>
      </c>
    </row>
    <row r="46" spans="1:24" s="152" customFormat="1" ht="15.75" customHeight="1">
      <c r="A46" s="420"/>
      <c r="B46" s="153" t="s">
        <v>615</v>
      </c>
      <c r="C46" s="422"/>
      <c r="D46" s="422"/>
      <c r="E46" s="441"/>
      <c r="F46" s="447"/>
      <c r="G46" s="182">
        <v>0.01381</v>
      </c>
      <c r="H46" s="289">
        <v>27770</v>
      </c>
      <c r="I46" s="289">
        <v>54330</v>
      </c>
      <c r="J46" s="289">
        <v>67125</v>
      </c>
      <c r="K46" s="289">
        <v>65925</v>
      </c>
      <c r="L46" s="289">
        <v>38300</v>
      </c>
      <c r="M46" s="289">
        <v>36810</v>
      </c>
      <c r="N46" s="289">
        <v>34915</v>
      </c>
      <c r="O46" s="289">
        <v>33110</v>
      </c>
      <c r="P46" s="289">
        <v>31305</v>
      </c>
      <c r="Q46" s="289">
        <v>29585</v>
      </c>
      <c r="R46" s="289">
        <v>27700</v>
      </c>
      <c r="S46" s="289">
        <v>25895</v>
      </c>
      <c r="T46" s="289">
        <v>24090</v>
      </c>
      <c r="U46" s="289">
        <v>22345</v>
      </c>
      <c r="V46" s="289">
        <v>20480</v>
      </c>
      <c r="W46" s="290">
        <v>106200</v>
      </c>
      <c r="X46" s="156">
        <f t="shared" si="2"/>
        <v>645885</v>
      </c>
    </row>
    <row r="47" spans="1:24" s="152" customFormat="1" ht="12.75" customHeight="1">
      <c r="A47" s="419">
        <v>21</v>
      </c>
      <c r="B47" s="149" t="s">
        <v>557</v>
      </c>
      <c r="C47" s="421" t="s">
        <v>616</v>
      </c>
      <c r="D47" s="421">
        <v>650</v>
      </c>
      <c r="E47" s="423">
        <f>1108154-97425-61240.54</f>
        <v>949488.46</v>
      </c>
      <c r="F47" s="446" t="s">
        <v>617</v>
      </c>
      <c r="G47" s="300" t="s">
        <v>560</v>
      </c>
      <c r="H47" s="286">
        <v>4000</v>
      </c>
      <c r="I47" s="286">
        <v>10000</v>
      </c>
      <c r="J47" s="286">
        <v>16000</v>
      </c>
      <c r="K47" s="286">
        <v>28000</v>
      </c>
      <c r="L47" s="286">
        <v>35944</v>
      </c>
      <c r="M47" s="286">
        <v>35944</v>
      </c>
      <c r="N47" s="286">
        <v>35944</v>
      </c>
      <c r="O47" s="286">
        <v>35944</v>
      </c>
      <c r="P47" s="286">
        <v>35944</v>
      </c>
      <c r="Q47" s="286">
        <v>35944</v>
      </c>
      <c r="R47" s="286">
        <v>35944</v>
      </c>
      <c r="S47" s="286">
        <v>35944</v>
      </c>
      <c r="T47" s="286">
        <v>35944</v>
      </c>
      <c r="U47" s="286">
        <v>35944</v>
      </c>
      <c r="V47" s="286">
        <v>35944</v>
      </c>
      <c r="W47" s="287">
        <v>368406</v>
      </c>
      <c r="X47" s="151">
        <f t="shared" si="2"/>
        <v>821790</v>
      </c>
    </row>
    <row r="48" spans="1:24" s="152" customFormat="1" ht="12.75">
      <c r="A48" s="420"/>
      <c r="B48" s="153" t="s">
        <v>618</v>
      </c>
      <c r="C48" s="422"/>
      <c r="D48" s="422"/>
      <c r="E48" s="424"/>
      <c r="F48" s="447"/>
      <c r="G48" s="182">
        <v>0.01381</v>
      </c>
      <c r="H48" s="289">
        <v>16985</v>
      </c>
      <c r="I48" s="289">
        <v>33185</v>
      </c>
      <c r="J48" s="289">
        <v>40810</v>
      </c>
      <c r="K48" s="289">
        <v>39890</v>
      </c>
      <c r="L48" s="289">
        <v>23050</v>
      </c>
      <c r="M48" s="289">
        <v>22035</v>
      </c>
      <c r="N48" s="289">
        <v>20880</v>
      </c>
      <c r="O48" s="289">
        <v>19785</v>
      </c>
      <c r="P48" s="289">
        <v>18695</v>
      </c>
      <c r="Q48" s="289">
        <v>17650</v>
      </c>
      <c r="R48" s="289">
        <v>16505</v>
      </c>
      <c r="S48" s="289">
        <v>15415</v>
      </c>
      <c r="T48" s="289">
        <v>14320</v>
      </c>
      <c r="U48" s="289">
        <v>13265</v>
      </c>
      <c r="V48" s="289">
        <v>12130</v>
      </c>
      <c r="W48" s="290">
        <v>61400</v>
      </c>
      <c r="X48" s="156">
        <f t="shared" si="2"/>
        <v>386000</v>
      </c>
    </row>
    <row r="49" spans="1:24" s="152" customFormat="1" ht="12.75" customHeight="1">
      <c r="A49" s="419">
        <v>22</v>
      </c>
      <c r="B49" s="149" t="s">
        <v>557</v>
      </c>
      <c r="C49" s="421" t="s">
        <v>619</v>
      </c>
      <c r="D49" s="421">
        <v>651</v>
      </c>
      <c r="E49" s="423">
        <f>225000-4003.53</f>
        <v>220996.47</v>
      </c>
      <c r="F49" s="446" t="s">
        <v>620</v>
      </c>
      <c r="G49" s="300" t="s">
        <v>560</v>
      </c>
      <c r="H49" s="286">
        <v>4000</v>
      </c>
      <c r="I49" s="286">
        <v>6000</v>
      </c>
      <c r="J49" s="286">
        <v>8000</v>
      </c>
      <c r="K49" s="286">
        <v>16380</v>
      </c>
      <c r="L49" s="286">
        <v>16380</v>
      </c>
      <c r="M49" s="286">
        <v>16380</v>
      </c>
      <c r="N49" s="286">
        <v>16380</v>
      </c>
      <c r="O49" s="286">
        <v>16380</v>
      </c>
      <c r="P49" s="286">
        <v>16380</v>
      </c>
      <c r="Q49" s="286">
        <v>16380</v>
      </c>
      <c r="R49" s="286">
        <v>16380</v>
      </c>
      <c r="S49" s="286">
        <v>16380</v>
      </c>
      <c r="T49" s="286">
        <v>16380</v>
      </c>
      <c r="U49" s="301">
        <v>16380</v>
      </c>
      <c r="V49" s="301">
        <v>16380</v>
      </c>
      <c r="W49" s="302">
        <v>4061.47</v>
      </c>
      <c r="X49" s="151">
        <f t="shared" si="2"/>
        <v>218621.47</v>
      </c>
    </row>
    <row r="50" spans="1:24" s="152" customFormat="1" ht="12.75">
      <c r="A50" s="420"/>
      <c r="B50" s="153" t="s">
        <v>621</v>
      </c>
      <c r="C50" s="422"/>
      <c r="D50" s="422"/>
      <c r="E50" s="424"/>
      <c r="F50" s="447"/>
      <c r="G50" s="182">
        <v>0.01381</v>
      </c>
      <c r="H50" s="289">
        <v>4225</v>
      </c>
      <c r="I50" s="289">
        <v>7600</v>
      </c>
      <c r="J50" s="289">
        <v>10510</v>
      </c>
      <c r="K50" s="289">
        <v>10020</v>
      </c>
      <c r="L50" s="289">
        <v>5530</v>
      </c>
      <c r="M50" s="289">
        <v>5045</v>
      </c>
      <c r="N50" s="289">
        <v>4535</v>
      </c>
      <c r="O50" s="289">
        <v>4035</v>
      </c>
      <c r="P50" s="289">
        <v>3535</v>
      </c>
      <c r="Q50" s="289">
        <v>3045</v>
      </c>
      <c r="R50" s="289">
        <v>2540</v>
      </c>
      <c r="S50" s="289">
        <v>2040</v>
      </c>
      <c r="T50" s="289">
        <v>1545</v>
      </c>
      <c r="U50" s="289">
        <v>1050</v>
      </c>
      <c r="V50" s="289">
        <v>545</v>
      </c>
      <c r="W50" s="290">
        <v>85</v>
      </c>
      <c r="X50" s="156">
        <f t="shared" si="2"/>
        <v>65885</v>
      </c>
    </row>
    <row r="51" spans="1:24" s="152" customFormat="1" ht="12.75" customHeight="1">
      <c r="A51" s="419">
        <v>23</v>
      </c>
      <c r="B51" s="149" t="s">
        <v>557</v>
      </c>
      <c r="C51" s="421" t="s">
        <v>622</v>
      </c>
      <c r="D51" s="421">
        <v>652</v>
      </c>
      <c r="E51" s="423">
        <f>888438-1.11</f>
        <v>888436.89</v>
      </c>
      <c r="F51" s="446" t="s">
        <v>623</v>
      </c>
      <c r="G51" s="300" t="s">
        <v>560</v>
      </c>
      <c r="H51" s="286">
        <v>6000</v>
      </c>
      <c r="I51" s="286">
        <v>10000</v>
      </c>
      <c r="J51" s="286">
        <v>20000</v>
      </c>
      <c r="K51" s="286">
        <v>40000</v>
      </c>
      <c r="L51" s="286">
        <v>70384</v>
      </c>
      <c r="M51" s="286">
        <v>70384</v>
      </c>
      <c r="N51" s="286">
        <v>70384</v>
      </c>
      <c r="O51" s="286">
        <v>70384</v>
      </c>
      <c r="P51" s="286">
        <v>70384</v>
      </c>
      <c r="Q51" s="286">
        <v>70384</v>
      </c>
      <c r="R51" s="286">
        <v>70384</v>
      </c>
      <c r="S51" s="286">
        <v>70384</v>
      </c>
      <c r="T51" s="286">
        <v>70384</v>
      </c>
      <c r="U51" s="301">
        <v>70384</v>
      </c>
      <c r="V51" s="301">
        <v>70384</v>
      </c>
      <c r="W51" s="302">
        <v>35212.89</v>
      </c>
      <c r="X51" s="151">
        <f t="shared" si="2"/>
        <v>885436.89</v>
      </c>
    </row>
    <row r="52" spans="1:24" s="152" customFormat="1" ht="12.75">
      <c r="A52" s="448"/>
      <c r="B52" s="183" t="s">
        <v>624</v>
      </c>
      <c r="C52" s="449"/>
      <c r="D52" s="449"/>
      <c r="E52" s="450"/>
      <c r="F52" s="451"/>
      <c r="G52" s="184">
        <v>0.01732</v>
      </c>
      <c r="H52" s="303">
        <v>19520</v>
      </c>
      <c r="I52" s="303">
        <v>31235</v>
      </c>
      <c r="J52" s="303">
        <v>43895</v>
      </c>
      <c r="K52" s="303">
        <v>42695</v>
      </c>
      <c r="L52" s="303">
        <v>24240</v>
      </c>
      <c r="M52" s="303">
        <v>22215</v>
      </c>
      <c r="N52" s="303">
        <v>20010</v>
      </c>
      <c r="O52" s="303">
        <v>17870</v>
      </c>
      <c r="P52" s="303">
        <v>15730</v>
      </c>
      <c r="Q52" s="303">
        <v>13625</v>
      </c>
      <c r="R52" s="303">
        <v>11450</v>
      </c>
      <c r="S52" s="303">
        <v>9305</v>
      </c>
      <c r="T52" s="303">
        <v>7165</v>
      </c>
      <c r="U52" s="303">
        <v>5040</v>
      </c>
      <c r="V52" s="303">
        <v>2885</v>
      </c>
      <c r="W52" s="304">
        <v>760</v>
      </c>
      <c r="X52" s="363">
        <f t="shared" si="2"/>
        <v>287640</v>
      </c>
    </row>
    <row r="53" spans="1:24" s="369" customFormat="1" ht="17.25" customHeight="1">
      <c r="A53" s="419">
        <v>24</v>
      </c>
      <c r="B53" s="149" t="s">
        <v>557</v>
      </c>
      <c r="C53" s="421" t="s">
        <v>625</v>
      </c>
      <c r="D53" s="421">
        <v>653</v>
      </c>
      <c r="E53" s="423">
        <f>74835+24822-0.26+294955-28536.73</f>
        <v>366075.01</v>
      </c>
      <c r="F53" s="431" t="s">
        <v>626</v>
      </c>
      <c r="G53" s="300" t="s">
        <v>560</v>
      </c>
      <c r="H53" s="286">
        <v>27156</v>
      </c>
      <c r="I53" s="286">
        <v>27156</v>
      </c>
      <c r="J53" s="286">
        <v>27156</v>
      </c>
      <c r="K53" s="286">
        <v>27156</v>
      </c>
      <c r="L53" s="286">
        <v>27156</v>
      </c>
      <c r="M53" s="301">
        <v>13572</v>
      </c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370">
        <f t="shared" si="2"/>
        <v>149352</v>
      </c>
    </row>
    <row r="54" spans="1:24" s="369" customFormat="1" ht="14.25" customHeight="1">
      <c r="A54" s="420"/>
      <c r="B54" s="153" t="s">
        <v>627</v>
      </c>
      <c r="C54" s="422"/>
      <c r="D54" s="422"/>
      <c r="E54" s="424"/>
      <c r="F54" s="432"/>
      <c r="G54" s="182">
        <v>0.01732</v>
      </c>
      <c r="H54" s="289">
        <v>2990</v>
      </c>
      <c r="I54" s="289">
        <v>3600</v>
      </c>
      <c r="J54" s="289">
        <v>4610</v>
      </c>
      <c r="K54" s="289">
        <v>3230</v>
      </c>
      <c r="L54" s="289">
        <v>1115</v>
      </c>
      <c r="M54" s="289">
        <v>295</v>
      </c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156">
        <f t="shared" si="2"/>
        <v>15840</v>
      </c>
    </row>
    <row r="55" spans="1:24" s="152" customFormat="1" ht="12.75" customHeight="1">
      <c r="A55" s="452">
        <v>25</v>
      </c>
      <c r="B55" s="364" t="s">
        <v>557</v>
      </c>
      <c r="C55" s="453" t="s">
        <v>628</v>
      </c>
      <c r="D55" s="453">
        <v>654</v>
      </c>
      <c r="E55" s="454">
        <v>74150</v>
      </c>
      <c r="F55" s="451" t="s">
        <v>629</v>
      </c>
      <c r="G55" s="365" t="s">
        <v>560</v>
      </c>
      <c r="H55" s="366">
        <v>3000</v>
      </c>
      <c r="I55" s="366">
        <v>4380</v>
      </c>
      <c r="J55" s="366">
        <v>4760</v>
      </c>
      <c r="K55" s="366">
        <v>4760</v>
      </c>
      <c r="L55" s="366">
        <v>4760</v>
      </c>
      <c r="M55" s="366">
        <v>4760</v>
      </c>
      <c r="N55" s="366">
        <v>4760</v>
      </c>
      <c r="O55" s="366">
        <v>4760</v>
      </c>
      <c r="P55" s="366">
        <v>4760</v>
      </c>
      <c r="Q55" s="366">
        <v>4760</v>
      </c>
      <c r="R55" s="366">
        <v>4760</v>
      </c>
      <c r="S55" s="366">
        <v>4760</v>
      </c>
      <c r="T55" s="366">
        <v>4760</v>
      </c>
      <c r="U55" s="366">
        <v>4760</v>
      </c>
      <c r="V55" s="366">
        <v>4760</v>
      </c>
      <c r="W55" s="367">
        <v>2390</v>
      </c>
      <c r="X55" s="368">
        <f t="shared" si="2"/>
        <v>71650</v>
      </c>
    </row>
    <row r="56" spans="1:24" s="152" customFormat="1" ht="12.75">
      <c r="A56" s="420"/>
      <c r="B56" s="153" t="s">
        <v>630</v>
      </c>
      <c r="C56" s="422"/>
      <c r="D56" s="422"/>
      <c r="E56" s="424"/>
      <c r="F56" s="447"/>
      <c r="G56" s="182">
        <v>0.01732</v>
      </c>
      <c r="H56" s="289">
        <v>1570</v>
      </c>
      <c r="I56" s="289">
        <v>2420</v>
      </c>
      <c r="J56" s="289">
        <v>3225</v>
      </c>
      <c r="K56" s="289">
        <v>2980</v>
      </c>
      <c r="L56" s="289">
        <v>1645</v>
      </c>
      <c r="M56" s="289">
        <v>1505</v>
      </c>
      <c r="N56" s="289">
        <v>1355</v>
      </c>
      <c r="O56" s="289">
        <v>1210</v>
      </c>
      <c r="P56" s="289">
        <v>1065</v>
      </c>
      <c r="Q56" s="289">
        <v>925</v>
      </c>
      <c r="R56" s="289">
        <v>775</v>
      </c>
      <c r="S56" s="289">
        <v>630</v>
      </c>
      <c r="T56" s="289">
        <v>485</v>
      </c>
      <c r="U56" s="289">
        <v>345</v>
      </c>
      <c r="V56" s="289">
        <v>195</v>
      </c>
      <c r="W56" s="290">
        <v>55</v>
      </c>
      <c r="X56" s="156">
        <f t="shared" si="2"/>
        <v>20385</v>
      </c>
    </row>
    <row r="57" spans="1:24" s="152" customFormat="1" ht="16.5" customHeight="1">
      <c r="A57" s="419">
        <v>26</v>
      </c>
      <c r="B57" s="149" t="s">
        <v>557</v>
      </c>
      <c r="C57" s="421" t="s">
        <v>631</v>
      </c>
      <c r="D57" s="421">
        <v>655</v>
      </c>
      <c r="E57" s="423">
        <v>250000</v>
      </c>
      <c r="F57" s="446" t="s">
        <v>632</v>
      </c>
      <c r="G57" s="300" t="s">
        <v>560</v>
      </c>
      <c r="H57" s="286">
        <v>2000</v>
      </c>
      <c r="I57" s="286">
        <v>3000</v>
      </c>
      <c r="J57" s="286">
        <v>6000</v>
      </c>
      <c r="K57" s="286">
        <v>18644</v>
      </c>
      <c r="L57" s="286">
        <v>18644</v>
      </c>
      <c r="M57" s="286">
        <v>18644</v>
      </c>
      <c r="N57" s="286">
        <v>18644</v>
      </c>
      <c r="O57" s="286">
        <v>18644</v>
      </c>
      <c r="P57" s="286">
        <v>18644</v>
      </c>
      <c r="Q57" s="286">
        <v>18644</v>
      </c>
      <c r="R57" s="286">
        <v>18644</v>
      </c>
      <c r="S57" s="286">
        <v>18644</v>
      </c>
      <c r="T57" s="286">
        <v>18644</v>
      </c>
      <c r="U57" s="286">
        <v>18644</v>
      </c>
      <c r="V57" s="286">
        <v>18644</v>
      </c>
      <c r="W57" s="287">
        <v>13972</v>
      </c>
      <c r="X57" s="151">
        <f t="shared" si="2"/>
        <v>248700</v>
      </c>
    </row>
    <row r="58" spans="1:24" s="152" customFormat="1" ht="17.25" customHeight="1">
      <c r="A58" s="420"/>
      <c r="B58" s="153" t="s">
        <v>633</v>
      </c>
      <c r="C58" s="422"/>
      <c r="D58" s="422"/>
      <c r="E58" s="424"/>
      <c r="F58" s="447"/>
      <c r="G58" s="182">
        <v>0.01732</v>
      </c>
      <c r="H58" s="289">
        <v>5480</v>
      </c>
      <c r="I58" s="289">
        <v>8770</v>
      </c>
      <c r="J58" s="289">
        <v>12305</v>
      </c>
      <c r="K58" s="289">
        <v>11870</v>
      </c>
      <c r="L58" s="289">
        <v>6580</v>
      </c>
      <c r="M58" s="289">
        <v>6030</v>
      </c>
      <c r="N58" s="289">
        <v>2445</v>
      </c>
      <c r="O58" s="289">
        <v>4875</v>
      </c>
      <c r="P58" s="289">
        <v>4310</v>
      </c>
      <c r="Q58" s="289">
        <v>3755</v>
      </c>
      <c r="R58" s="289">
        <v>3175</v>
      </c>
      <c r="S58" s="289">
        <v>2610</v>
      </c>
      <c r="T58" s="289">
        <v>2040</v>
      </c>
      <c r="U58" s="289">
        <v>1480</v>
      </c>
      <c r="V58" s="289">
        <v>905</v>
      </c>
      <c r="W58" s="290">
        <v>340</v>
      </c>
      <c r="X58" s="156">
        <f t="shared" si="2"/>
        <v>76970</v>
      </c>
    </row>
    <row r="59" spans="1:24" s="152" customFormat="1" ht="12.75" customHeight="1">
      <c r="A59" s="419">
        <v>27</v>
      </c>
      <c r="B59" s="149" t="s">
        <v>557</v>
      </c>
      <c r="C59" s="421" t="s">
        <v>634</v>
      </c>
      <c r="D59" s="421">
        <v>656</v>
      </c>
      <c r="E59" s="423">
        <v>4203541</v>
      </c>
      <c r="F59" s="446" t="s">
        <v>635</v>
      </c>
      <c r="G59" s="300" t="s">
        <v>560</v>
      </c>
      <c r="H59" s="174">
        <v>4000</v>
      </c>
      <c r="I59" s="174">
        <v>5000</v>
      </c>
      <c r="J59" s="174">
        <v>10000</v>
      </c>
      <c r="K59" s="174">
        <v>20000</v>
      </c>
      <c r="L59" s="174">
        <v>50000</v>
      </c>
      <c r="M59" s="174">
        <v>62000</v>
      </c>
      <c r="N59" s="174">
        <v>80000</v>
      </c>
      <c r="O59" s="174">
        <v>223540</v>
      </c>
      <c r="P59" s="174">
        <v>223540</v>
      </c>
      <c r="Q59" s="174">
        <v>223540</v>
      </c>
      <c r="R59" s="175">
        <v>223540</v>
      </c>
      <c r="S59" s="175">
        <v>223540</v>
      </c>
      <c r="T59" s="175">
        <v>223540</v>
      </c>
      <c r="U59" s="286">
        <v>223540</v>
      </c>
      <c r="V59" s="286">
        <v>223540</v>
      </c>
      <c r="W59" s="286">
        <v>2179471</v>
      </c>
      <c r="X59" s="151">
        <f t="shared" si="2"/>
        <v>4198791</v>
      </c>
    </row>
    <row r="60" spans="1:24" s="152" customFormat="1" ht="12.75">
      <c r="A60" s="420"/>
      <c r="B60" s="153" t="s">
        <v>636</v>
      </c>
      <c r="C60" s="422"/>
      <c r="D60" s="422"/>
      <c r="E60" s="424"/>
      <c r="F60" s="447"/>
      <c r="G60" s="182">
        <v>0.02929</v>
      </c>
      <c r="H60" s="178">
        <f>21285+97765</f>
        <v>119050</v>
      </c>
      <c r="I60" s="178">
        <v>170555</v>
      </c>
      <c r="J60" s="178">
        <v>212310</v>
      </c>
      <c r="K60" s="178">
        <v>211710</v>
      </c>
      <c r="L60" s="178">
        <v>126245</v>
      </c>
      <c r="M60" s="178">
        <v>125040</v>
      </c>
      <c r="N60" s="178">
        <v>122715</v>
      </c>
      <c r="O60" s="178">
        <v>119400</v>
      </c>
      <c r="P60" s="178">
        <v>112840</v>
      </c>
      <c r="Q60" s="178">
        <v>106335</v>
      </c>
      <c r="R60" s="178">
        <v>99245</v>
      </c>
      <c r="S60" s="178">
        <v>92445</v>
      </c>
      <c r="T60" s="178">
        <v>85645</v>
      </c>
      <c r="U60" s="289">
        <v>79065</v>
      </c>
      <c r="V60" s="289">
        <v>72045</v>
      </c>
      <c r="W60" s="289">
        <v>346690</v>
      </c>
      <c r="X60" s="156">
        <f t="shared" si="2"/>
        <v>2201335</v>
      </c>
    </row>
    <row r="61" spans="1:24" s="152" customFormat="1" ht="17.25" customHeight="1">
      <c r="A61" s="419">
        <v>28</v>
      </c>
      <c r="B61" s="149" t="s">
        <v>557</v>
      </c>
      <c r="C61" s="421" t="s">
        <v>637</v>
      </c>
      <c r="D61" s="421">
        <v>657</v>
      </c>
      <c r="E61" s="440">
        <v>546548</v>
      </c>
      <c r="F61" s="446" t="s">
        <v>638</v>
      </c>
      <c r="G61" s="300" t="s">
        <v>560</v>
      </c>
      <c r="H61" s="286">
        <v>8000</v>
      </c>
      <c r="I61" s="286">
        <v>70472</v>
      </c>
      <c r="J61" s="286">
        <v>70472</v>
      </c>
      <c r="K61" s="286">
        <v>70472</v>
      </c>
      <c r="L61" s="286">
        <v>70472</v>
      </c>
      <c r="M61" s="301">
        <f>52844-5352.46-2293.91-53.55-22.95-1124.47</f>
        <v>43996.66</v>
      </c>
      <c r="N61" s="286"/>
      <c r="O61" s="286"/>
      <c r="P61" s="286"/>
      <c r="Q61" s="286"/>
      <c r="R61" s="174"/>
      <c r="S61" s="174"/>
      <c r="T61" s="174"/>
      <c r="U61" s="175"/>
      <c r="V61" s="175"/>
      <c r="W61" s="176"/>
      <c r="X61" s="151">
        <f t="shared" si="2"/>
        <v>333884.66000000003</v>
      </c>
    </row>
    <row r="62" spans="1:24" s="152" customFormat="1" ht="18" customHeight="1">
      <c r="A62" s="420"/>
      <c r="B62" s="153" t="s">
        <v>639</v>
      </c>
      <c r="C62" s="422"/>
      <c r="D62" s="422"/>
      <c r="E62" s="441"/>
      <c r="F62" s="447"/>
      <c r="G62" s="181">
        <v>0.0313</v>
      </c>
      <c r="H62" s="289">
        <f>10160-30-1550</f>
        <v>8580</v>
      </c>
      <c r="I62" s="289">
        <f>9545-35</f>
        <v>9510</v>
      </c>
      <c r="J62" s="289">
        <v>12400</v>
      </c>
      <c r="K62" s="289">
        <v>8825</v>
      </c>
      <c r="L62" s="289">
        <v>3155</v>
      </c>
      <c r="M62" s="289">
        <v>1020</v>
      </c>
      <c r="N62" s="289"/>
      <c r="O62" s="289"/>
      <c r="P62" s="289"/>
      <c r="Q62" s="289"/>
      <c r="R62" s="178"/>
      <c r="S62" s="178"/>
      <c r="T62" s="178"/>
      <c r="U62" s="178"/>
      <c r="V62" s="178"/>
      <c r="W62" s="179"/>
      <c r="X62" s="156">
        <f t="shared" si="2"/>
        <v>43490</v>
      </c>
    </row>
    <row r="63" spans="1:24" s="152" customFormat="1" ht="16.5" customHeight="1">
      <c r="A63" s="419">
        <v>29</v>
      </c>
      <c r="B63" s="149" t="s">
        <v>557</v>
      </c>
      <c r="C63" s="421" t="s">
        <v>640</v>
      </c>
      <c r="D63" s="421">
        <v>658</v>
      </c>
      <c r="E63" s="423">
        <f>149917-0.42</f>
        <v>149916.58</v>
      </c>
      <c r="F63" s="446" t="s">
        <v>641</v>
      </c>
      <c r="G63" s="300" t="s">
        <v>560</v>
      </c>
      <c r="H63" s="286">
        <v>1000</v>
      </c>
      <c r="I63" s="286">
        <v>2000</v>
      </c>
      <c r="J63" s="286">
        <v>2000</v>
      </c>
      <c r="K63" s="286">
        <v>11272</v>
      </c>
      <c r="L63" s="286">
        <v>11272</v>
      </c>
      <c r="M63" s="286">
        <v>11272</v>
      </c>
      <c r="N63" s="286">
        <v>11272</v>
      </c>
      <c r="O63" s="286">
        <v>11272</v>
      </c>
      <c r="P63" s="286">
        <v>11272</v>
      </c>
      <c r="Q63" s="286">
        <v>11272</v>
      </c>
      <c r="R63" s="286">
        <v>11272</v>
      </c>
      <c r="S63" s="286">
        <f>11272</f>
        <v>11272</v>
      </c>
      <c r="T63" s="286">
        <v>11272</v>
      </c>
      <c r="U63" s="301">
        <v>11272</v>
      </c>
      <c r="V63" s="301">
        <v>11272</v>
      </c>
      <c r="W63" s="302">
        <v>8452.58</v>
      </c>
      <c r="X63" s="151">
        <f t="shared" si="2"/>
        <v>148716.58</v>
      </c>
    </row>
    <row r="64" spans="1:24" s="152" customFormat="1" ht="15" customHeight="1">
      <c r="A64" s="420"/>
      <c r="B64" s="153" t="s">
        <v>642</v>
      </c>
      <c r="C64" s="422"/>
      <c r="D64" s="422"/>
      <c r="E64" s="424"/>
      <c r="F64" s="447"/>
      <c r="G64" s="182">
        <v>0.03117</v>
      </c>
      <c r="H64" s="289">
        <f>5275-1515</f>
        <v>3760</v>
      </c>
      <c r="I64" s="289">
        <v>5245</v>
      </c>
      <c r="J64" s="289">
        <v>7375</v>
      </c>
      <c r="K64" s="289">
        <v>7175</v>
      </c>
      <c r="L64" s="289">
        <v>3980</v>
      </c>
      <c r="M64" s="289">
        <v>3645</v>
      </c>
      <c r="N64" s="289">
        <v>3290</v>
      </c>
      <c r="O64" s="289">
        <v>2950</v>
      </c>
      <c r="P64" s="289">
        <v>2605</v>
      </c>
      <c r="Q64" s="289">
        <v>2270</v>
      </c>
      <c r="R64" s="289">
        <v>1920</v>
      </c>
      <c r="S64" s="289">
        <v>1580</v>
      </c>
      <c r="T64" s="289">
        <v>1235</v>
      </c>
      <c r="U64" s="289">
        <v>895</v>
      </c>
      <c r="V64" s="289">
        <v>550</v>
      </c>
      <c r="W64" s="290">
        <v>205</v>
      </c>
      <c r="X64" s="156">
        <f t="shared" si="2"/>
        <v>48680</v>
      </c>
    </row>
    <row r="65" spans="1:24" s="152" customFormat="1" ht="12.75" customHeight="1">
      <c r="A65" s="419">
        <v>30</v>
      </c>
      <c r="B65" s="149" t="s">
        <v>557</v>
      </c>
      <c r="C65" s="421" t="s">
        <v>643</v>
      </c>
      <c r="D65" s="421">
        <v>660</v>
      </c>
      <c r="E65" s="423">
        <f>2825528-170000-458838.25</f>
        <v>2196689.75</v>
      </c>
      <c r="F65" s="446" t="s">
        <v>644</v>
      </c>
      <c r="G65" s="300" t="s">
        <v>560</v>
      </c>
      <c r="H65" s="174">
        <v>5000</v>
      </c>
      <c r="I65" s="174">
        <v>5000</v>
      </c>
      <c r="J65" s="174">
        <v>5000</v>
      </c>
      <c r="K65" s="174">
        <v>10000</v>
      </c>
      <c r="L65" s="174">
        <v>15000</v>
      </c>
      <c r="M65" s="175">
        <v>92432</v>
      </c>
      <c r="N65" s="175">
        <v>92432</v>
      </c>
      <c r="O65" s="175">
        <v>92432</v>
      </c>
      <c r="P65" s="175">
        <v>92432</v>
      </c>
      <c r="Q65" s="175">
        <v>92432</v>
      </c>
      <c r="R65" s="175">
        <v>92432</v>
      </c>
      <c r="S65" s="175">
        <v>92432</v>
      </c>
      <c r="T65" s="175">
        <v>92432</v>
      </c>
      <c r="U65" s="175">
        <v>92432</v>
      </c>
      <c r="V65" s="175">
        <v>92432</v>
      </c>
      <c r="W65" s="176">
        <v>1039888</v>
      </c>
      <c r="X65" s="151">
        <f t="shared" si="2"/>
        <v>2004208</v>
      </c>
    </row>
    <row r="66" spans="1:24" s="152" customFormat="1" ht="12.75">
      <c r="A66" s="420"/>
      <c r="B66" s="153" t="s">
        <v>645</v>
      </c>
      <c r="C66" s="422"/>
      <c r="D66" s="422"/>
      <c r="E66" s="424"/>
      <c r="F66" s="447"/>
      <c r="G66" s="182">
        <v>0.00277</v>
      </c>
      <c r="H66" s="178">
        <v>62175</v>
      </c>
      <c r="I66" s="178">
        <v>81270</v>
      </c>
      <c r="J66" s="178">
        <v>101060</v>
      </c>
      <c r="K66" s="178">
        <v>100750</v>
      </c>
      <c r="L66" s="178">
        <v>60125</v>
      </c>
      <c r="M66" s="178">
        <v>59345</v>
      </c>
      <c r="N66" s="178">
        <v>56500</v>
      </c>
      <c r="O66" s="178">
        <v>53690</v>
      </c>
      <c r="P66" s="178">
        <v>50880</v>
      </c>
      <c r="Q66" s="178">
        <v>48200</v>
      </c>
      <c r="R66" s="178">
        <v>45255</v>
      </c>
      <c r="S66" s="178">
        <v>42445</v>
      </c>
      <c r="T66" s="178">
        <v>39635</v>
      </c>
      <c r="U66" s="178">
        <v>36925</v>
      </c>
      <c r="V66" s="178">
        <v>34010</v>
      </c>
      <c r="W66" s="179">
        <v>189140</v>
      </c>
      <c r="X66" s="156">
        <f t="shared" si="2"/>
        <v>1061405</v>
      </c>
    </row>
    <row r="67" spans="1:24" s="152" customFormat="1" ht="12.75" customHeight="1">
      <c r="A67" s="419">
        <v>31</v>
      </c>
      <c r="B67" s="149" t="s">
        <v>557</v>
      </c>
      <c r="C67" s="421" t="s">
        <v>646</v>
      </c>
      <c r="D67" s="421">
        <v>661</v>
      </c>
      <c r="E67" s="423">
        <v>1946578</v>
      </c>
      <c r="F67" s="446" t="s">
        <v>647</v>
      </c>
      <c r="G67" s="300" t="s">
        <v>560</v>
      </c>
      <c r="H67" s="286">
        <v>5000</v>
      </c>
      <c r="I67" s="286">
        <v>5000</v>
      </c>
      <c r="J67" s="286">
        <v>5000</v>
      </c>
      <c r="K67" s="286">
        <v>10000</v>
      </c>
      <c r="L67" s="286">
        <v>15000</v>
      </c>
      <c r="M67" s="286">
        <v>73732</v>
      </c>
      <c r="N67" s="286">
        <v>73732</v>
      </c>
      <c r="O67" s="286">
        <v>73732</v>
      </c>
      <c r="P67" s="286">
        <v>73732</v>
      </c>
      <c r="Q67" s="286">
        <v>73732</v>
      </c>
      <c r="R67" s="286">
        <v>73732</v>
      </c>
      <c r="S67" s="286">
        <v>73732</v>
      </c>
      <c r="T67" s="286">
        <v>73732</v>
      </c>
      <c r="U67" s="301">
        <v>73732</v>
      </c>
      <c r="V67" s="301">
        <v>73732</v>
      </c>
      <c r="W67" s="302">
        <v>829512</v>
      </c>
      <c r="X67" s="151">
        <f t="shared" si="2"/>
        <v>1606832</v>
      </c>
    </row>
    <row r="68" spans="1:24" s="152" customFormat="1" ht="12.75">
      <c r="A68" s="420"/>
      <c r="B68" s="153" t="s">
        <v>648</v>
      </c>
      <c r="C68" s="422"/>
      <c r="D68" s="422"/>
      <c r="E68" s="424"/>
      <c r="F68" s="447"/>
      <c r="G68" s="182">
        <v>0.00585</v>
      </c>
      <c r="H68" s="289">
        <v>37385</v>
      </c>
      <c r="I68" s="289">
        <v>65110</v>
      </c>
      <c r="J68" s="289">
        <v>80915</v>
      </c>
      <c r="K68" s="289">
        <v>80605</v>
      </c>
      <c r="L68" s="289">
        <v>48040</v>
      </c>
      <c r="M68" s="289">
        <v>47345</v>
      </c>
      <c r="N68" s="289">
        <v>45070</v>
      </c>
      <c r="O68" s="289">
        <v>42830</v>
      </c>
      <c r="P68" s="289">
        <v>40585</v>
      </c>
      <c r="Q68" s="289">
        <v>38450</v>
      </c>
      <c r="R68" s="289">
        <v>36100</v>
      </c>
      <c r="S68" s="289">
        <v>33860</v>
      </c>
      <c r="T68" s="289">
        <v>31615</v>
      </c>
      <c r="U68" s="289">
        <v>29455</v>
      </c>
      <c r="V68" s="289">
        <v>27130</v>
      </c>
      <c r="W68" s="290">
        <v>150880</v>
      </c>
      <c r="X68" s="156">
        <f t="shared" si="2"/>
        <v>835375</v>
      </c>
    </row>
    <row r="69" spans="1:24" s="152" customFormat="1" ht="17.25" customHeight="1">
      <c r="A69" s="419">
        <v>32</v>
      </c>
      <c r="B69" s="149" t="s">
        <v>557</v>
      </c>
      <c r="C69" s="421" t="s">
        <v>649</v>
      </c>
      <c r="D69" s="421">
        <v>662</v>
      </c>
      <c r="E69" s="423">
        <f>2100900-400000-20542</f>
        <v>1680358</v>
      </c>
      <c r="F69" s="446" t="s">
        <v>650</v>
      </c>
      <c r="G69" s="300" t="s">
        <v>560</v>
      </c>
      <c r="H69" s="286">
        <v>6000</v>
      </c>
      <c r="I69" s="286">
        <v>10000</v>
      </c>
      <c r="J69" s="286">
        <v>20000</v>
      </c>
      <c r="K69" s="286">
        <v>43956</v>
      </c>
      <c r="L69" s="286">
        <v>43956</v>
      </c>
      <c r="M69" s="286">
        <v>43956</v>
      </c>
      <c r="N69" s="286">
        <v>43956</v>
      </c>
      <c r="O69" s="286">
        <v>43956</v>
      </c>
      <c r="P69" s="286">
        <v>43956</v>
      </c>
      <c r="Q69" s="286">
        <v>43956</v>
      </c>
      <c r="R69" s="286">
        <v>43956</v>
      </c>
      <c r="S69" s="286">
        <v>43956</v>
      </c>
      <c r="T69" s="286">
        <v>43956</v>
      </c>
      <c r="U69" s="286">
        <v>43956</v>
      </c>
      <c r="V69" s="286">
        <v>43956</v>
      </c>
      <c r="W69" s="287">
        <v>494488</v>
      </c>
      <c r="X69" s="151">
        <f t="shared" si="2"/>
        <v>1057960</v>
      </c>
    </row>
    <row r="70" spans="1:24" s="152" customFormat="1" ht="18" customHeight="1">
      <c r="A70" s="420"/>
      <c r="B70" s="183" t="s">
        <v>651</v>
      </c>
      <c r="C70" s="449"/>
      <c r="D70" s="449"/>
      <c r="E70" s="450"/>
      <c r="F70" s="447"/>
      <c r="G70" s="184">
        <v>0.01658</v>
      </c>
      <c r="H70" s="303">
        <v>30335</v>
      </c>
      <c r="I70" s="303">
        <v>42710</v>
      </c>
      <c r="J70" s="303">
        <v>52640</v>
      </c>
      <c r="K70" s="303">
        <v>51400</v>
      </c>
      <c r="L70" s="303">
        <v>29545</v>
      </c>
      <c r="M70" s="303">
        <v>28285</v>
      </c>
      <c r="N70" s="303">
        <v>26870</v>
      </c>
      <c r="O70" s="303">
        <v>25535</v>
      </c>
      <c r="P70" s="303">
        <v>24195</v>
      </c>
      <c r="Q70" s="303">
        <v>22920</v>
      </c>
      <c r="R70" s="303">
        <v>21520</v>
      </c>
      <c r="S70" s="303">
        <v>20185</v>
      </c>
      <c r="T70" s="303">
        <v>18850</v>
      </c>
      <c r="U70" s="303">
        <v>17560</v>
      </c>
      <c r="V70" s="303">
        <v>16175</v>
      </c>
      <c r="W70" s="304">
        <v>89930</v>
      </c>
      <c r="X70" s="156">
        <f t="shared" si="2"/>
        <v>518655</v>
      </c>
    </row>
    <row r="71" spans="1:24" s="152" customFormat="1" ht="12.75" customHeight="1">
      <c r="A71" s="419">
        <v>33</v>
      </c>
      <c r="B71" s="149" t="s">
        <v>557</v>
      </c>
      <c r="C71" s="421" t="s">
        <v>652</v>
      </c>
      <c r="D71" s="421">
        <v>663</v>
      </c>
      <c r="E71" s="423">
        <f>10367403-84075.7</f>
        <v>10283327.3</v>
      </c>
      <c r="F71" s="446" t="s">
        <v>653</v>
      </c>
      <c r="G71" s="300" t="s">
        <v>560</v>
      </c>
      <c r="H71" s="286">
        <v>6000</v>
      </c>
      <c r="I71" s="286">
        <v>10000</v>
      </c>
      <c r="J71" s="286">
        <v>20000</v>
      </c>
      <c r="K71" s="286">
        <v>28000</v>
      </c>
      <c r="L71" s="286">
        <v>40000</v>
      </c>
      <c r="M71" s="286">
        <v>80000</v>
      </c>
      <c r="N71" s="286">
        <v>200000</v>
      </c>
      <c r="O71" s="286">
        <v>400000</v>
      </c>
      <c r="P71" s="286">
        <v>520348</v>
      </c>
      <c r="Q71" s="286">
        <v>520348</v>
      </c>
      <c r="R71" s="286">
        <v>520348</v>
      </c>
      <c r="S71" s="286">
        <v>520348</v>
      </c>
      <c r="T71" s="286">
        <v>520348</v>
      </c>
      <c r="U71" s="286">
        <v>520348</v>
      </c>
      <c r="V71" s="286">
        <v>520348</v>
      </c>
      <c r="W71" s="287">
        <v>5853891</v>
      </c>
      <c r="X71" s="151">
        <f aca="true" t="shared" si="3" ref="X71:X102">SUM(H71:W71)</f>
        <v>10280327</v>
      </c>
    </row>
    <row r="72" spans="1:24" s="152" customFormat="1" ht="12.75">
      <c r="A72" s="420"/>
      <c r="B72" s="153" t="s">
        <v>654</v>
      </c>
      <c r="C72" s="422"/>
      <c r="D72" s="422"/>
      <c r="E72" s="424"/>
      <c r="F72" s="447"/>
      <c r="G72" s="182">
        <v>0.02473</v>
      </c>
      <c r="H72" s="289">
        <v>297845</v>
      </c>
      <c r="I72" s="289">
        <v>417755</v>
      </c>
      <c r="J72" s="289">
        <v>520160</v>
      </c>
      <c r="K72" s="289">
        <v>519090</v>
      </c>
      <c r="L72" s="289">
        <v>310540</v>
      </c>
      <c r="M72" s="289">
        <v>309940</v>
      </c>
      <c r="N72" s="289">
        <v>305960</v>
      </c>
      <c r="O72" s="289">
        <v>298805</v>
      </c>
      <c r="P72" s="289">
        <v>286205</v>
      </c>
      <c r="Q72" s="289">
        <v>271330</v>
      </c>
      <c r="R72" s="289">
        <v>254755</v>
      </c>
      <c r="S72" s="289">
        <v>238930</v>
      </c>
      <c r="T72" s="289">
        <v>223100</v>
      </c>
      <c r="U72" s="289">
        <v>207850</v>
      </c>
      <c r="V72" s="289">
        <v>191445</v>
      </c>
      <c r="W72" s="290">
        <v>1064700</v>
      </c>
      <c r="X72" s="156">
        <f t="shared" si="3"/>
        <v>5718410</v>
      </c>
    </row>
    <row r="73" spans="1:24" s="152" customFormat="1" ht="12.75" customHeight="1">
      <c r="A73" s="419">
        <v>34</v>
      </c>
      <c r="B73" s="149" t="s">
        <v>557</v>
      </c>
      <c r="C73" s="421" t="s">
        <v>655</v>
      </c>
      <c r="D73" s="455">
        <v>665</v>
      </c>
      <c r="E73" s="423">
        <f>158248.54+2664102</f>
        <v>2822350.54</v>
      </c>
      <c r="F73" s="446" t="s">
        <v>653</v>
      </c>
      <c r="G73" s="300" t="s">
        <v>560</v>
      </c>
      <c r="H73" s="286">
        <v>6000</v>
      </c>
      <c r="I73" s="286">
        <v>8000</v>
      </c>
      <c r="J73" s="286">
        <v>16000</v>
      </c>
      <c r="K73" s="286">
        <v>32000</v>
      </c>
      <c r="L73" s="286">
        <v>60000</v>
      </c>
      <c r="M73" s="286">
        <v>80000</v>
      </c>
      <c r="N73" s="286">
        <v>93944</v>
      </c>
      <c r="O73" s="286">
        <v>93944</v>
      </c>
      <c r="P73" s="286">
        <v>93944</v>
      </c>
      <c r="Q73" s="286">
        <v>93944</v>
      </c>
      <c r="R73" s="286">
        <v>93944</v>
      </c>
      <c r="S73" s="286">
        <v>93944</v>
      </c>
      <c r="T73" s="286">
        <v>93944</v>
      </c>
      <c r="U73" s="286">
        <v>93944</v>
      </c>
      <c r="V73" s="301">
        <v>93944</v>
      </c>
      <c r="W73" s="302">
        <v>1056870</v>
      </c>
      <c r="X73" s="151">
        <f t="shared" si="3"/>
        <v>2104366</v>
      </c>
    </row>
    <row r="74" spans="1:24" s="152" customFormat="1" ht="12.75">
      <c r="A74" s="420"/>
      <c r="B74" s="153" t="s">
        <v>656</v>
      </c>
      <c r="C74" s="422"/>
      <c r="D74" s="456"/>
      <c r="E74" s="424"/>
      <c r="F74" s="447"/>
      <c r="G74" s="182">
        <v>0.02473</v>
      </c>
      <c r="H74" s="289">
        <v>60940</v>
      </c>
      <c r="I74" s="289">
        <v>85280</v>
      </c>
      <c r="J74" s="289">
        <v>105825</v>
      </c>
      <c r="K74" s="289">
        <v>104865</v>
      </c>
      <c r="L74" s="289">
        <v>61795</v>
      </c>
      <c r="M74" s="289">
        <v>60055</v>
      </c>
      <c r="N74" s="289">
        <v>57400</v>
      </c>
      <c r="O74" s="289">
        <v>54570</v>
      </c>
      <c r="P74" s="289">
        <v>51710</v>
      </c>
      <c r="Q74" s="289">
        <v>48990</v>
      </c>
      <c r="R74" s="289">
        <v>45995</v>
      </c>
      <c r="S74" s="289">
        <v>43140</v>
      </c>
      <c r="T74" s="289">
        <v>40280</v>
      </c>
      <c r="U74" s="289">
        <v>37525</v>
      </c>
      <c r="V74" s="289">
        <v>34565</v>
      </c>
      <c r="W74" s="290">
        <v>192225</v>
      </c>
      <c r="X74" s="156">
        <f t="shared" si="3"/>
        <v>1085160</v>
      </c>
    </row>
    <row r="75" spans="1:24" s="152" customFormat="1" ht="12.75" customHeight="1">
      <c r="A75" s="419">
        <v>35</v>
      </c>
      <c r="B75" s="149" t="s">
        <v>557</v>
      </c>
      <c r="C75" s="421" t="s">
        <v>657</v>
      </c>
      <c r="D75" s="421">
        <v>666</v>
      </c>
      <c r="E75" s="423">
        <f>663930-19547.23</f>
        <v>644382.77</v>
      </c>
      <c r="F75" s="437" t="s">
        <v>653</v>
      </c>
      <c r="G75" s="300" t="s">
        <v>560</v>
      </c>
      <c r="H75" s="286">
        <v>6000</v>
      </c>
      <c r="I75" s="286">
        <v>10000</v>
      </c>
      <c r="J75" s="286">
        <v>20000</v>
      </c>
      <c r="K75" s="286">
        <v>26040</v>
      </c>
      <c r="L75" s="286">
        <v>26040</v>
      </c>
      <c r="M75" s="286">
        <v>26040</v>
      </c>
      <c r="N75" s="286">
        <v>26040</v>
      </c>
      <c r="O75" s="286">
        <v>26040</v>
      </c>
      <c r="P75" s="286">
        <v>26040</v>
      </c>
      <c r="Q75" s="286">
        <v>26040</v>
      </c>
      <c r="R75" s="286">
        <v>26040</v>
      </c>
      <c r="S75" s="286">
        <v>26040</v>
      </c>
      <c r="T75" s="286">
        <v>26040</v>
      </c>
      <c r="U75" s="286">
        <v>26040</v>
      </c>
      <c r="V75" s="286">
        <v>26040</v>
      </c>
      <c r="W75" s="287">
        <v>292902</v>
      </c>
      <c r="X75" s="151">
        <f t="shared" si="3"/>
        <v>641382</v>
      </c>
    </row>
    <row r="76" spans="1:24" s="152" customFormat="1" ht="12.75">
      <c r="A76" s="420"/>
      <c r="B76" s="153" t="s">
        <v>658</v>
      </c>
      <c r="C76" s="422"/>
      <c r="D76" s="422"/>
      <c r="E76" s="424"/>
      <c r="F76" s="438"/>
      <c r="G76" s="182">
        <v>0.02473</v>
      </c>
      <c r="H76" s="289">
        <v>18550</v>
      </c>
      <c r="I76" s="289">
        <v>25770</v>
      </c>
      <c r="J76" s="289">
        <v>31520</v>
      </c>
      <c r="K76" s="289">
        <v>30470</v>
      </c>
      <c r="L76" s="289">
        <v>17500</v>
      </c>
      <c r="M76" s="289">
        <v>16755</v>
      </c>
      <c r="N76" s="289">
        <v>15920</v>
      </c>
      <c r="O76" s="289">
        <v>15125</v>
      </c>
      <c r="P76" s="289">
        <v>14335</v>
      </c>
      <c r="Q76" s="289">
        <v>13580</v>
      </c>
      <c r="R76" s="289">
        <v>12750</v>
      </c>
      <c r="S76" s="289">
        <v>11960</v>
      </c>
      <c r="T76" s="289">
        <v>11165</v>
      </c>
      <c r="U76" s="289">
        <v>10400</v>
      </c>
      <c r="V76" s="289">
        <v>9580</v>
      </c>
      <c r="W76" s="290">
        <v>53265</v>
      </c>
      <c r="X76" s="156">
        <f t="shared" si="3"/>
        <v>308645</v>
      </c>
    </row>
    <row r="77" spans="1:24" s="152" customFormat="1" ht="12.75" customHeight="1">
      <c r="A77" s="419">
        <v>36</v>
      </c>
      <c r="B77" s="149" t="s">
        <v>557</v>
      </c>
      <c r="C77" s="421" t="s">
        <v>659</v>
      </c>
      <c r="D77" s="421">
        <v>668</v>
      </c>
      <c r="E77" s="423">
        <v>352110</v>
      </c>
      <c r="F77" s="437" t="s">
        <v>660</v>
      </c>
      <c r="G77" s="305" t="s">
        <v>560</v>
      </c>
      <c r="H77" s="286">
        <v>10142</v>
      </c>
      <c r="I77" s="286">
        <v>20416</v>
      </c>
      <c r="J77" s="286">
        <v>20416</v>
      </c>
      <c r="K77" s="286">
        <v>20416</v>
      </c>
      <c r="L77" s="286">
        <v>20416</v>
      </c>
      <c r="M77" s="286">
        <v>20416</v>
      </c>
      <c r="N77" s="286">
        <v>20416</v>
      </c>
      <c r="O77" s="286">
        <v>20416</v>
      </c>
      <c r="P77" s="286">
        <v>20416</v>
      </c>
      <c r="Q77" s="286">
        <v>20416</v>
      </c>
      <c r="R77" s="286">
        <v>20416</v>
      </c>
      <c r="S77" s="286">
        <v>20416</v>
      </c>
      <c r="T77" s="286">
        <v>20416</v>
      </c>
      <c r="U77" s="286">
        <v>20416</v>
      </c>
      <c r="V77" s="286">
        <v>20416</v>
      </c>
      <c r="W77" s="287">
        <v>56144</v>
      </c>
      <c r="X77" s="151">
        <f t="shared" si="3"/>
        <v>352110</v>
      </c>
    </row>
    <row r="78" spans="1:24" s="152" customFormat="1" ht="12.75">
      <c r="A78" s="420"/>
      <c r="B78" s="153" t="s">
        <v>661</v>
      </c>
      <c r="C78" s="422"/>
      <c r="D78" s="422"/>
      <c r="E78" s="424"/>
      <c r="F78" s="438"/>
      <c r="G78" s="182">
        <f>1.661%</f>
        <v>0.01661</v>
      </c>
      <c r="H78" s="289">
        <v>7580</v>
      </c>
      <c r="I78" s="289">
        <v>12060</v>
      </c>
      <c r="J78" s="289">
        <v>16145</v>
      </c>
      <c r="K78" s="289">
        <v>15110</v>
      </c>
      <c r="L78" s="289">
        <v>8445</v>
      </c>
      <c r="M78" s="289">
        <v>7845</v>
      </c>
      <c r="N78" s="289">
        <v>7205</v>
      </c>
      <c r="O78" s="289">
        <v>6580</v>
      </c>
      <c r="P78" s="289">
        <v>5960</v>
      </c>
      <c r="Q78" s="289">
        <v>5355</v>
      </c>
      <c r="R78" s="289">
        <v>4720</v>
      </c>
      <c r="S78" s="289">
        <v>4100</v>
      </c>
      <c r="T78" s="289">
        <v>3475</v>
      </c>
      <c r="U78" s="289">
        <v>2865</v>
      </c>
      <c r="V78" s="289">
        <v>2235</v>
      </c>
      <c r="W78" s="290">
        <v>2975</v>
      </c>
      <c r="X78" s="156">
        <f t="shared" si="3"/>
        <v>112655</v>
      </c>
    </row>
    <row r="79" spans="1:24" s="185" customFormat="1" ht="11.25" customHeight="1">
      <c r="A79" s="419">
        <v>37</v>
      </c>
      <c r="B79" s="149" t="s">
        <v>557</v>
      </c>
      <c r="C79" s="421" t="s">
        <v>982</v>
      </c>
      <c r="D79" s="421">
        <v>669</v>
      </c>
      <c r="E79" s="423">
        <v>403410</v>
      </c>
      <c r="F79" s="437" t="s">
        <v>660</v>
      </c>
      <c r="G79" s="300" t="s">
        <v>560</v>
      </c>
      <c r="H79" s="286">
        <v>11661</v>
      </c>
      <c r="I79" s="286">
        <v>23388</v>
      </c>
      <c r="J79" s="286">
        <v>23388</v>
      </c>
      <c r="K79" s="286">
        <v>23388</v>
      </c>
      <c r="L79" s="286">
        <v>23388</v>
      </c>
      <c r="M79" s="286">
        <v>23388</v>
      </c>
      <c r="N79" s="286">
        <v>23388</v>
      </c>
      <c r="O79" s="286">
        <v>23388</v>
      </c>
      <c r="P79" s="286">
        <v>23388</v>
      </c>
      <c r="Q79" s="286">
        <v>23388</v>
      </c>
      <c r="R79" s="286">
        <v>23388</v>
      </c>
      <c r="S79" s="286">
        <v>23388</v>
      </c>
      <c r="T79" s="286">
        <v>23388</v>
      </c>
      <c r="U79" s="286">
        <v>23388</v>
      </c>
      <c r="V79" s="286">
        <v>23388</v>
      </c>
      <c r="W79" s="287">
        <v>64317</v>
      </c>
      <c r="X79" s="151">
        <f t="shared" si="3"/>
        <v>403410</v>
      </c>
    </row>
    <row r="80" spans="1:24" s="185" customFormat="1" ht="11.25">
      <c r="A80" s="420"/>
      <c r="B80" s="153" t="s">
        <v>662</v>
      </c>
      <c r="C80" s="422"/>
      <c r="D80" s="422"/>
      <c r="E80" s="424"/>
      <c r="F80" s="438"/>
      <c r="G80" s="182">
        <f>1.661%</f>
        <v>0.01661</v>
      </c>
      <c r="H80" s="289">
        <v>8685</v>
      </c>
      <c r="I80" s="289">
        <v>13815</v>
      </c>
      <c r="J80" s="289">
        <v>18495</v>
      </c>
      <c r="K80" s="289">
        <v>17310</v>
      </c>
      <c r="L80" s="289">
        <v>9675</v>
      </c>
      <c r="M80" s="289">
        <v>8990</v>
      </c>
      <c r="N80" s="289">
        <v>8250</v>
      </c>
      <c r="O80" s="289">
        <v>7540</v>
      </c>
      <c r="P80" s="289">
        <v>6830</v>
      </c>
      <c r="Q80" s="289">
        <v>6135</v>
      </c>
      <c r="R80" s="289">
        <v>5405</v>
      </c>
      <c r="S80" s="289">
        <v>4695</v>
      </c>
      <c r="T80" s="289">
        <v>3985</v>
      </c>
      <c r="U80" s="289">
        <v>3280</v>
      </c>
      <c r="V80" s="289">
        <v>2560</v>
      </c>
      <c r="W80" s="290">
        <v>3410</v>
      </c>
      <c r="X80" s="156">
        <f t="shared" si="3"/>
        <v>129060</v>
      </c>
    </row>
    <row r="81" spans="1:24" s="185" customFormat="1" ht="11.25" customHeight="1">
      <c r="A81" s="419">
        <v>38</v>
      </c>
      <c r="B81" s="149" t="s">
        <v>557</v>
      </c>
      <c r="C81" s="421" t="s">
        <v>663</v>
      </c>
      <c r="D81" s="421">
        <v>670</v>
      </c>
      <c r="E81" s="423">
        <f>848543-24.81</f>
        <v>848518.19</v>
      </c>
      <c r="F81" s="437" t="s">
        <v>664</v>
      </c>
      <c r="G81" s="300" t="s">
        <v>560</v>
      </c>
      <c r="H81" s="301">
        <v>500.47</v>
      </c>
      <c r="I81" s="286">
        <v>2000</v>
      </c>
      <c r="J81" s="286">
        <v>4000</v>
      </c>
      <c r="K81" s="286">
        <v>8000</v>
      </c>
      <c r="L81" s="286">
        <v>20000</v>
      </c>
      <c r="M81" s="286">
        <f>36180-14188</f>
        <v>21992</v>
      </c>
      <c r="N81" s="286">
        <f aca="true" t="shared" si="4" ref="N81:T81">36180-14188</f>
        <v>21992</v>
      </c>
      <c r="O81" s="286">
        <f t="shared" si="4"/>
        <v>21992</v>
      </c>
      <c r="P81" s="286">
        <f t="shared" si="4"/>
        <v>21992</v>
      </c>
      <c r="Q81" s="286">
        <f t="shared" si="4"/>
        <v>21992</v>
      </c>
      <c r="R81" s="286">
        <f t="shared" si="4"/>
        <v>21992</v>
      </c>
      <c r="S81" s="286">
        <f t="shared" si="4"/>
        <v>21992</v>
      </c>
      <c r="T81" s="286">
        <f t="shared" si="4"/>
        <v>21992</v>
      </c>
      <c r="U81" s="301">
        <v>21992</v>
      </c>
      <c r="V81" s="301">
        <v>21992</v>
      </c>
      <c r="W81" s="302">
        <v>274874</v>
      </c>
      <c r="X81" s="151">
        <f t="shared" si="3"/>
        <v>529294.47</v>
      </c>
    </row>
    <row r="82" spans="1:24" s="185" customFormat="1" ht="11.25">
      <c r="A82" s="420"/>
      <c r="B82" s="153" t="s">
        <v>665</v>
      </c>
      <c r="C82" s="422"/>
      <c r="D82" s="422"/>
      <c r="E82" s="424"/>
      <c r="F82" s="438"/>
      <c r="G82" s="182">
        <f>0.933%+1.258%</f>
        <v>0.02191</v>
      </c>
      <c r="H82" s="289">
        <v>14885</v>
      </c>
      <c r="I82" s="289">
        <v>24180</v>
      </c>
      <c r="J82" s="289">
        <v>26670</v>
      </c>
      <c r="K82" s="289">
        <v>26430</v>
      </c>
      <c r="L82" s="289">
        <v>15545</v>
      </c>
      <c r="M82" s="289">
        <v>14985</v>
      </c>
      <c r="N82" s="289">
        <v>14280</v>
      </c>
      <c r="O82" s="289">
        <v>13610</v>
      </c>
      <c r="P82" s="289">
        <v>12945</v>
      </c>
      <c r="Q82" s="289">
        <v>12305</v>
      </c>
      <c r="R82" s="289">
        <v>11605</v>
      </c>
      <c r="S82" s="289">
        <v>10935</v>
      </c>
      <c r="T82" s="289">
        <v>10265</v>
      </c>
      <c r="U82" s="289">
        <v>9625</v>
      </c>
      <c r="V82" s="289">
        <v>8930</v>
      </c>
      <c r="W82" s="290">
        <v>55210</v>
      </c>
      <c r="X82" s="156">
        <f t="shared" si="3"/>
        <v>282405</v>
      </c>
    </row>
    <row r="83" spans="1:24" s="185" customFormat="1" ht="11.25" customHeight="1">
      <c r="A83" s="419">
        <v>39</v>
      </c>
      <c r="B83" s="149" t="s">
        <v>557</v>
      </c>
      <c r="C83" s="421" t="s">
        <v>666</v>
      </c>
      <c r="D83" s="421">
        <v>671</v>
      </c>
      <c r="E83" s="423">
        <f>1698600+205400</f>
        <v>1904000</v>
      </c>
      <c r="F83" s="442" t="s">
        <v>667</v>
      </c>
      <c r="G83" s="300" t="s">
        <v>560</v>
      </c>
      <c r="H83" s="286">
        <v>2000</v>
      </c>
      <c r="I83" s="286">
        <v>6000</v>
      </c>
      <c r="J83" s="286">
        <v>10000</v>
      </c>
      <c r="K83" s="286">
        <v>20000</v>
      </c>
      <c r="L83" s="286">
        <v>40000</v>
      </c>
      <c r="M83" s="286">
        <v>60000</v>
      </c>
      <c r="N83" s="286">
        <v>82140</v>
      </c>
      <c r="O83" s="286">
        <v>82140</v>
      </c>
      <c r="P83" s="286">
        <v>82140</v>
      </c>
      <c r="Q83" s="286">
        <v>82140</v>
      </c>
      <c r="R83" s="286">
        <v>82140</v>
      </c>
      <c r="S83" s="286">
        <v>82140</v>
      </c>
      <c r="T83" s="286">
        <v>82140</v>
      </c>
      <c r="U83" s="286">
        <v>82140</v>
      </c>
      <c r="V83" s="286">
        <v>82140</v>
      </c>
      <c r="W83" s="287">
        <v>1026740</v>
      </c>
      <c r="X83" s="151">
        <f t="shared" si="3"/>
        <v>1904000</v>
      </c>
    </row>
    <row r="84" spans="1:24" s="185" customFormat="1" ht="11.25">
      <c r="A84" s="420"/>
      <c r="B84" s="153" t="s">
        <v>668</v>
      </c>
      <c r="C84" s="422"/>
      <c r="D84" s="422"/>
      <c r="E84" s="424"/>
      <c r="F84" s="443"/>
      <c r="G84" s="182">
        <v>0.03471</v>
      </c>
      <c r="H84" s="289">
        <f>67005-160</f>
        <v>66845</v>
      </c>
      <c r="I84" s="289">
        <v>86970</v>
      </c>
      <c r="J84" s="289">
        <v>96030</v>
      </c>
      <c r="K84" s="289">
        <v>95430</v>
      </c>
      <c r="L84" s="289">
        <v>56540</v>
      </c>
      <c r="M84" s="289">
        <v>55380</v>
      </c>
      <c r="N84" s="289">
        <v>53295</v>
      </c>
      <c r="O84" s="289">
        <v>50835</v>
      </c>
      <c r="P84" s="289">
        <v>48335</v>
      </c>
      <c r="Q84" s="289">
        <v>45965</v>
      </c>
      <c r="R84" s="289">
        <v>43340</v>
      </c>
      <c r="S84" s="289">
        <v>40840</v>
      </c>
      <c r="T84" s="289">
        <v>38345</v>
      </c>
      <c r="U84" s="289">
        <v>35945</v>
      </c>
      <c r="V84" s="289">
        <v>33345</v>
      </c>
      <c r="W84" s="290">
        <v>206245</v>
      </c>
      <c r="X84" s="156">
        <f t="shared" si="3"/>
        <v>1053685</v>
      </c>
    </row>
    <row r="85" spans="1:24" s="185" customFormat="1" ht="11.25" customHeight="1">
      <c r="A85" s="419">
        <v>40</v>
      </c>
      <c r="B85" s="149" t="s">
        <v>557</v>
      </c>
      <c r="C85" s="421" t="s">
        <v>669</v>
      </c>
      <c r="D85" s="421">
        <v>672</v>
      </c>
      <c r="E85" s="423">
        <f>142175-5157.95</f>
        <v>137017.05</v>
      </c>
      <c r="F85" s="442" t="s">
        <v>670</v>
      </c>
      <c r="G85" s="305" t="s">
        <v>560</v>
      </c>
      <c r="H85" s="286">
        <v>3955.05</v>
      </c>
      <c r="I85" s="286">
        <v>7944</v>
      </c>
      <c r="J85" s="286">
        <v>7944</v>
      </c>
      <c r="K85" s="286">
        <v>7944</v>
      </c>
      <c r="L85" s="286">
        <v>7944</v>
      </c>
      <c r="M85" s="286">
        <v>7944</v>
      </c>
      <c r="N85" s="286">
        <v>7944</v>
      </c>
      <c r="O85" s="286">
        <v>7944</v>
      </c>
      <c r="P85" s="286">
        <v>7944</v>
      </c>
      <c r="Q85" s="286">
        <v>7944</v>
      </c>
      <c r="R85" s="286">
        <v>7944</v>
      </c>
      <c r="S85" s="286">
        <v>7944</v>
      </c>
      <c r="T85" s="286">
        <v>7944</v>
      </c>
      <c r="U85" s="286">
        <v>7944</v>
      </c>
      <c r="V85" s="286">
        <v>7944</v>
      </c>
      <c r="W85" s="287">
        <v>21846</v>
      </c>
      <c r="X85" s="370">
        <f t="shared" si="3"/>
        <v>137017.05</v>
      </c>
    </row>
    <row r="86" spans="1:24" s="185" customFormat="1" ht="11.25">
      <c r="A86" s="420"/>
      <c r="B86" s="153" t="s">
        <v>671</v>
      </c>
      <c r="C86" s="422"/>
      <c r="D86" s="422"/>
      <c r="E86" s="424"/>
      <c r="F86" s="443"/>
      <c r="G86" s="182">
        <f>3.243%</f>
        <v>0.03243</v>
      </c>
      <c r="H86" s="289">
        <f>4505-10</f>
        <v>4495</v>
      </c>
      <c r="I86" s="289">
        <v>4695</v>
      </c>
      <c r="J86" s="289">
        <v>6285</v>
      </c>
      <c r="K86" s="289">
        <v>5880</v>
      </c>
      <c r="L86" s="289">
        <v>3290</v>
      </c>
      <c r="M86" s="289">
        <v>3055</v>
      </c>
      <c r="N86" s="289">
        <v>2805</v>
      </c>
      <c r="O86" s="289">
        <v>2565</v>
      </c>
      <c r="P86" s="289">
        <v>2320</v>
      </c>
      <c r="Q86" s="289">
        <v>2085</v>
      </c>
      <c r="R86" s="289">
        <v>1840</v>
      </c>
      <c r="S86" s="289">
        <v>1595</v>
      </c>
      <c r="T86" s="289">
        <v>1355</v>
      </c>
      <c r="U86" s="289">
        <v>1115</v>
      </c>
      <c r="V86" s="289">
        <v>870</v>
      </c>
      <c r="W86" s="290">
        <v>1160</v>
      </c>
      <c r="X86" s="156">
        <f t="shared" si="3"/>
        <v>45410</v>
      </c>
    </row>
    <row r="87" spans="1:24" s="185" customFormat="1" ht="11.25" customHeight="1">
      <c r="A87" s="419">
        <v>41</v>
      </c>
      <c r="B87" s="149" t="s">
        <v>557</v>
      </c>
      <c r="C87" s="421" t="s">
        <v>672</v>
      </c>
      <c r="D87" s="421">
        <v>673</v>
      </c>
      <c r="E87" s="423">
        <f>625075-48519.44</f>
        <v>576555.56</v>
      </c>
      <c r="F87" s="442" t="s">
        <v>673</v>
      </c>
      <c r="G87" s="300" t="s">
        <v>560</v>
      </c>
      <c r="H87" s="301">
        <v>2000.56</v>
      </c>
      <c r="I87" s="286">
        <v>6000</v>
      </c>
      <c r="J87" s="286">
        <v>10000</v>
      </c>
      <c r="K87" s="286">
        <v>20000</v>
      </c>
      <c r="L87" s="286">
        <v>39892</v>
      </c>
      <c r="M87" s="286">
        <v>39892</v>
      </c>
      <c r="N87" s="286">
        <v>39892</v>
      </c>
      <c r="O87" s="286">
        <v>39892</v>
      </c>
      <c r="P87" s="286">
        <v>39892</v>
      </c>
      <c r="Q87" s="286">
        <v>39892</v>
      </c>
      <c r="R87" s="286">
        <v>39892</v>
      </c>
      <c r="S87" s="286">
        <v>39892</v>
      </c>
      <c r="T87" s="286">
        <v>39892</v>
      </c>
      <c r="U87" s="286">
        <v>39892</v>
      </c>
      <c r="V87" s="286">
        <v>39892</v>
      </c>
      <c r="W87" s="287">
        <v>99743</v>
      </c>
      <c r="X87" s="151">
        <f t="shared" si="3"/>
        <v>576555.56</v>
      </c>
    </row>
    <row r="88" spans="1:24" s="185" customFormat="1" ht="11.25">
      <c r="A88" s="420"/>
      <c r="B88" s="153" t="s">
        <v>674</v>
      </c>
      <c r="C88" s="422"/>
      <c r="D88" s="422"/>
      <c r="E88" s="424"/>
      <c r="F88" s="443"/>
      <c r="G88" s="182">
        <f>3.243%</f>
        <v>0.03243</v>
      </c>
      <c r="H88" s="289">
        <f>18960-50</f>
        <v>18910</v>
      </c>
      <c r="I88" s="289">
        <v>20410</v>
      </c>
      <c r="J88" s="289">
        <v>28735</v>
      </c>
      <c r="K88" s="289">
        <v>28135</v>
      </c>
      <c r="L88" s="289">
        <v>16165</v>
      </c>
      <c r="M88" s="289">
        <v>15025</v>
      </c>
      <c r="N88" s="289">
        <v>13770</v>
      </c>
      <c r="O88" s="289">
        <v>12555</v>
      </c>
      <c r="P88" s="289">
        <v>11345</v>
      </c>
      <c r="Q88" s="289">
        <v>10160</v>
      </c>
      <c r="R88" s="289">
        <v>8915</v>
      </c>
      <c r="S88" s="289">
        <v>7700</v>
      </c>
      <c r="T88" s="289">
        <v>6490</v>
      </c>
      <c r="U88" s="289">
        <v>5290</v>
      </c>
      <c r="V88" s="289">
        <v>4060</v>
      </c>
      <c r="W88" s="290">
        <v>4915</v>
      </c>
      <c r="X88" s="156">
        <f t="shared" si="3"/>
        <v>212580</v>
      </c>
    </row>
    <row r="89" spans="1:24" s="185" customFormat="1" ht="11.25" customHeight="1">
      <c r="A89" s="419">
        <v>42</v>
      </c>
      <c r="B89" s="149" t="s">
        <v>557</v>
      </c>
      <c r="C89" s="421" t="s">
        <v>983</v>
      </c>
      <c r="D89" s="421">
        <v>675</v>
      </c>
      <c r="E89" s="423">
        <f>223252-340</f>
        <v>222912</v>
      </c>
      <c r="F89" s="446" t="s">
        <v>675</v>
      </c>
      <c r="G89" s="300" t="s">
        <v>560</v>
      </c>
      <c r="H89" s="286">
        <v>3204</v>
      </c>
      <c r="I89" s="286">
        <v>12924</v>
      </c>
      <c r="J89" s="286">
        <v>12924</v>
      </c>
      <c r="K89" s="286">
        <v>12924</v>
      </c>
      <c r="L89" s="286">
        <v>12924</v>
      </c>
      <c r="M89" s="286">
        <v>12924</v>
      </c>
      <c r="N89" s="286">
        <v>12924</v>
      </c>
      <c r="O89" s="286">
        <v>12924</v>
      </c>
      <c r="P89" s="286">
        <v>12924</v>
      </c>
      <c r="Q89" s="286">
        <v>12924</v>
      </c>
      <c r="R89" s="286">
        <v>12924</v>
      </c>
      <c r="S89" s="286">
        <v>12924</v>
      </c>
      <c r="T89" s="286">
        <v>12924</v>
      </c>
      <c r="U89" s="286">
        <v>12924</v>
      </c>
      <c r="V89" s="286">
        <v>12924</v>
      </c>
      <c r="W89" s="287">
        <v>38772</v>
      </c>
      <c r="X89" s="151">
        <f t="shared" si="3"/>
        <v>222912</v>
      </c>
    </row>
    <row r="90" spans="1:24" s="185" customFormat="1" ht="11.25">
      <c r="A90" s="420"/>
      <c r="B90" s="153" t="s">
        <v>676</v>
      </c>
      <c r="C90" s="422"/>
      <c r="D90" s="422"/>
      <c r="E90" s="424"/>
      <c r="F90" s="447"/>
      <c r="G90" s="182">
        <v>0.03436</v>
      </c>
      <c r="H90" s="289">
        <f>7915-1390</f>
        <v>6525</v>
      </c>
      <c r="I90" s="289">
        <v>7750</v>
      </c>
      <c r="J90" s="289">
        <v>10385</v>
      </c>
      <c r="K90" s="289">
        <v>9730</v>
      </c>
      <c r="L90" s="289">
        <v>5445</v>
      </c>
      <c r="M90" s="289">
        <v>5065</v>
      </c>
      <c r="N90" s="289">
        <v>4660</v>
      </c>
      <c r="O90" s="289">
        <v>4265</v>
      </c>
      <c r="P90" s="289">
        <v>3875</v>
      </c>
      <c r="Q90" s="289">
        <v>3490</v>
      </c>
      <c r="R90" s="289">
        <v>3085</v>
      </c>
      <c r="S90" s="289">
        <v>2695</v>
      </c>
      <c r="T90" s="289">
        <v>2300</v>
      </c>
      <c r="U90" s="289">
        <v>1910</v>
      </c>
      <c r="V90" s="289">
        <v>1515</v>
      </c>
      <c r="W90" s="290">
        <v>2200</v>
      </c>
      <c r="X90" s="156">
        <f t="shared" si="3"/>
        <v>74895</v>
      </c>
    </row>
    <row r="91" spans="1:24" s="185" customFormat="1" ht="11.25" customHeight="1">
      <c r="A91" s="419">
        <v>43</v>
      </c>
      <c r="B91" s="149" t="s">
        <v>557</v>
      </c>
      <c r="C91" s="421" t="s">
        <v>338</v>
      </c>
      <c r="D91" s="421">
        <v>676</v>
      </c>
      <c r="E91" s="423">
        <v>4607144</v>
      </c>
      <c r="F91" s="446" t="s">
        <v>677</v>
      </c>
      <c r="G91" s="300" t="s">
        <v>560</v>
      </c>
      <c r="H91" s="286"/>
      <c r="I91" s="286">
        <v>6000</v>
      </c>
      <c r="J91" s="286">
        <v>10000</v>
      </c>
      <c r="K91" s="286">
        <v>20000</v>
      </c>
      <c r="L91" s="286">
        <v>40000</v>
      </c>
      <c r="M91" s="286">
        <v>100000</v>
      </c>
      <c r="N91" s="286">
        <v>199152</v>
      </c>
      <c r="O91" s="286">
        <v>199152</v>
      </c>
      <c r="P91" s="286">
        <v>199152</v>
      </c>
      <c r="Q91" s="286">
        <v>199152</v>
      </c>
      <c r="R91" s="286">
        <v>199152</v>
      </c>
      <c r="S91" s="286">
        <v>199152</v>
      </c>
      <c r="T91" s="286">
        <v>199152</v>
      </c>
      <c r="U91" s="286">
        <v>199152</v>
      </c>
      <c r="V91" s="286">
        <v>199152</v>
      </c>
      <c r="W91" s="287">
        <v>2638776</v>
      </c>
      <c r="X91" s="151">
        <f t="shared" si="3"/>
        <v>4607144</v>
      </c>
    </row>
    <row r="92" spans="1:24" s="185" customFormat="1" ht="11.25">
      <c r="A92" s="420"/>
      <c r="B92" s="153" t="s">
        <v>678</v>
      </c>
      <c r="C92" s="422"/>
      <c r="D92" s="422"/>
      <c r="E92" s="424"/>
      <c r="F92" s="447"/>
      <c r="G92" s="182">
        <v>0.00567</v>
      </c>
      <c r="H92" s="289">
        <f>118595-775</f>
        <v>117820</v>
      </c>
      <c r="I92" s="289">
        <v>210740</v>
      </c>
      <c r="J92" s="289">
        <v>233170</v>
      </c>
      <c r="K92" s="289">
        <v>232565</v>
      </c>
      <c r="L92" s="289">
        <v>138820</v>
      </c>
      <c r="M92" s="289">
        <v>137630</v>
      </c>
      <c r="N92" s="289">
        <v>133680</v>
      </c>
      <c r="O92" s="289">
        <v>127790</v>
      </c>
      <c r="P92" s="289">
        <v>121735</v>
      </c>
      <c r="Q92" s="289">
        <v>115995</v>
      </c>
      <c r="R92" s="289">
        <v>109620</v>
      </c>
      <c r="S92" s="289">
        <v>103560</v>
      </c>
      <c r="T92" s="289">
        <v>97505</v>
      </c>
      <c r="U92" s="289">
        <v>91700</v>
      </c>
      <c r="V92" s="289">
        <v>85390</v>
      </c>
      <c r="W92" s="290">
        <v>560200</v>
      </c>
      <c r="X92" s="156">
        <f t="shared" si="3"/>
        <v>2617920</v>
      </c>
    </row>
    <row r="93" spans="1:24" s="185" customFormat="1" ht="11.25" customHeight="1">
      <c r="A93" s="419">
        <v>44</v>
      </c>
      <c r="B93" s="149" t="s">
        <v>557</v>
      </c>
      <c r="C93" s="421" t="s">
        <v>679</v>
      </c>
      <c r="D93" s="421">
        <v>678</v>
      </c>
      <c r="E93" s="423">
        <f>1073828+53126-7158.22</f>
        <v>1119795.78</v>
      </c>
      <c r="F93" s="446" t="s">
        <v>680</v>
      </c>
      <c r="G93" s="300" t="s">
        <v>560</v>
      </c>
      <c r="H93" s="286"/>
      <c r="I93" s="301">
        <v>5008.21</v>
      </c>
      <c r="J93" s="286">
        <v>10000</v>
      </c>
      <c r="K93" s="286">
        <v>20000</v>
      </c>
      <c r="L93" s="286">
        <v>42268</v>
      </c>
      <c r="M93" s="286">
        <v>42268</v>
      </c>
      <c r="N93" s="286">
        <v>42268</v>
      </c>
      <c r="O93" s="286">
        <v>42268</v>
      </c>
      <c r="P93" s="286">
        <v>42268</v>
      </c>
      <c r="Q93" s="286">
        <v>42268</v>
      </c>
      <c r="R93" s="286">
        <v>42268</v>
      </c>
      <c r="S93" s="286">
        <v>42268</v>
      </c>
      <c r="T93" s="286">
        <v>42268</v>
      </c>
      <c r="U93" s="286">
        <v>42268</v>
      </c>
      <c r="V93" s="286">
        <v>42268</v>
      </c>
      <c r="W93" s="287">
        <v>559959</v>
      </c>
      <c r="X93" s="151">
        <f t="shared" si="3"/>
        <v>1059915.21</v>
      </c>
    </row>
    <row r="94" spans="1:24" s="185" customFormat="1" ht="11.25">
      <c r="A94" s="420"/>
      <c r="B94" s="186" t="s">
        <v>681</v>
      </c>
      <c r="C94" s="422"/>
      <c r="D94" s="422"/>
      <c r="E94" s="424"/>
      <c r="F94" s="447"/>
      <c r="G94" s="182">
        <v>0.01015</v>
      </c>
      <c r="H94" s="289">
        <v>29685</v>
      </c>
      <c r="I94" s="289">
        <v>48480</v>
      </c>
      <c r="J94" s="289">
        <v>53395</v>
      </c>
      <c r="K94" s="289">
        <v>52790</v>
      </c>
      <c r="L94" s="289">
        <v>30940</v>
      </c>
      <c r="M94" s="289">
        <v>29775</v>
      </c>
      <c r="N94" s="289">
        <v>28405</v>
      </c>
      <c r="O94" s="289">
        <v>27120</v>
      </c>
      <c r="P94" s="289">
        <v>25835</v>
      </c>
      <c r="Q94" s="289">
        <v>24620</v>
      </c>
      <c r="R94" s="289">
        <v>23265</v>
      </c>
      <c r="S94" s="289">
        <v>21980</v>
      </c>
      <c r="T94" s="289">
        <v>20695</v>
      </c>
      <c r="U94" s="289">
        <v>19460</v>
      </c>
      <c r="V94" s="289">
        <v>18120</v>
      </c>
      <c r="W94" s="290">
        <v>118860</v>
      </c>
      <c r="X94" s="156">
        <f t="shared" si="3"/>
        <v>573425</v>
      </c>
    </row>
    <row r="95" spans="1:24" s="185" customFormat="1" ht="11.25" customHeight="1">
      <c r="A95" s="419">
        <v>45</v>
      </c>
      <c r="B95" s="149" t="s">
        <v>557</v>
      </c>
      <c r="C95" s="421" t="s">
        <v>682</v>
      </c>
      <c r="D95" s="421">
        <v>679</v>
      </c>
      <c r="E95" s="423">
        <v>1144390</v>
      </c>
      <c r="F95" s="446" t="s">
        <v>683</v>
      </c>
      <c r="G95" s="300" t="s">
        <v>560</v>
      </c>
      <c r="H95" s="286"/>
      <c r="I95" s="286">
        <v>5000</v>
      </c>
      <c r="J95" s="286">
        <v>10000</v>
      </c>
      <c r="K95" s="286">
        <v>20000</v>
      </c>
      <c r="L95" s="286">
        <v>45280</v>
      </c>
      <c r="M95" s="286">
        <v>45280</v>
      </c>
      <c r="N95" s="286">
        <v>45280</v>
      </c>
      <c r="O95" s="286">
        <v>45280</v>
      </c>
      <c r="P95" s="286">
        <v>45280</v>
      </c>
      <c r="Q95" s="286">
        <v>45280</v>
      </c>
      <c r="R95" s="286">
        <v>45280</v>
      </c>
      <c r="S95" s="286">
        <v>45280</v>
      </c>
      <c r="T95" s="286">
        <v>45280</v>
      </c>
      <c r="U95" s="286">
        <v>45280</v>
      </c>
      <c r="V95" s="286">
        <v>45280</v>
      </c>
      <c r="W95" s="287">
        <v>611310</v>
      </c>
      <c r="X95" s="151">
        <f t="shared" si="3"/>
        <v>1144390</v>
      </c>
    </row>
    <row r="96" spans="1:24" s="185" customFormat="1" ht="11.25">
      <c r="A96" s="420"/>
      <c r="B96" s="153" t="s">
        <v>684</v>
      </c>
      <c r="C96" s="422"/>
      <c r="D96" s="422"/>
      <c r="E96" s="424"/>
      <c r="F96" s="447"/>
      <c r="G96" s="182">
        <v>0.01746</v>
      </c>
      <c r="H96" s="289">
        <v>28315</v>
      </c>
      <c r="I96" s="289">
        <v>52355</v>
      </c>
      <c r="J96" s="289">
        <v>57685</v>
      </c>
      <c r="K96" s="289">
        <v>57070</v>
      </c>
      <c r="L96" s="289">
        <v>33490</v>
      </c>
      <c r="M96" s="289">
        <v>32245</v>
      </c>
      <c r="N96" s="289">
        <v>30780</v>
      </c>
      <c r="O96" s="289">
        <v>29400</v>
      </c>
      <c r="P96" s="289">
        <v>28025</v>
      </c>
      <c r="Q96" s="289">
        <v>26720</v>
      </c>
      <c r="R96" s="289">
        <v>25270</v>
      </c>
      <c r="S96" s="289">
        <v>23895</v>
      </c>
      <c r="T96" s="289">
        <v>22515</v>
      </c>
      <c r="U96" s="289">
        <v>21195</v>
      </c>
      <c r="V96" s="289">
        <v>19760</v>
      </c>
      <c r="W96" s="290">
        <v>132110</v>
      </c>
      <c r="X96" s="156">
        <f t="shared" si="3"/>
        <v>620830</v>
      </c>
    </row>
    <row r="97" spans="1:24" s="185" customFormat="1" ht="11.25" customHeight="1">
      <c r="A97" s="419">
        <v>46</v>
      </c>
      <c r="B97" s="149" t="s">
        <v>557</v>
      </c>
      <c r="C97" s="421" t="s">
        <v>228</v>
      </c>
      <c r="D97" s="421">
        <v>680</v>
      </c>
      <c r="E97" s="423">
        <v>147003</v>
      </c>
      <c r="F97" s="446" t="s">
        <v>685</v>
      </c>
      <c r="G97" s="300" t="s">
        <v>560</v>
      </c>
      <c r="H97" s="286">
        <v>7444</v>
      </c>
      <c r="I97" s="286">
        <v>7444</v>
      </c>
      <c r="J97" s="286">
        <v>7444</v>
      </c>
      <c r="K97" s="286">
        <v>7444</v>
      </c>
      <c r="L97" s="286">
        <v>7444</v>
      </c>
      <c r="M97" s="286">
        <v>7444</v>
      </c>
      <c r="N97" s="286">
        <v>7444</v>
      </c>
      <c r="O97" s="286">
        <v>7444</v>
      </c>
      <c r="P97" s="286">
        <v>7444</v>
      </c>
      <c r="Q97" s="286">
        <v>7444</v>
      </c>
      <c r="R97" s="286">
        <v>7444</v>
      </c>
      <c r="S97" s="286">
        <v>7444</v>
      </c>
      <c r="T97" s="286">
        <v>7444</v>
      </c>
      <c r="U97" s="286">
        <v>7444</v>
      </c>
      <c r="V97" s="286">
        <v>7444</v>
      </c>
      <c r="W97" s="287">
        <v>27915</v>
      </c>
      <c r="X97" s="151">
        <f t="shared" si="3"/>
        <v>139575</v>
      </c>
    </row>
    <row r="98" spans="1:24" s="185" customFormat="1" ht="11.25">
      <c r="A98" s="420"/>
      <c r="B98" s="153" t="s">
        <v>686</v>
      </c>
      <c r="C98" s="422"/>
      <c r="D98" s="422"/>
      <c r="E98" s="424"/>
      <c r="F98" s="447"/>
      <c r="G98" s="182">
        <v>0.01566</v>
      </c>
      <c r="H98" s="289">
        <v>2870</v>
      </c>
      <c r="I98" s="289">
        <v>4665</v>
      </c>
      <c r="J98" s="289">
        <v>6265</v>
      </c>
      <c r="K98" s="289">
        <v>5890</v>
      </c>
      <c r="L98" s="289">
        <v>3305</v>
      </c>
      <c r="M98" s="289">
        <v>3090</v>
      </c>
      <c r="N98" s="289">
        <v>2855</v>
      </c>
      <c r="O98" s="289">
        <v>2630</v>
      </c>
      <c r="P98" s="289">
        <v>2400</v>
      </c>
      <c r="Q98" s="289">
        <v>2180</v>
      </c>
      <c r="R98" s="289">
        <v>1950</v>
      </c>
      <c r="S98" s="289">
        <v>1720</v>
      </c>
      <c r="T98" s="289">
        <v>1495</v>
      </c>
      <c r="U98" s="289">
        <v>1275</v>
      </c>
      <c r="V98" s="289">
        <v>1045</v>
      </c>
      <c r="W98" s="290">
        <v>1900</v>
      </c>
      <c r="X98" s="156">
        <f t="shared" si="3"/>
        <v>45535</v>
      </c>
    </row>
    <row r="99" spans="1:24" s="185" customFormat="1" ht="11.25" customHeight="1">
      <c r="A99" s="419">
        <v>47</v>
      </c>
      <c r="B99" s="187" t="s">
        <v>557</v>
      </c>
      <c r="C99" s="421" t="s">
        <v>687</v>
      </c>
      <c r="D99" s="421">
        <v>681</v>
      </c>
      <c r="E99" s="423">
        <v>106070</v>
      </c>
      <c r="F99" s="457" t="s">
        <v>688</v>
      </c>
      <c r="G99" s="300" t="s">
        <v>560</v>
      </c>
      <c r="H99" s="286"/>
      <c r="I99" s="286">
        <f>3024</f>
        <v>3024</v>
      </c>
      <c r="J99" s="286">
        <v>6152</v>
      </c>
      <c r="K99" s="286">
        <v>6152</v>
      </c>
      <c r="L99" s="286">
        <v>6152</v>
      </c>
      <c r="M99" s="286">
        <v>6152</v>
      </c>
      <c r="N99" s="286">
        <v>6152</v>
      </c>
      <c r="O99" s="286">
        <v>6152</v>
      </c>
      <c r="P99" s="286">
        <v>6152</v>
      </c>
      <c r="Q99" s="286">
        <v>6152</v>
      </c>
      <c r="R99" s="286">
        <v>6152</v>
      </c>
      <c r="S99" s="286">
        <v>6152</v>
      </c>
      <c r="T99" s="286">
        <v>6152</v>
      </c>
      <c r="U99" s="286">
        <v>6152</v>
      </c>
      <c r="V99" s="286">
        <v>6152</v>
      </c>
      <c r="W99" s="287">
        <v>23070</v>
      </c>
      <c r="X99" s="151">
        <f t="shared" si="3"/>
        <v>106070</v>
      </c>
    </row>
    <row r="100" spans="1:24" s="185" customFormat="1" ht="11.25">
      <c r="A100" s="420"/>
      <c r="B100" s="188" t="s">
        <v>689</v>
      </c>
      <c r="C100" s="422"/>
      <c r="D100" s="422"/>
      <c r="E100" s="424"/>
      <c r="F100" s="458"/>
      <c r="G100" s="182">
        <v>0.02083</v>
      </c>
      <c r="H100" s="289">
        <v>2625</v>
      </c>
      <c r="I100" s="289">
        <v>3775</v>
      </c>
      <c r="J100" s="289">
        <v>5180</v>
      </c>
      <c r="K100" s="289">
        <v>4865</v>
      </c>
      <c r="L100" s="289">
        <v>2735</v>
      </c>
      <c r="M100" s="289">
        <v>2555</v>
      </c>
      <c r="N100" s="289">
        <v>2360</v>
      </c>
      <c r="O100" s="289">
        <v>2170</v>
      </c>
      <c r="P100" s="289">
        <v>1985</v>
      </c>
      <c r="Q100" s="289">
        <v>1805</v>
      </c>
      <c r="R100" s="289">
        <v>1610</v>
      </c>
      <c r="S100" s="289">
        <v>1425</v>
      </c>
      <c r="T100" s="289">
        <v>1235</v>
      </c>
      <c r="U100" s="289">
        <v>1050</v>
      </c>
      <c r="V100" s="289">
        <v>860</v>
      </c>
      <c r="W100" s="290">
        <v>1570</v>
      </c>
      <c r="X100" s="156">
        <f t="shared" si="3"/>
        <v>37805</v>
      </c>
    </row>
    <row r="101" spans="1:24" s="185" customFormat="1" ht="11.25" customHeight="1">
      <c r="A101" s="419">
        <v>48</v>
      </c>
      <c r="B101" s="187" t="s">
        <v>557</v>
      </c>
      <c r="C101" s="421" t="s">
        <v>792</v>
      </c>
      <c r="D101" s="421">
        <v>682</v>
      </c>
      <c r="E101" s="423">
        <v>603918</v>
      </c>
      <c r="F101" s="457" t="s">
        <v>688</v>
      </c>
      <c r="G101" s="300" t="s">
        <v>560</v>
      </c>
      <c r="H101" s="286"/>
      <c r="I101" s="286">
        <v>13121</v>
      </c>
      <c r="J101" s="286">
        <v>26264</v>
      </c>
      <c r="K101" s="286">
        <v>26264</v>
      </c>
      <c r="L101" s="286">
        <v>26264</v>
      </c>
      <c r="M101" s="286">
        <v>26264</v>
      </c>
      <c r="N101" s="286">
        <v>26264</v>
      </c>
      <c r="O101" s="286">
        <v>26264</v>
      </c>
      <c r="P101" s="286">
        <v>26264</v>
      </c>
      <c r="Q101" s="286">
        <v>26264</v>
      </c>
      <c r="R101" s="286">
        <v>26264</v>
      </c>
      <c r="S101" s="286">
        <v>26264</v>
      </c>
      <c r="T101" s="286">
        <v>26264</v>
      </c>
      <c r="U101" s="286">
        <v>26264</v>
      </c>
      <c r="V101" s="286">
        <v>26264</v>
      </c>
      <c r="W101" s="287">
        <v>98490</v>
      </c>
      <c r="X101" s="151">
        <f t="shared" si="3"/>
        <v>453043</v>
      </c>
    </row>
    <row r="102" spans="1:24" s="185" customFormat="1" ht="11.25">
      <c r="A102" s="420"/>
      <c r="B102" s="188" t="s">
        <v>690</v>
      </c>
      <c r="C102" s="422"/>
      <c r="D102" s="422"/>
      <c r="E102" s="424"/>
      <c r="F102" s="458"/>
      <c r="G102" s="182">
        <f>2.683%</f>
        <v>0.02683</v>
      </c>
      <c r="H102" s="289">
        <v>13850</v>
      </c>
      <c r="I102" s="289">
        <v>18420</v>
      </c>
      <c r="J102" s="289">
        <v>22100</v>
      </c>
      <c r="K102" s="289">
        <v>20765</v>
      </c>
      <c r="L102" s="289">
        <v>11665</v>
      </c>
      <c r="M102" s="289">
        <v>10895</v>
      </c>
      <c r="N102" s="289">
        <v>10065</v>
      </c>
      <c r="O102" s="289">
        <v>9265</v>
      </c>
      <c r="P102" s="289">
        <v>8465</v>
      </c>
      <c r="Q102" s="289">
        <v>7690</v>
      </c>
      <c r="R102" s="289">
        <v>6870</v>
      </c>
      <c r="S102" s="289">
        <v>6070</v>
      </c>
      <c r="T102" s="289">
        <v>5270</v>
      </c>
      <c r="U102" s="289">
        <v>4485</v>
      </c>
      <c r="V102" s="289">
        <v>3675</v>
      </c>
      <c r="W102" s="290">
        <v>6705</v>
      </c>
      <c r="X102" s="156">
        <f t="shared" si="3"/>
        <v>166255</v>
      </c>
    </row>
    <row r="103" spans="1:24" s="185" customFormat="1" ht="11.25" customHeight="1">
      <c r="A103" s="419">
        <v>49</v>
      </c>
      <c r="B103" s="187" t="s">
        <v>557</v>
      </c>
      <c r="C103" s="421" t="s">
        <v>984</v>
      </c>
      <c r="D103" s="421">
        <v>683</v>
      </c>
      <c r="E103" s="423">
        <v>431815</v>
      </c>
      <c r="F103" s="457" t="s">
        <v>688</v>
      </c>
      <c r="G103" s="300" t="s">
        <v>560</v>
      </c>
      <c r="H103" s="286"/>
      <c r="I103" s="286">
        <v>12462</v>
      </c>
      <c r="J103" s="286">
        <v>25036</v>
      </c>
      <c r="K103" s="286">
        <v>25036</v>
      </c>
      <c r="L103" s="286">
        <v>25036</v>
      </c>
      <c r="M103" s="286">
        <v>25036</v>
      </c>
      <c r="N103" s="286">
        <v>25036</v>
      </c>
      <c r="O103" s="286">
        <v>25036</v>
      </c>
      <c r="P103" s="286">
        <v>25036</v>
      </c>
      <c r="Q103" s="286">
        <v>25036</v>
      </c>
      <c r="R103" s="286">
        <v>25036</v>
      </c>
      <c r="S103" s="286">
        <v>25036</v>
      </c>
      <c r="T103" s="286">
        <v>25036</v>
      </c>
      <c r="U103" s="286">
        <v>25036</v>
      </c>
      <c r="V103" s="286">
        <v>25036</v>
      </c>
      <c r="W103" s="287">
        <v>93885</v>
      </c>
      <c r="X103" s="151">
        <f aca="true" t="shared" si="5" ref="X103:X134">SUM(H103:W103)</f>
        <v>431815</v>
      </c>
    </row>
    <row r="104" spans="1:24" s="185" customFormat="1" ht="11.25">
      <c r="A104" s="420"/>
      <c r="B104" s="188" t="s">
        <v>691</v>
      </c>
      <c r="C104" s="422"/>
      <c r="D104" s="422"/>
      <c r="E104" s="424"/>
      <c r="F104" s="458"/>
      <c r="G104" s="182">
        <v>0.02083</v>
      </c>
      <c r="H104" s="289">
        <v>10685</v>
      </c>
      <c r="I104" s="289">
        <v>15360</v>
      </c>
      <c r="J104" s="289">
        <v>21065</v>
      </c>
      <c r="K104" s="289">
        <v>19795</v>
      </c>
      <c r="L104" s="289">
        <v>11115</v>
      </c>
      <c r="M104" s="289">
        <v>10385</v>
      </c>
      <c r="N104" s="289">
        <v>9595</v>
      </c>
      <c r="O104" s="289">
        <v>8835</v>
      </c>
      <c r="P104" s="289">
        <v>8070</v>
      </c>
      <c r="Q104" s="289">
        <v>7330</v>
      </c>
      <c r="R104" s="289">
        <v>6550</v>
      </c>
      <c r="S104" s="289">
        <v>5785</v>
      </c>
      <c r="T104" s="289">
        <v>5025</v>
      </c>
      <c r="U104" s="289">
        <v>4275</v>
      </c>
      <c r="V104" s="289">
        <v>3500</v>
      </c>
      <c r="W104" s="290">
        <v>6390</v>
      </c>
      <c r="X104" s="156">
        <f t="shared" si="5"/>
        <v>153760</v>
      </c>
    </row>
    <row r="105" spans="1:24" s="185" customFormat="1" ht="15.75" customHeight="1">
      <c r="A105" s="419">
        <v>50</v>
      </c>
      <c r="B105" s="149" t="s">
        <v>557</v>
      </c>
      <c r="C105" s="421" t="s">
        <v>985</v>
      </c>
      <c r="D105" s="421">
        <v>684</v>
      </c>
      <c r="E105" s="423">
        <v>3381381</v>
      </c>
      <c r="F105" s="457" t="s">
        <v>692</v>
      </c>
      <c r="G105" s="300" t="s">
        <v>560</v>
      </c>
      <c r="H105" s="286"/>
      <c r="I105" s="286">
        <v>25013</v>
      </c>
      <c r="J105" s="286">
        <v>60000</v>
      </c>
      <c r="K105" s="286">
        <v>100000</v>
      </c>
      <c r="L105" s="286">
        <v>130464</v>
      </c>
      <c r="M105" s="286">
        <v>130464</v>
      </c>
      <c r="N105" s="286">
        <v>130464</v>
      </c>
      <c r="O105" s="286">
        <v>130464</v>
      </c>
      <c r="P105" s="286">
        <v>130464</v>
      </c>
      <c r="Q105" s="286">
        <v>130464</v>
      </c>
      <c r="R105" s="286">
        <v>130464</v>
      </c>
      <c r="S105" s="286">
        <v>130464</v>
      </c>
      <c r="T105" s="286">
        <v>130464</v>
      </c>
      <c r="U105" s="286">
        <v>130464</v>
      </c>
      <c r="V105" s="301">
        <v>130464</v>
      </c>
      <c r="W105" s="302">
        <v>1745288.14</v>
      </c>
      <c r="X105" s="151">
        <f t="shared" si="5"/>
        <v>3365405.1399999997</v>
      </c>
    </row>
    <row r="106" spans="1:24" s="185" customFormat="1" ht="17.25" customHeight="1">
      <c r="A106" s="420"/>
      <c r="B106" s="153" t="s">
        <v>693</v>
      </c>
      <c r="C106" s="422"/>
      <c r="D106" s="422"/>
      <c r="E106" s="424"/>
      <c r="F106" s="458"/>
      <c r="G106" s="182">
        <v>0.02283</v>
      </c>
      <c r="H106" s="289">
        <f>97180-5110-170+1610</f>
        <v>93510</v>
      </c>
      <c r="I106" s="289">
        <v>153950</v>
      </c>
      <c r="J106" s="289">
        <v>168815</v>
      </c>
      <c r="K106" s="289">
        <v>165405</v>
      </c>
      <c r="L106" s="289">
        <v>96075</v>
      </c>
      <c r="M106" s="289">
        <v>92415</v>
      </c>
      <c r="N106" s="289">
        <v>88190</v>
      </c>
      <c r="O106" s="289">
        <v>84225</v>
      </c>
      <c r="P106" s="289">
        <v>80255</v>
      </c>
      <c r="Q106" s="289">
        <v>76495</v>
      </c>
      <c r="R106" s="289">
        <v>72320</v>
      </c>
      <c r="S106" s="289">
        <v>68350</v>
      </c>
      <c r="T106" s="289">
        <v>64380</v>
      </c>
      <c r="U106" s="289">
        <v>60580</v>
      </c>
      <c r="V106" s="289">
        <v>56445</v>
      </c>
      <c r="W106" s="290">
        <v>373930</v>
      </c>
      <c r="X106" s="156">
        <f t="shared" si="5"/>
        <v>1795340</v>
      </c>
    </row>
    <row r="107" spans="1:24" s="185" customFormat="1" ht="11.25" customHeight="1">
      <c r="A107" s="419">
        <v>51</v>
      </c>
      <c r="B107" s="187" t="s">
        <v>557</v>
      </c>
      <c r="C107" s="421" t="s">
        <v>986</v>
      </c>
      <c r="D107" s="421">
        <v>685</v>
      </c>
      <c r="E107" s="423">
        <f>356301+57894-500.88</f>
        <v>413694.12</v>
      </c>
      <c r="F107" s="446" t="s">
        <v>694</v>
      </c>
      <c r="G107" s="284" t="s">
        <v>560</v>
      </c>
      <c r="H107" s="286"/>
      <c r="I107" s="286">
        <v>11962.119999999999</v>
      </c>
      <c r="J107" s="286">
        <v>23984</v>
      </c>
      <c r="K107" s="286">
        <v>23984</v>
      </c>
      <c r="L107" s="286">
        <v>23984</v>
      </c>
      <c r="M107" s="286">
        <v>23984</v>
      </c>
      <c r="N107" s="286">
        <v>23984</v>
      </c>
      <c r="O107" s="286">
        <v>23984</v>
      </c>
      <c r="P107" s="286">
        <v>23984</v>
      </c>
      <c r="Q107" s="286">
        <v>23984</v>
      </c>
      <c r="R107" s="286">
        <v>23984</v>
      </c>
      <c r="S107" s="286">
        <v>23984</v>
      </c>
      <c r="T107" s="286">
        <v>23984</v>
      </c>
      <c r="U107" s="286">
        <v>23984</v>
      </c>
      <c r="V107" s="286">
        <v>23984</v>
      </c>
      <c r="W107" s="287">
        <v>89940</v>
      </c>
      <c r="X107" s="151">
        <f t="shared" si="5"/>
        <v>413694.12</v>
      </c>
    </row>
    <row r="108" spans="1:24" s="185" customFormat="1" ht="11.25">
      <c r="A108" s="420"/>
      <c r="B108" s="189" t="s">
        <v>695</v>
      </c>
      <c r="C108" s="422"/>
      <c r="D108" s="422"/>
      <c r="E108" s="424"/>
      <c r="F108" s="447"/>
      <c r="G108" s="154">
        <v>0.02082</v>
      </c>
      <c r="H108" s="289">
        <v>10235</v>
      </c>
      <c r="I108" s="289">
        <v>14715</v>
      </c>
      <c r="J108" s="289">
        <v>20180</v>
      </c>
      <c r="K108" s="289">
        <v>18965</v>
      </c>
      <c r="L108" s="289">
        <v>10650</v>
      </c>
      <c r="M108" s="289">
        <v>9950</v>
      </c>
      <c r="N108" s="289">
        <v>9190</v>
      </c>
      <c r="O108" s="289">
        <v>8460</v>
      </c>
      <c r="P108" s="289">
        <v>7730</v>
      </c>
      <c r="Q108" s="289">
        <v>7020</v>
      </c>
      <c r="R108" s="289">
        <v>6275</v>
      </c>
      <c r="S108" s="289">
        <v>5545</v>
      </c>
      <c r="T108" s="289">
        <v>4815</v>
      </c>
      <c r="U108" s="289">
        <v>4095</v>
      </c>
      <c r="V108" s="289">
        <v>3355</v>
      </c>
      <c r="W108" s="290">
        <v>6120</v>
      </c>
      <c r="X108" s="156">
        <f t="shared" si="5"/>
        <v>147300</v>
      </c>
    </row>
    <row r="109" spans="1:24" s="185" customFormat="1" ht="17.25" customHeight="1">
      <c r="A109" s="419">
        <v>52</v>
      </c>
      <c r="B109" s="149" t="s">
        <v>557</v>
      </c>
      <c r="C109" s="421" t="s">
        <v>228</v>
      </c>
      <c r="D109" s="421">
        <v>686</v>
      </c>
      <c r="E109" s="423">
        <f>57959+23673+506197</f>
        <v>587829</v>
      </c>
      <c r="F109" s="446" t="s">
        <v>696</v>
      </c>
      <c r="G109" s="300" t="s">
        <v>560</v>
      </c>
      <c r="H109" s="306">
        <f>8376+57844+56990.04-5027</f>
        <v>118183.04000000001</v>
      </c>
      <c r="I109" s="286">
        <v>59524</v>
      </c>
      <c r="J109" s="286">
        <v>59524</v>
      </c>
      <c r="K109" s="286">
        <v>59524</v>
      </c>
      <c r="L109" s="286">
        <v>59524</v>
      </c>
      <c r="M109" s="286">
        <v>59524</v>
      </c>
      <c r="N109" s="286">
        <v>59524</v>
      </c>
      <c r="O109" s="286">
        <v>59524</v>
      </c>
      <c r="P109" s="286">
        <v>44635.96</v>
      </c>
      <c r="Q109" s="286"/>
      <c r="R109" s="286"/>
      <c r="S109" s="286"/>
      <c r="T109" s="286"/>
      <c r="U109" s="286"/>
      <c r="V109" s="286"/>
      <c r="W109" s="287"/>
      <c r="X109" s="151">
        <f t="shared" si="5"/>
        <v>579487</v>
      </c>
    </row>
    <row r="110" spans="1:24" s="185" customFormat="1" ht="18.75" customHeight="1">
      <c r="A110" s="420"/>
      <c r="B110" s="186" t="s">
        <v>697</v>
      </c>
      <c r="C110" s="422"/>
      <c r="D110" s="422"/>
      <c r="E110" s="424"/>
      <c r="F110" s="447"/>
      <c r="G110" s="182">
        <v>0.02938</v>
      </c>
      <c r="H110" s="289">
        <v>16025</v>
      </c>
      <c r="I110" s="289">
        <v>20690</v>
      </c>
      <c r="J110" s="289">
        <v>19905</v>
      </c>
      <c r="K110" s="289">
        <v>16890</v>
      </c>
      <c r="L110" s="289">
        <v>8325</v>
      </c>
      <c r="M110" s="289">
        <v>6530</v>
      </c>
      <c r="N110" s="289">
        <v>4700</v>
      </c>
      <c r="O110" s="289">
        <v>2890</v>
      </c>
      <c r="P110" s="289">
        <v>1080</v>
      </c>
      <c r="Q110" s="289"/>
      <c r="R110" s="289"/>
      <c r="S110" s="289"/>
      <c r="T110" s="289"/>
      <c r="U110" s="289"/>
      <c r="V110" s="289"/>
      <c r="W110" s="290"/>
      <c r="X110" s="156">
        <f t="shared" si="5"/>
        <v>97035</v>
      </c>
    </row>
    <row r="111" spans="1:24" s="185" customFormat="1" ht="23.25" customHeight="1">
      <c r="A111" s="419">
        <v>53</v>
      </c>
      <c r="B111" s="149" t="s">
        <v>557</v>
      </c>
      <c r="C111" s="421" t="s">
        <v>698</v>
      </c>
      <c r="D111" s="421">
        <v>687</v>
      </c>
      <c r="E111" s="423">
        <v>400000</v>
      </c>
      <c r="F111" s="446" t="s">
        <v>699</v>
      </c>
      <c r="G111" s="300" t="s">
        <v>560</v>
      </c>
      <c r="H111" s="286"/>
      <c r="I111" s="286">
        <v>11380</v>
      </c>
      <c r="J111" s="286">
        <v>22860</v>
      </c>
      <c r="K111" s="286">
        <v>22860</v>
      </c>
      <c r="L111" s="286">
        <v>22860</v>
      </c>
      <c r="M111" s="286">
        <v>22860</v>
      </c>
      <c r="N111" s="286">
        <v>22860</v>
      </c>
      <c r="O111" s="286">
        <v>22860</v>
      </c>
      <c r="P111" s="286">
        <v>22860</v>
      </c>
      <c r="Q111" s="286">
        <v>22860</v>
      </c>
      <c r="R111" s="286">
        <v>22860</v>
      </c>
      <c r="S111" s="286">
        <v>22860</v>
      </c>
      <c r="T111" s="286">
        <v>22860</v>
      </c>
      <c r="U111" s="286">
        <v>22860</v>
      </c>
      <c r="V111" s="286">
        <v>22860</v>
      </c>
      <c r="W111" s="286">
        <v>91440</v>
      </c>
      <c r="X111" s="151">
        <f t="shared" si="5"/>
        <v>400000</v>
      </c>
    </row>
    <row r="112" spans="1:24" s="185" customFormat="1" ht="21.75" customHeight="1">
      <c r="A112" s="420"/>
      <c r="B112" s="186" t="s">
        <v>700</v>
      </c>
      <c r="C112" s="422"/>
      <c r="D112" s="422"/>
      <c r="E112" s="424"/>
      <c r="F112" s="447"/>
      <c r="G112" s="182">
        <v>0.0321</v>
      </c>
      <c r="H112" s="289">
        <f>13020-855</f>
        <v>12165</v>
      </c>
      <c r="I112" s="289">
        <v>14230</v>
      </c>
      <c r="J112" s="289">
        <v>19525</v>
      </c>
      <c r="K112" s="289">
        <v>18365</v>
      </c>
      <c r="L112" s="289">
        <v>10325</v>
      </c>
      <c r="M112" s="289">
        <v>9655</v>
      </c>
      <c r="N112" s="289">
        <v>8935</v>
      </c>
      <c r="O112" s="289">
        <v>8240</v>
      </c>
      <c r="P112" s="289">
        <v>7545</v>
      </c>
      <c r="Q112" s="289">
        <v>6870</v>
      </c>
      <c r="R112" s="289">
        <v>6155</v>
      </c>
      <c r="S112" s="289">
        <v>5460</v>
      </c>
      <c r="T112" s="289">
        <v>4760</v>
      </c>
      <c r="U112" s="289">
        <v>4080</v>
      </c>
      <c r="V112" s="289">
        <v>3370</v>
      </c>
      <c r="W112" s="289">
        <v>6570</v>
      </c>
      <c r="X112" s="156">
        <f t="shared" si="5"/>
        <v>146250</v>
      </c>
    </row>
    <row r="113" spans="1:24" s="190" customFormat="1" ht="16.5" customHeight="1">
      <c r="A113" s="419">
        <v>54</v>
      </c>
      <c r="B113" s="149" t="s">
        <v>557</v>
      </c>
      <c r="C113" s="421" t="s">
        <v>701</v>
      </c>
      <c r="D113" s="421">
        <v>688</v>
      </c>
      <c r="E113" s="423">
        <f>165287-28.01</f>
        <v>165258.99</v>
      </c>
      <c r="F113" s="446" t="s">
        <v>699</v>
      </c>
      <c r="G113" s="300" t="s">
        <v>560</v>
      </c>
      <c r="H113" s="286"/>
      <c r="I113" s="301">
        <f>2359-28.01</f>
        <v>2330.99</v>
      </c>
      <c r="J113" s="286">
        <v>9584</v>
      </c>
      <c r="K113" s="286">
        <v>9584</v>
      </c>
      <c r="L113" s="286">
        <v>9584</v>
      </c>
      <c r="M113" s="286">
        <v>9584</v>
      </c>
      <c r="N113" s="286">
        <v>9584</v>
      </c>
      <c r="O113" s="286">
        <v>9584</v>
      </c>
      <c r="P113" s="286">
        <v>9584</v>
      </c>
      <c r="Q113" s="286">
        <v>9584</v>
      </c>
      <c r="R113" s="286">
        <v>9584</v>
      </c>
      <c r="S113" s="286">
        <v>9584</v>
      </c>
      <c r="T113" s="286">
        <v>9584</v>
      </c>
      <c r="U113" s="286">
        <v>9584</v>
      </c>
      <c r="V113" s="286">
        <v>9584</v>
      </c>
      <c r="W113" s="286">
        <v>38336</v>
      </c>
      <c r="X113" s="151">
        <f t="shared" si="5"/>
        <v>165258.99</v>
      </c>
    </row>
    <row r="114" spans="1:24" s="190" customFormat="1" ht="21" customHeight="1">
      <c r="A114" s="420"/>
      <c r="B114" s="153" t="s">
        <v>702</v>
      </c>
      <c r="C114" s="422"/>
      <c r="D114" s="422"/>
      <c r="E114" s="424"/>
      <c r="F114" s="447"/>
      <c r="G114" s="182">
        <v>0.0321</v>
      </c>
      <c r="H114" s="289">
        <f>5380-350</f>
        <v>5030</v>
      </c>
      <c r="I114" s="289">
        <v>5885</v>
      </c>
      <c r="J114" s="289">
        <v>8185</v>
      </c>
      <c r="K114" s="289">
        <v>7700</v>
      </c>
      <c r="L114" s="289">
        <v>4330</v>
      </c>
      <c r="M114" s="289">
        <v>4050</v>
      </c>
      <c r="N114" s="289">
        <v>3745</v>
      </c>
      <c r="O114" s="289">
        <v>3455</v>
      </c>
      <c r="P114" s="289">
        <v>3165</v>
      </c>
      <c r="Q114" s="289">
        <v>2880</v>
      </c>
      <c r="R114" s="289">
        <v>2580</v>
      </c>
      <c r="S114" s="289">
        <v>2290</v>
      </c>
      <c r="T114" s="289">
        <v>2000</v>
      </c>
      <c r="U114" s="289">
        <v>1710</v>
      </c>
      <c r="V114" s="289">
        <v>1415</v>
      </c>
      <c r="W114" s="289">
        <v>2755</v>
      </c>
      <c r="X114" s="156">
        <f t="shared" si="5"/>
        <v>61175</v>
      </c>
    </row>
    <row r="115" spans="1:24" s="190" customFormat="1" ht="11.25" customHeight="1">
      <c r="A115" s="419">
        <v>55</v>
      </c>
      <c r="B115" s="149" t="s">
        <v>557</v>
      </c>
      <c r="C115" s="421" t="s">
        <v>703</v>
      </c>
      <c r="D115" s="421">
        <v>689</v>
      </c>
      <c r="E115" s="423">
        <v>182387</v>
      </c>
      <c r="F115" s="446" t="s">
        <v>704</v>
      </c>
      <c r="G115" s="300" t="s">
        <v>560</v>
      </c>
      <c r="H115" s="307">
        <v>14027</v>
      </c>
      <c r="I115" s="307">
        <v>56120</v>
      </c>
      <c r="J115" s="307">
        <v>56120</v>
      </c>
      <c r="K115" s="307">
        <v>56120</v>
      </c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7"/>
      <c r="X115" s="151">
        <f t="shared" si="5"/>
        <v>182387</v>
      </c>
    </row>
    <row r="116" spans="1:24" s="190" customFormat="1" ht="11.25">
      <c r="A116" s="420"/>
      <c r="B116" s="153" t="s">
        <v>705</v>
      </c>
      <c r="C116" s="422"/>
      <c r="D116" s="422"/>
      <c r="E116" s="424"/>
      <c r="F116" s="447"/>
      <c r="G116" s="182">
        <v>0.0324</v>
      </c>
      <c r="H116" s="308">
        <f>5550-740</f>
        <v>4810</v>
      </c>
      <c r="I116" s="308">
        <v>4875</v>
      </c>
      <c r="J116" s="308">
        <v>5255</v>
      </c>
      <c r="K116" s="308">
        <v>2410</v>
      </c>
      <c r="L116" s="289">
        <v>160</v>
      </c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90"/>
      <c r="X116" s="156">
        <f t="shared" si="5"/>
        <v>17510</v>
      </c>
    </row>
    <row r="117" spans="1:24" s="185" customFormat="1" ht="11.25" customHeight="1">
      <c r="A117" s="419">
        <v>56</v>
      </c>
      <c r="B117" s="149" t="s">
        <v>557</v>
      </c>
      <c r="C117" s="421" t="s">
        <v>706</v>
      </c>
      <c r="D117" s="421">
        <v>690</v>
      </c>
      <c r="E117" s="423">
        <v>1554321</v>
      </c>
      <c r="F117" s="446" t="s">
        <v>707</v>
      </c>
      <c r="G117" s="300" t="s">
        <v>560</v>
      </c>
      <c r="H117" s="307">
        <v>0</v>
      </c>
      <c r="I117" s="307">
        <v>1971</v>
      </c>
      <c r="J117" s="307">
        <v>10000</v>
      </c>
      <c r="K117" s="307">
        <v>20000</v>
      </c>
      <c r="L117" s="307">
        <v>60000</v>
      </c>
      <c r="M117" s="307">
        <v>77992</v>
      </c>
      <c r="N117" s="307">
        <v>77992</v>
      </c>
      <c r="O117" s="307">
        <v>77992</v>
      </c>
      <c r="P117" s="307">
        <v>77992</v>
      </c>
      <c r="Q117" s="307">
        <v>77992</v>
      </c>
      <c r="R117" s="307">
        <v>77992</v>
      </c>
      <c r="S117" s="307">
        <v>77992</v>
      </c>
      <c r="T117" s="307">
        <v>77992</v>
      </c>
      <c r="U117" s="307">
        <v>77992</v>
      </c>
      <c r="V117" s="286">
        <v>77992</v>
      </c>
      <c r="W117" s="287">
        <v>682430</v>
      </c>
      <c r="X117" s="151">
        <f t="shared" si="5"/>
        <v>1554321</v>
      </c>
    </row>
    <row r="118" spans="1:24" s="185" customFormat="1" ht="11.25">
      <c r="A118" s="420"/>
      <c r="B118" s="153" t="s">
        <v>708</v>
      </c>
      <c r="C118" s="422"/>
      <c r="D118" s="422"/>
      <c r="E118" s="424"/>
      <c r="F118" s="447"/>
      <c r="G118" s="182">
        <v>0.03595</v>
      </c>
      <c r="H118" s="308">
        <f>63040-14955</f>
        <v>48085</v>
      </c>
      <c r="I118" s="308">
        <v>63210</v>
      </c>
      <c r="J118" s="308">
        <v>78615</v>
      </c>
      <c r="K118" s="308">
        <v>78005</v>
      </c>
      <c r="L118" s="308">
        <v>45960</v>
      </c>
      <c r="M118" s="308">
        <v>44210</v>
      </c>
      <c r="N118" s="308">
        <v>41745</v>
      </c>
      <c r="O118" s="308">
        <v>39370</v>
      </c>
      <c r="P118" s="308">
        <v>37000</v>
      </c>
      <c r="Q118" s="308">
        <v>34725</v>
      </c>
      <c r="R118" s="308">
        <v>32255</v>
      </c>
      <c r="S118" s="309">
        <v>29885</v>
      </c>
      <c r="T118" s="309">
        <v>27510</v>
      </c>
      <c r="U118" s="309">
        <v>25210</v>
      </c>
      <c r="V118" s="289">
        <v>22765</v>
      </c>
      <c r="W118" s="290">
        <v>98190</v>
      </c>
      <c r="X118" s="156">
        <f t="shared" si="5"/>
        <v>746740</v>
      </c>
    </row>
    <row r="119" spans="1:24" s="185" customFormat="1" ht="19.5" customHeight="1">
      <c r="A119" s="419">
        <v>57</v>
      </c>
      <c r="B119" s="149" t="s">
        <v>557</v>
      </c>
      <c r="C119" s="421" t="s">
        <v>990</v>
      </c>
      <c r="D119" s="421">
        <v>691</v>
      </c>
      <c r="E119" s="423">
        <f>102741-5539.61</f>
        <v>97201.39</v>
      </c>
      <c r="F119" s="446" t="s">
        <v>709</v>
      </c>
      <c r="G119" s="300" t="s">
        <v>560</v>
      </c>
      <c r="H119" s="150">
        <f>7893-427.61</f>
        <v>7465.39</v>
      </c>
      <c r="I119" s="150">
        <f>31616-1704</f>
        <v>29912</v>
      </c>
      <c r="J119" s="150">
        <f>31616-1704</f>
        <v>29912</v>
      </c>
      <c r="K119" s="150">
        <f>31616-1704</f>
        <v>29912</v>
      </c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7"/>
      <c r="X119" s="151">
        <f t="shared" si="5"/>
        <v>97201.39</v>
      </c>
    </row>
    <row r="120" spans="1:24" s="185" customFormat="1" ht="24.75" customHeight="1">
      <c r="A120" s="420"/>
      <c r="B120" s="153" t="s">
        <v>710</v>
      </c>
      <c r="C120" s="422"/>
      <c r="D120" s="422"/>
      <c r="E120" s="424"/>
      <c r="F120" s="447"/>
      <c r="G120" s="182">
        <v>0.03627</v>
      </c>
      <c r="H120" s="155">
        <f>2960-140</f>
        <v>2820</v>
      </c>
      <c r="I120" s="155">
        <f>2600+430</f>
        <v>3030</v>
      </c>
      <c r="J120" s="155">
        <v>2800</v>
      </c>
      <c r="K120" s="155">
        <v>1285</v>
      </c>
      <c r="L120" s="289">
        <v>85</v>
      </c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90"/>
      <c r="X120" s="156">
        <f t="shared" si="5"/>
        <v>10020</v>
      </c>
    </row>
    <row r="121" spans="1:24" s="190" customFormat="1" ht="11.25" customHeight="1">
      <c r="A121" s="419">
        <v>58</v>
      </c>
      <c r="B121" s="149" t="s">
        <v>557</v>
      </c>
      <c r="C121" s="421" t="s">
        <v>711</v>
      </c>
      <c r="D121" s="421">
        <v>692</v>
      </c>
      <c r="E121" s="423">
        <f>227931-0.13</f>
        <v>227930.87</v>
      </c>
      <c r="F121" s="437" t="s">
        <v>712</v>
      </c>
      <c r="G121" s="300" t="s">
        <v>560</v>
      </c>
      <c r="H121" s="286"/>
      <c r="I121" s="301"/>
      <c r="J121" s="286">
        <v>13171</v>
      </c>
      <c r="K121" s="286">
        <v>13216</v>
      </c>
      <c r="L121" s="286">
        <v>13216</v>
      </c>
      <c r="M121" s="286">
        <v>13216</v>
      </c>
      <c r="N121" s="286">
        <v>13216</v>
      </c>
      <c r="O121" s="286">
        <v>13216</v>
      </c>
      <c r="P121" s="286">
        <v>13216</v>
      </c>
      <c r="Q121" s="286">
        <v>13216</v>
      </c>
      <c r="R121" s="286">
        <v>13216</v>
      </c>
      <c r="S121" s="286">
        <v>13216</v>
      </c>
      <c r="T121" s="286">
        <v>13216</v>
      </c>
      <c r="U121" s="286">
        <v>13216</v>
      </c>
      <c r="V121" s="286">
        <v>13216</v>
      </c>
      <c r="W121" s="287">
        <f>56168-0.13</f>
        <v>56167.87</v>
      </c>
      <c r="X121" s="151">
        <f t="shared" si="5"/>
        <v>227930.87</v>
      </c>
    </row>
    <row r="122" spans="1:24" s="190" customFormat="1" ht="11.25">
      <c r="A122" s="420"/>
      <c r="B122" s="153" t="s">
        <v>713</v>
      </c>
      <c r="C122" s="422"/>
      <c r="D122" s="422"/>
      <c r="E122" s="424"/>
      <c r="F122" s="430"/>
      <c r="G122" s="182">
        <v>0.04594</v>
      </c>
      <c r="H122" s="289">
        <v>6355</v>
      </c>
      <c r="I122" s="289">
        <v>11350</v>
      </c>
      <c r="J122" s="289">
        <v>11420</v>
      </c>
      <c r="K122" s="289">
        <v>10785</v>
      </c>
      <c r="L122" s="289">
        <v>6070</v>
      </c>
      <c r="M122" s="289">
        <v>5685</v>
      </c>
      <c r="N122" s="289">
        <v>5265</v>
      </c>
      <c r="O122" s="289">
        <v>4865</v>
      </c>
      <c r="P122" s="289">
        <v>4460</v>
      </c>
      <c r="Q122" s="289">
        <v>4070</v>
      </c>
      <c r="R122" s="289">
        <v>3660</v>
      </c>
      <c r="S122" s="289">
        <v>3255</v>
      </c>
      <c r="T122" s="289">
        <v>2855</v>
      </c>
      <c r="U122" s="289">
        <v>2460</v>
      </c>
      <c r="V122" s="289">
        <v>2050</v>
      </c>
      <c r="W122" s="290">
        <v>4250</v>
      </c>
      <c r="X122" s="156">
        <f t="shared" si="5"/>
        <v>88855</v>
      </c>
    </row>
    <row r="123" spans="1:24" s="185" customFormat="1" ht="22.5" customHeight="1">
      <c r="A123" s="419">
        <v>59</v>
      </c>
      <c r="B123" s="149" t="s">
        <v>557</v>
      </c>
      <c r="C123" s="421" t="s">
        <v>714</v>
      </c>
      <c r="D123" s="421">
        <v>693</v>
      </c>
      <c r="E123" s="423">
        <v>281144</v>
      </c>
      <c r="F123" s="437" t="s">
        <v>712</v>
      </c>
      <c r="G123" s="300" t="s">
        <v>560</v>
      </c>
      <c r="H123" s="306">
        <f>20696.21+8869.8</f>
        <v>29566.01</v>
      </c>
      <c r="I123" s="301"/>
      <c r="J123" s="286">
        <v>14588</v>
      </c>
      <c r="K123" s="286">
        <v>14588</v>
      </c>
      <c r="L123" s="286">
        <v>14588</v>
      </c>
      <c r="M123" s="286">
        <v>14588</v>
      </c>
      <c r="N123" s="286">
        <v>14588</v>
      </c>
      <c r="O123" s="286">
        <v>14588</v>
      </c>
      <c r="P123" s="286">
        <v>14588</v>
      </c>
      <c r="Q123" s="286">
        <v>14588</v>
      </c>
      <c r="R123" s="286">
        <v>14588</v>
      </c>
      <c r="S123" s="286">
        <v>14588</v>
      </c>
      <c r="T123" s="286">
        <v>14588</v>
      </c>
      <c r="U123" s="286">
        <v>14588</v>
      </c>
      <c r="V123" s="286">
        <v>14588</v>
      </c>
      <c r="W123" s="302">
        <v>61933.99</v>
      </c>
      <c r="X123" s="151">
        <f t="shared" si="5"/>
        <v>281144</v>
      </c>
    </row>
    <row r="124" spans="1:24" s="185" customFormat="1" ht="21.75" customHeight="1">
      <c r="A124" s="420"/>
      <c r="B124" s="153" t="s">
        <v>715</v>
      </c>
      <c r="C124" s="422"/>
      <c r="D124" s="422"/>
      <c r="E124" s="424"/>
      <c r="F124" s="430"/>
      <c r="G124" s="182">
        <v>0.04594</v>
      </c>
      <c r="H124" s="289">
        <v>7045</v>
      </c>
      <c r="I124" s="289">
        <v>11575</v>
      </c>
      <c r="J124" s="289">
        <v>12600</v>
      </c>
      <c r="K124" s="289">
        <v>11905</v>
      </c>
      <c r="L124" s="289">
        <v>6700</v>
      </c>
      <c r="M124" s="289">
        <v>6270</v>
      </c>
      <c r="N124" s="289">
        <v>5810</v>
      </c>
      <c r="O124" s="289">
        <v>5370</v>
      </c>
      <c r="P124" s="289">
        <v>4925</v>
      </c>
      <c r="Q124" s="289">
        <v>4495</v>
      </c>
      <c r="R124" s="289">
        <v>4035</v>
      </c>
      <c r="S124" s="289">
        <v>3595</v>
      </c>
      <c r="T124" s="289">
        <v>3150</v>
      </c>
      <c r="U124" s="289">
        <v>2715</v>
      </c>
      <c r="V124" s="289">
        <v>2260</v>
      </c>
      <c r="W124" s="290">
        <v>4680</v>
      </c>
      <c r="X124" s="156">
        <f>SUM(H124:W124)</f>
        <v>97130</v>
      </c>
    </row>
    <row r="125" spans="1:24" s="185" customFormat="1" ht="17.25" customHeight="1">
      <c r="A125" s="419">
        <v>60</v>
      </c>
      <c r="B125" s="149" t="s">
        <v>557</v>
      </c>
      <c r="C125" s="421" t="s">
        <v>716</v>
      </c>
      <c r="D125" s="421">
        <v>694</v>
      </c>
      <c r="E125" s="423">
        <v>103706</v>
      </c>
      <c r="F125" s="437" t="s">
        <v>717</v>
      </c>
      <c r="G125" s="300" t="s">
        <v>560</v>
      </c>
      <c r="H125" s="286"/>
      <c r="I125" s="301"/>
      <c r="J125" s="286">
        <v>14281</v>
      </c>
      <c r="K125" s="301">
        <v>7920.02</v>
      </c>
      <c r="L125" s="301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7"/>
      <c r="X125" s="151">
        <f t="shared" si="5"/>
        <v>22201.02</v>
      </c>
    </row>
    <row r="126" spans="1:24" s="185" customFormat="1" ht="16.5" customHeight="1">
      <c r="A126" s="420"/>
      <c r="B126" s="153" t="s">
        <v>718</v>
      </c>
      <c r="C126" s="422"/>
      <c r="D126" s="422"/>
      <c r="E126" s="424"/>
      <c r="F126" s="430"/>
      <c r="G126" s="182">
        <v>0.04369</v>
      </c>
      <c r="H126" s="289">
        <v>615</v>
      </c>
      <c r="I126" s="289">
        <v>1010</v>
      </c>
      <c r="J126" s="289">
        <v>975</v>
      </c>
      <c r="K126" s="289">
        <v>295</v>
      </c>
      <c r="L126" s="289"/>
      <c r="M126" s="289"/>
      <c r="N126" s="289"/>
      <c r="O126" s="289"/>
      <c r="P126" s="289"/>
      <c r="Q126" s="289"/>
      <c r="R126" s="289"/>
      <c r="S126" s="289"/>
      <c r="T126" s="289"/>
      <c r="U126" s="289"/>
      <c r="V126" s="289"/>
      <c r="W126" s="290"/>
      <c r="X126" s="156">
        <f t="shared" si="5"/>
        <v>2895</v>
      </c>
    </row>
    <row r="127" spans="1:24" s="185" customFormat="1" ht="11.25" customHeight="1">
      <c r="A127" s="419">
        <v>61</v>
      </c>
      <c r="B127" s="149" t="s">
        <v>557</v>
      </c>
      <c r="C127" s="421" t="s">
        <v>719</v>
      </c>
      <c r="D127" s="421">
        <v>695</v>
      </c>
      <c r="E127" s="423">
        <f>476312+31719</f>
        <v>508031</v>
      </c>
      <c r="F127" s="437" t="s">
        <v>720</v>
      </c>
      <c r="G127" s="300" t="s">
        <v>560</v>
      </c>
      <c r="H127" s="306">
        <f>10111.78</f>
        <v>10111.78</v>
      </c>
      <c r="I127" s="301"/>
      <c r="J127" s="301">
        <v>18276</v>
      </c>
      <c r="K127" s="286">
        <v>18276</v>
      </c>
      <c r="L127" s="286">
        <v>18276</v>
      </c>
      <c r="M127" s="286">
        <v>18276</v>
      </c>
      <c r="N127" s="286">
        <v>18276</v>
      </c>
      <c r="O127" s="286">
        <v>18276</v>
      </c>
      <c r="P127" s="286">
        <v>18276</v>
      </c>
      <c r="Q127" s="286">
        <v>18276</v>
      </c>
      <c r="R127" s="286">
        <v>18276</v>
      </c>
      <c r="S127" s="286">
        <v>18276</v>
      </c>
      <c r="T127" s="286">
        <v>18276</v>
      </c>
      <c r="U127" s="286">
        <v>18276</v>
      </c>
      <c r="V127" s="286">
        <v>18276</v>
      </c>
      <c r="W127" s="286">
        <v>260331.22</v>
      </c>
      <c r="X127" s="370">
        <f t="shared" si="5"/>
        <v>508031</v>
      </c>
    </row>
    <row r="128" spans="1:24" s="185" customFormat="1" ht="11.25">
      <c r="A128" s="420"/>
      <c r="B128" s="153" t="s">
        <v>721</v>
      </c>
      <c r="C128" s="422"/>
      <c r="D128" s="422"/>
      <c r="E128" s="424"/>
      <c r="F128" s="438"/>
      <c r="G128" s="182">
        <v>0.04969</v>
      </c>
      <c r="H128" s="289">
        <v>16265</v>
      </c>
      <c r="I128" s="289">
        <v>25275</v>
      </c>
      <c r="J128" s="289">
        <v>25050</v>
      </c>
      <c r="K128" s="289">
        <v>24175</v>
      </c>
      <c r="L128" s="289">
        <v>13950</v>
      </c>
      <c r="M128" s="289">
        <v>13430</v>
      </c>
      <c r="N128" s="289">
        <v>12840</v>
      </c>
      <c r="O128" s="289">
        <v>12280</v>
      </c>
      <c r="P128" s="289">
        <v>11725</v>
      </c>
      <c r="Q128" s="289">
        <v>11200</v>
      </c>
      <c r="R128" s="289">
        <v>10615</v>
      </c>
      <c r="S128" s="289">
        <v>10060</v>
      </c>
      <c r="T128" s="289">
        <v>9505</v>
      </c>
      <c r="U128" s="289">
        <v>8970</v>
      </c>
      <c r="V128" s="289">
        <v>8390</v>
      </c>
      <c r="W128" s="290">
        <v>59205</v>
      </c>
      <c r="X128" s="156">
        <f t="shared" si="5"/>
        <v>272935</v>
      </c>
    </row>
    <row r="129" spans="1:24" s="185" customFormat="1" ht="18.75" customHeight="1">
      <c r="A129" s="419">
        <v>62</v>
      </c>
      <c r="B129" s="149" t="s">
        <v>557</v>
      </c>
      <c r="C129" s="421" t="s">
        <v>722</v>
      </c>
      <c r="D129" s="421">
        <v>696</v>
      </c>
      <c r="E129" s="423">
        <v>800107</v>
      </c>
      <c r="F129" s="437" t="s">
        <v>723</v>
      </c>
      <c r="G129" s="300" t="s">
        <v>560</v>
      </c>
      <c r="H129" s="306">
        <f>3876.21</f>
        <v>3876.21</v>
      </c>
      <c r="I129" s="301"/>
      <c r="J129" s="286">
        <v>1277</v>
      </c>
      <c r="K129" s="286">
        <v>4000</v>
      </c>
      <c r="L129" s="286">
        <v>52120</v>
      </c>
      <c r="M129" s="286">
        <v>52120</v>
      </c>
      <c r="N129" s="286">
        <v>52120</v>
      </c>
      <c r="O129" s="286">
        <v>52120</v>
      </c>
      <c r="P129" s="286">
        <v>52120</v>
      </c>
      <c r="Q129" s="286">
        <v>52120</v>
      </c>
      <c r="R129" s="286">
        <v>52120</v>
      </c>
      <c r="S129" s="286">
        <v>52120</v>
      </c>
      <c r="T129" s="286">
        <v>52120</v>
      </c>
      <c r="U129" s="286">
        <v>52120</v>
      </c>
      <c r="V129" s="286">
        <v>52120</v>
      </c>
      <c r="W129" s="302">
        <f>221510-1511.7-3876.21</f>
        <v>216122.09</v>
      </c>
      <c r="X129" s="151">
        <f t="shared" si="5"/>
        <v>798595.2999999999</v>
      </c>
    </row>
    <row r="130" spans="1:24" s="185" customFormat="1" ht="16.5" customHeight="1">
      <c r="A130" s="420"/>
      <c r="B130" s="153" t="s">
        <v>724</v>
      </c>
      <c r="C130" s="422"/>
      <c r="D130" s="422"/>
      <c r="E130" s="424"/>
      <c r="F130" s="430"/>
      <c r="G130" s="182">
        <v>0.01248</v>
      </c>
      <c r="H130" s="289">
        <f>20360-5100-710</f>
        <v>14550</v>
      </c>
      <c r="I130" s="289">
        <f>32480-160</f>
        <v>32320</v>
      </c>
      <c r="J130" s="289">
        <v>40285</v>
      </c>
      <c r="K130" s="289">
        <v>40190</v>
      </c>
      <c r="L130" s="289">
        <v>23690</v>
      </c>
      <c r="M130" s="289">
        <v>22245</v>
      </c>
      <c r="N130" s="289">
        <v>20600</v>
      </c>
      <c r="O130" s="289">
        <v>19015</v>
      </c>
      <c r="P130" s="289">
        <v>17430</v>
      </c>
      <c r="Q130" s="289">
        <v>15890</v>
      </c>
      <c r="R130" s="289">
        <v>14260</v>
      </c>
      <c r="S130" s="289">
        <v>12675</v>
      </c>
      <c r="T130" s="289">
        <v>11085</v>
      </c>
      <c r="U130" s="289">
        <v>9530</v>
      </c>
      <c r="V130" s="289">
        <v>7915</v>
      </c>
      <c r="W130" s="290">
        <v>16015</v>
      </c>
      <c r="X130" s="156">
        <f t="shared" si="5"/>
        <v>317695</v>
      </c>
    </row>
    <row r="131" spans="1:24" s="185" customFormat="1" ht="18.75" customHeight="1">
      <c r="A131" s="419">
        <v>63</v>
      </c>
      <c r="B131" s="149" t="s">
        <v>557</v>
      </c>
      <c r="C131" s="421" t="s">
        <v>725</v>
      </c>
      <c r="D131" s="421">
        <v>697</v>
      </c>
      <c r="E131" s="423">
        <f>727379-1545.06</f>
        <v>725833.94</v>
      </c>
      <c r="F131" s="437" t="s">
        <v>726</v>
      </c>
      <c r="G131" s="300" t="s">
        <v>560</v>
      </c>
      <c r="H131" s="310"/>
      <c r="I131" s="311"/>
      <c r="J131" s="310">
        <v>1250</v>
      </c>
      <c r="K131" s="310">
        <v>4000</v>
      </c>
      <c r="L131" s="310">
        <v>28540</v>
      </c>
      <c r="M131" s="310">
        <v>28540</v>
      </c>
      <c r="N131" s="310">
        <v>28540</v>
      </c>
      <c r="O131" s="310">
        <v>28540</v>
      </c>
      <c r="P131" s="310">
        <v>28540</v>
      </c>
      <c r="Q131" s="310">
        <v>28540</v>
      </c>
      <c r="R131" s="310">
        <v>28540</v>
      </c>
      <c r="S131" s="310">
        <v>28540</v>
      </c>
      <c r="T131" s="310">
        <v>28540</v>
      </c>
      <c r="U131" s="310">
        <v>28540</v>
      </c>
      <c r="V131" s="310">
        <v>28540</v>
      </c>
      <c r="W131" s="312">
        <v>406643.94</v>
      </c>
      <c r="X131" s="191">
        <f t="shared" si="5"/>
        <v>725833.94</v>
      </c>
    </row>
    <row r="132" spans="1:24" s="185" customFormat="1" ht="17.25" customHeight="1">
      <c r="A132" s="420"/>
      <c r="B132" s="153" t="s">
        <v>727</v>
      </c>
      <c r="C132" s="422"/>
      <c r="D132" s="422"/>
      <c r="E132" s="424"/>
      <c r="F132" s="430"/>
      <c r="G132" s="182">
        <v>0.01603</v>
      </c>
      <c r="H132" s="313">
        <v>22490</v>
      </c>
      <c r="I132" s="313">
        <v>33210</v>
      </c>
      <c r="J132" s="313">
        <v>36795</v>
      </c>
      <c r="K132" s="313">
        <v>36700</v>
      </c>
      <c r="L132" s="313">
        <v>21745</v>
      </c>
      <c r="M132" s="313">
        <v>20975</v>
      </c>
      <c r="N132" s="313">
        <v>20050</v>
      </c>
      <c r="O132" s="313">
        <v>19180</v>
      </c>
      <c r="P132" s="313">
        <v>18315</v>
      </c>
      <c r="Q132" s="313">
        <v>17495</v>
      </c>
      <c r="R132" s="313">
        <v>16580</v>
      </c>
      <c r="S132" s="313">
        <v>15710</v>
      </c>
      <c r="T132" s="313">
        <v>14840</v>
      </c>
      <c r="U132" s="313">
        <v>14010</v>
      </c>
      <c r="V132" s="313">
        <v>13105</v>
      </c>
      <c r="W132" s="314">
        <v>92505</v>
      </c>
      <c r="X132" s="156">
        <f t="shared" si="5"/>
        <v>413705</v>
      </c>
    </row>
    <row r="133" spans="1:24" s="185" customFormat="1" ht="11.25" customHeight="1">
      <c r="A133" s="419">
        <v>64</v>
      </c>
      <c r="B133" s="149" t="s">
        <v>557</v>
      </c>
      <c r="C133" s="421" t="s">
        <v>987</v>
      </c>
      <c r="D133" s="421">
        <v>698</v>
      </c>
      <c r="E133" s="423">
        <v>49567</v>
      </c>
      <c r="F133" s="437" t="s">
        <v>728</v>
      </c>
      <c r="G133" s="300" t="s">
        <v>560</v>
      </c>
      <c r="H133" s="286"/>
      <c r="I133" s="286">
        <v>1337</v>
      </c>
      <c r="J133" s="286">
        <v>2756</v>
      </c>
      <c r="K133" s="286">
        <v>2756</v>
      </c>
      <c r="L133" s="286">
        <v>2756</v>
      </c>
      <c r="M133" s="286">
        <v>2756</v>
      </c>
      <c r="N133" s="286">
        <v>2756</v>
      </c>
      <c r="O133" s="286">
        <v>2756</v>
      </c>
      <c r="P133" s="286">
        <v>2756</v>
      </c>
      <c r="Q133" s="286">
        <v>2756</v>
      </c>
      <c r="R133" s="286">
        <v>2756</v>
      </c>
      <c r="S133" s="286">
        <v>2756</v>
      </c>
      <c r="T133" s="286">
        <v>2756</v>
      </c>
      <c r="U133" s="286">
        <v>2756</v>
      </c>
      <c r="V133" s="286">
        <v>2651.87</v>
      </c>
      <c r="W133" s="287"/>
      <c r="X133" s="151">
        <f t="shared" si="5"/>
        <v>37060.87</v>
      </c>
    </row>
    <row r="134" spans="1:24" s="185" customFormat="1" ht="11.25">
      <c r="A134" s="420"/>
      <c r="B134" s="153" t="s">
        <v>729</v>
      </c>
      <c r="C134" s="422"/>
      <c r="D134" s="422"/>
      <c r="E134" s="424"/>
      <c r="F134" s="430"/>
      <c r="G134" s="182">
        <v>0.01435</v>
      </c>
      <c r="H134" s="289">
        <v>1065</v>
      </c>
      <c r="I134" s="289">
        <v>1510</v>
      </c>
      <c r="J134" s="289">
        <v>1790</v>
      </c>
      <c r="K134" s="289">
        <v>1650</v>
      </c>
      <c r="L134" s="289">
        <v>910</v>
      </c>
      <c r="M134" s="289">
        <v>825</v>
      </c>
      <c r="N134" s="289">
        <v>740</v>
      </c>
      <c r="O134" s="289">
        <v>655</v>
      </c>
      <c r="P134" s="289">
        <v>575</v>
      </c>
      <c r="Q134" s="289">
        <v>490</v>
      </c>
      <c r="R134" s="289">
        <v>405</v>
      </c>
      <c r="S134" s="289">
        <v>320</v>
      </c>
      <c r="T134" s="289">
        <v>240</v>
      </c>
      <c r="U134" s="289">
        <v>155</v>
      </c>
      <c r="V134" s="289">
        <v>70</v>
      </c>
      <c r="W134" s="290"/>
      <c r="X134" s="156">
        <f t="shared" si="5"/>
        <v>11400</v>
      </c>
    </row>
    <row r="135" spans="1:24" s="185" customFormat="1" ht="11.25" customHeight="1">
      <c r="A135" s="419">
        <v>65</v>
      </c>
      <c r="B135" s="149" t="s">
        <v>557</v>
      </c>
      <c r="C135" s="421" t="s">
        <v>444</v>
      </c>
      <c r="D135" s="421">
        <v>699</v>
      </c>
      <c r="E135" s="423">
        <v>2617758</v>
      </c>
      <c r="F135" s="437" t="s">
        <v>730</v>
      </c>
      <c r="G135" s="300" t="s">
        <v>560</v>
      </c>
      <c r="H135" s="286"/>
      <c r="I135" s="301"/>
      <c r="J135" s="286">
        <v>1494</v>
      </c>
      <c r="K135" s="286">
        <v>4000</v>
      </c>
      <c r="L135" s="286">
        <v>103456</v>
      </c>
      <c r="M135" s="286">
        <v>103456</v>
      </c>
      <c r="N135" s="286">
        <v>103456</v>
      </c>
      <c r="O135" s="286">
        <v>103456</v>
      </c>
      <c r="P135" s="286">
        <v>103456</v>
      </c>
      <c r="Q135" s="286">
        <v>103456</v>
      </c>
      <c r="R135" s="286">
        <v>103456</v>
      </c>
      <c r="S135" s="286">
        <v>103456</v>
      </c>
      <c r="T135" s="286">
        <v>103456</v>
      </c>
      <c r="U135" s="286">
        <v>103456</v>
      </c>
      <c r="V135" s="286">
        <v>103456</v>
      </c>
      <c r="W135" s="287">
        <v>1474248</v>
      </c>
      <c r="X135" s="151">
        <f aca="true" t="shared" si="6" ref="X135:X158">SUM(H135:W135)</f>
        <v>2617758</v>
      </c>
    </row>
    <row r="136" spans="1:24" s="185" customFormat="1" ht="11.25">
      <c r="A136" s="420"/>
      <c r="B136" s="153" t="s">
        <v>731</v>
      </c>
      <c r="C136" s="422"/>
      <c r="D136" s="422"/>
      <c r="E136" s="424"/>
      <c r="F136" s="430"/>
      <c r="G136" s="182">
        <v>0.02998</v>
      </c>
      <c r="H136" s="289">
        <f>99560-27380</f>
        <v>72180</v>
      </c>
      <c r="I136" s="289">
        <v>119765</v>
      </c>
      <c r="J136" s="289">
        <v>132700</v>
      </c>
      <c r="K136" s="289">
        <v>132595</v>
      </c>
      <c r="L136" s="289">
        <v>78805</v>
      </c>
      <c r="M136" s="289">
        <v>76035</v>
      </c>
      <c r="N136" s="289">
        <v>72680</v>
      </c>
      <c r="O136" s="289">
        <v>69535</v>
      </c>
      <c r="P136" s="289">
        <v>66385</v>
      </c>
      <c r="Q136" s="289">
        <v>63415</v>
      </c>
      <c r="R136" s="289">
        <v>60095</v>
      </c>
      <c r="S136" s="289">
        <v>56945</v>
      </c>
      <c r="T136" s="289">
        <v>53800</v>
      </c>
      <c r="U136" s="289">
        <v>50795</v>
      </c>
      <c r="V136" s="289">
        <v>47505</v>
      </c>
      <c r="W136" s="290">
        <v>335400</v>
      </c>
      <c r="X136" s="156">
        <f t="shared" si="6"/>
        <v>1488635</v>
      </c>
    </row>
    <row r="137" spans="1:24" s="185" customFormat="1" ht="11.25" customHeight="1">
      <c r="A137" s="419">
        <v>66</v>
      </c>
      <c r="B137" s="149" t="s">
        <v>557</v>
      </c>
      <c r="C137" s="421" t="s">
        <v>732</v>
      </c>
      <c r="D137" s="421">
        <v>700</v>
      </c>
      <c r="E137" s="423">
        <v>31923</v>
      </c>
      <c r="F137" s="437" t="s">
        <v>733</v>
      </c>
      <c r="G137" s="300" t="s">
        <v>560</v>
      </c>
      <c r="H137" s="286"/>
      <c r="I137" s="301"/>
      <c r="J137" s="286">
        <v>1304</v>
      </c>
      <c r="K137" s="286">
        <v>1828</v>
      </c>
      <c r="L137" s="286">
        <v>1828</v>
      </c>
      <c r="M137" s="286">
        <v>1828</v>
      </c>
      <c r="N137" s="286">
        <v>1828</v>
      </c>
      <c r="O137" s="286">
        <v>1828</v>
      </c>
      <c r="P137" s="286">
        <v>1828</v>
      </c>
      <c r="Q137" s="286">
        <v>1828</v>
      </c>
      <c r="R137" s="286">
        <v>1828</v>
      </c>
      <c r="S137" s="286">
        <v>1828</v>
      </c>
      <c r="T137" s="286">
        <v>1828</v>
      </c>
      <c r="U137" s="286">
        <v>1828</v>
      </c>
      <c r="V137" s="286">
        <v>1828</v>
      </c>
      <c r="W137" s="287">
        <v>8683</v>
      </c>
      <c r="X137" s="151">
        <f t="shared" si="6"/>
        <v>31923</v>
      </c>
    </row>
    <row r="138" spans="1:24" s="185" customFormat="1" ht="11.25">
      <c r="A138" s="420"/>
      <c r="B138" s="153" t="s">
        <v>734</v>
      </c>
      <c r="C138" s="422"/>
      <c r="D138" s="422"/>
      <c r="E138" s="424"/>
      <c r="F138" s="430"/>
      <c r="G138" s="182">
        <v>0.02918</v>
      </c>
      <c r="H138" s="289">
        <f>1075-100</f>
        <v>975</v>
      </c>
      <c r="I138" s="289">
        <v>1465</v>
      </c>
      <c r="J138" s="289">
        <v>1615</v>
      </c>
      <c r="K138" s="289">
        <v>1540</v>
      </c>
      <c r="L138" s="289">
        <v>870</v>
      </c>
      <c r="M138" s="289">
        <v>815</v>
      </c>
      <c r="N138" s="289">
        <v>760</v>
      </c>
      <c r="O138" s="289">
        <v>700</v>
      </c>
      <c r="P138" s="289">
        <v>645</v>
      </c>
      <c r="Q138" s="289">
        <v>595</v>
      </c>
      <c r="R138" s="289">
        <v>535</v>
      </c>
      <c r="S138" s="289">
        <v>480</v>
      </c>
      <c r="T138" s="289">
        <v>425</v>
      </c>
      <c r="U138" s="289">
        <v>370</v>
      </c>
      <c r="V138" s="289">
        <v>315</v>
      </c>
      <c r="W138" s="290">
        <v>725</v>
      </c>
      <c r="X138" s="156">
        <f t="shared" si="6"/>
        <v>12830</v>
      </c>
    </row>
    <row r="139" spans="1:24" s="185" customFormat="1" ht="16.5" customHeight="1">
      <c r="A139" s="419">
        <v>67</v>
      </c>
      <c r="B139" s="149" t="s">
        <v>557</v>
      </c>
      <c r="C139" s="421" t="s">
        <v>735</v>
      </c>
      <c r="D139" s="421">
        <v>701</v>
      </c>
      <c r="E139" s="423">
        <v>281777</v>
      </c>
      <c r="F139" s="437" t="s">
        <v>733</v>
      </c>
      <c r="G139" s="300" t="s">
        <v>560</v>
      </c>
      <c r="H139" s="286"/>
      <c r="I139" s="301"/>
      <c r="J139" s="286">
        <v>8149</v>
      </c>
      <c r="K139" s="286">
        <v>16336</v>
      </c>
      <c r="L139" s="286">
        <v>16336</v>
      </c>
      <c r="M139" s="286">
        <v>16336</v>
      </c>
      <c r="N139" s="286">
        <v>16336</v>
      </c>
      <c r="O139" s="286">
        <v>16336</v>
      </c>
      <c r="P139" s="286">
        <v>16336</v>
      </c>
      <c r="Q139" s="286">
        <v>16336</v>
      </c>
      <c r="R139" s="286">
        <v>16336</v>
      </c>
      <c r="S139" s="286">
        <v>16336</v>
      </c>
      <c r="T139" s="286">
        <v>16336</v>
      </c>
      <c r="U139" s="286">
        <v>16336</v>
      </c>
      <c r="V139" s="286">
        <v>16336</v>
      </c>
      <c r="W139" s="287">
        <v>77596</v>
      </c>
      <c r="X139" s="151">
        <f t="shared" si="6"/>
        <v>281777</v>
      </c>
    </row>
    <row r="140" spans="1:24" s="185" customFormat="1" ht="15" customHeight="1">
      <c r="A140" s="420"/>
      <c r="B140" s="153" t="s">
        <v>736</v>
      </c>
      <c r="C140" s="422"/>
      <c r="D140" s="422"/>
      <c r="E140" s="424"/>
      <c r="F140" s="430"/>
      <c r="G140" s="182">
        <v>0.02918</v>
      </c>
      <c r="H140" s="289">
        <f>9480-580</f>
        <v>8900</v>
      </c>
      <c r="I140" s="289">
        <v>12895</v>
      </c>
      <c r="J140" s="289">
        <v>14280</v>
      </c>
      <c r="K140" s="289">
        <v>13745</v>
      </c>
      <c r="L140" s="289">
        <v>7750</v>
      </c>
      <c r="M140" s="289">
        <v>7275</v>
      </c>
      <c r="N140" s="289">
        <v>6760</v>
      </c>
      <c r="O140" s="289">
        <v>6260</v>
      </c>
      <c r="P140" s="289">
        <v>5765</v>
      </c>
      <c r="Q140" s="289">
        <v>5280</v>
      </c>
      <c r="R140" s="289">
        <v>4770</v>
      </c>
      <c r="S140" s="289">
        <v>4275</v>
      </c>
      <c r="T140" s="289">
        <v>3775</v>
      </c>
      <c r="U140" s="289">
        <v>3290</v>
      </c>
      <c r="V140" s="289">
        <v>2785</v>
      </c>
      <c r="W140" s="290">
        <v>6455</v>
      </c>
      <c r="X140" s="156">
        <f t="shared" si="6"/>
        <v>114260</v>
      </c>
    </row>
    <row r="141" spans="1:24" s="185" customFormat="1" ht="11.25" customHeight="1">
      <c r="A141" s="419">
        <v>68</v>
      </c>
      <c r="B141" s="149" t="s">
        <v>557</v>
      </c>
      <c r="C141" s="421" t="s">
        <v>338</v>
      </c>
      <c r="D141" s="421">
        <v>703</v>
      </c>
      <c r="E141" s="459">
        <v>1917761</v>
      </c>
      <c r="F141" s="461" t="s">
        <v>737</v>
      </c>
      <c r="G141" s="300" t="s">
        <v>560</v>
      </c>
      <c r="H141" s="286">
        <v>0</v>
      </c>
      <c r="I141" s="286">
        <v>6000</v>
      </c>
      <c r="J141" s="286">
        <v>10000</v>
      </c>
      <c r="K141" s="286">
        <v>25000</v>
      </c>
      <c r="L141" s="286">
        <v>58716</v>
      </c>
      <c r="M141" s="286">
        <v>89484</v>
      </c>
      <c r="N141" s="286">
        <v>89484</v>
      </c>
      <c r="O141" s="286">
        <v>89484</v>
      </c>
      <c r="P141" s="286">
        <v>89484</v>
      </c>
      <c r="Q141" s="286">
        <v>80130</v>
      </c>
      <c r="R141" s="286">
        <v>70768</v>
      </c>
      <c r="S141" s="286">
        <v>70768</v>
      </c>
      <c r="T141" s="286">
        <v>70768</v>
      </c>
      <c r="U141" s="286">
        <v>70768</v>
      </c>
      <c r="V141" s="286">
        <v>70768</v>
      </c>
      <c r="W141" s="287">
        <v>1026139</v>
      </c>
      <c r="X141" s="151">
        <f t="shared" si="6"/>
        <v>1917761</v>
      </c>
    </row>
    <row r="142" spans="1:24" s="185" customFormat="1" ht="11.25">
      <c r="A142" s="420"/>
      <c r="B142" s="153" t="s">
        <v>738</v>
      </c>
      <c r="C142" s="422"/>
      <c r="D142" s="422"/>
      <c r="E142" s="460"/>
      <c r="F142" s="462"/>
      <c r="G142" s="182">
        <v>0.04095</v>
      </c>
      <c r="H142" s="289">
        <f>54795+4950</f>
        <v>59745</v>
      </c>
      <c r="I142" s="289">
        <v>87700</v>
      </c>
      <c r="J142" s="289">
        <v>96835</v>
      </c>
      <c r="K142" s="289">
        <v>96225</v>
      </c>
      <c r="L142" s="289">
        <v>56765</v>
      </c>
      <c r="M142" s="289">
        <v>54980</v>
      </c>
      <c r="N142" s="289">
        <v>52160</v>
      </c>
      <c r="O142" s="289">
        <v>49440</v>
      </c>
      <c r="P142" s="289">
        <v>46715</v>
      </c>
      <c r="Q142" s="289">
        <v>44120</v>
      </c>
      <c r="R142" s="289">
        <v>41645</v>
      </c>
      <c r="S142" s="289">
        <v>39495</v>
      </c>
      <c r="T142" s="289">
        <v>37340</v>
      </c>
      <c r="U142" s="289">
        <v>35285</v>
      </c>
      <c r="V142" s="289">
        <v>33035</v>
      </c>
      <c r="W142" s="290">
        <v>237355</v>
      </c>
      <c r="X142" s="156">
        <f t="shared" si="6"/>
        <v>1068840</v>
      </c>
    </row>
    <row r="143" spans="1:24" s="185" customFormat="1" ht="11.25" customHeight="1">
      <c r="A143" s="419">
        <v>69</v>
      </c>
      <c r="B143" s="149" t="s">
        <v>557</v>
      </c>
      <c r="C143" s="455" t="s">
        <v>739</v>
      </c>
      <c r="D143" s="421">
        <v>704</v>
      </c>
      <c r="E143" s="459">
        <v>233148</v>
      </c>
      <c r="F143" s="461" t="s">
        <v>740</v>
      </c>
      <c r="G143" s="300" t="s">
        <v>560</v>
      </c>
      <c r="H143" s="286">
        <v>0</v>
      </c>
      <c r="I143" s="286">
        <v>0</v>
      </c>
      <c r="J143" s="286">
        <v>5208</v>
      </c>
      <c r="K143" s="286">
        <v>10480</v>
      </c>
      <c r="L143" s="286">
        <v>10480</v>
      </c>
      <c r="M143" s="286">
        <v>10480</v>
      </c>
      <c r="N143" s="286">
        <v>10480</v>
      </c>
      <c r="O143" s="286">
        <v>10480</v>
      </c>
      <c r="P143" s="286">
        <v>10480</v>
      </c>
      <c r="Q143" s="286">
        <v>10480</v>
      </c>
      <c r="R143" s="286">
        <v>10480</v>
      </c>
      <c r="S143" s="286">
        <v>10480</v>
      </c>
      <c r="T143" s="286">
        <v>10480</v>
      </c>
      <c r="U143" s="286">
        <v>10480</v>
      </c>
      <c r="V143" s="286">
        <v>10480</v>
      </c>
      <c r="W143" s="286">
        <v>102180</v>
      </c>
      <c r="X143" s="151">
        <f t="shared" si="6"/>
        <v>233148</v>
      </c>
    </row>
    <row r="144" spans="1:24" s="185" customFormat="1" ht="11.25">
      <c r="A144" s="420"/>
      <c r="B144" s="153" t="s">
        <v>741</v>
      </c>
      <c r="C144" s="456"/>
      <c r="D144" s="422"/>
      <c r="E144" s="460"/>
      <c r="F144" s="462"/>
      <c r="G144" s="182">
        <v>0.04429</v>
      </c>
      <c r="H144" s="289">
        <f>10470-1980</f>
        <v>8490</v>
      </c>
      <c r="I144" s="289">
        <v>10670</v>
      </c>
      <c r="J144" s="289">
        <v>11820</v>
      </c>
      <c r="K144" s="289">
        <v>11475</v>
      </c>
      <c r="L144" s="289">
        <v>6570</v>
      </c>
      <c r="M144" s="289">
        <v>6265</v>
      </c>
      <c r="N144" s="289">
        <v>5930</v>
      </c>
      <c r="O144" s="289">
        <v>5610</v>
      </c>
      <c r="P144" s="289">
        <v>5295</v>
      </c>
      <c r="Q144" s="289">
        <v>4990</v>
      </c>
      <c r="R144" s="289">
        <v>4655</v>
      </c>
      <c r="S144" s="289">
        <v>4335</v>
      </c>
      <c r="T144" s="289">
        <v>4015</v>
      </c>
      <c r="U144" s="289">
        <v>3710</v>
      </c>
      <c r="V144" s="289">
        <v>3380</v>
      </c>
      <c r="W144" s="289">
        <v>16255</v>
      </c>
      <c r="X144" s="156">
        <f t="shared" si="6"/>
        <v>113465</v>
      </c>
    </row>
    <row r="145" spans="1:24" s="185" customFormat="1" ht="11.25" customHeight="1">
      <c r="A145" s="419">
        <v>70</v>
      </c>
      <c r="B145" s="149" t="s">
        <v>557</v>
      </c>
      <c r="C145" s="455" t="s">
        <v>742</v>
      </c>
      <c r="D145" s="421">
        <v>705</v>
      </c>
      <c r="E145" s="459">
        <v>61747</v>
      </c>
      <c r="F145" s="461" t="s">
        <v>743</v>
      </c>
      <c r="G145" s="300" t="s">
        <v>560</v>
      </c>
      <c r="H145" s="286"/>
      <c r="I145" s="286">
        <v>7032</v>
      </c>
      <c r="J145" s="286">
        <v>7060</v>
      </c>
      <c r="K145" s="286">
        <v>7060</v>
      </c>
      <c r="L145" s="286">
        <v>7060</v>
      </c>
      <c r="M145" s="286">
        <v>7060</v>
      </c>
      <c r="N145" s="286">
        <v>7060</v>
      </c>
      <c r="O145" s="286">
        <v>7060</v>
      </c>
      <c r="P145" s="286">
        <v>7060</v>
      </c>
      <c r="Q145" s="286">
        <v>5295</v>
      </c>
      <c r="R145" s="286"/>
      <c r="S145" s="286"/>
      <c r="T145" s="286"/>
      <c r="U145" s="286"/>
      <c r="V145" s="286"/>
      <c r="W145" s="286"/>
      <c r="X145" s="151">
        <f t="shared" si="6"/>
        <v>61747</v>
      </c>
    </row>
    <row r="146" spans="1:24" s="185" customFormat="1" ht="11.25">
      <c r="A146" s="420"/>
      <c r="B146" s="153" t="s">
        <v>744</v>
      </c>
      <c r="C146" s="456"/>
      <c r="D146" s="422"/>
      <c r="E146" s="460"/>
      <c r="F146" s="462"/>
      <c r="G146" s="182">
        <v>0.03829</v>
      </c>
      <c r="H146" s="289">
        <f>2400-300</f>
        <v>2100</v>
      </c>
      <c r="I146" s="289">
        <v>2455</v>
      </c>
      <c r="J146" s="289">
        <v>2720</v>
      </c>
      <c r="K146" s="289">
        <v>2365</v>
      </c>
      <c r="L146" s="289">
        <v>1205</v>
      </c>
      <c r="M146" s="289">
        <v>990</v>
      </c>
      <c r="N146" s="289">
        <v>775</v>
      </c>
      <c r="O146" s="289">
        <v>560</v>
      </c>
      <c r="P146" s="289">
        <v>345</v>
      </c>
      <c r="Q146" s="289">
        <v>130</v>
      </c>
      <c r="R146" s="289"/>
      <c r="S146" s="289"/>
      <c r="T146" s="289"/>
      <c r="U146" s="289"/>
      <c r="V146" s="289"/>
      <c r="W146" s="289"/>
      <c r="X146" s="156">
        <f t="shared" si="6"/>
        <v>13645</v>
      </c>
    </row>
    <row r="147" spans="1:24" s="185" customFormat="1" ht="11.25" customHeight="1">
      <c r="A147" s="419">
        <v>71</v>
      </c>
      <c r="B147" s="149" t="s">
        <v>557</v>
      </c>
      <c r="C147" s="455" t="s">
        <v>745</v>
      </c>
      <c r="D147" s="421">
        <v>706</v>
      </c>
      <c r="E147" s="459">
        <v>86370</v>
      </c>
      <c r="F147" s="461" t="s">
        <v>743</v>
      </c>
      <c r="G147" s="300" t="s">
        <v>560</v>
      </c>
      <c r="H147" s="286"/>
      <c r="I147" s="286">
        <v>9862</v>
      </c>
      <c r="J147" s="286">
        <v>9872</v>
      </c>
      <c r="K147" s="286">
        <v>9872</v>
      </c>
      <c r="L147" s="286">
        <v>9872</v>
      </c>
      <c r="M147" s="286">
        <v>9872</v>
      </c>
      <c r="N147" s="286">
        <v>9872</v>
      </c>
      <c r="O147" s="286">
        <v>9872</v>
      </c>
      <c r="P147" s="286">
        <v>9872</v>
      </c>
      <c r="Q147" s="286">
        <v>7404</v>
      </c>
      <c r="R147" s="286"/>
      <c r="S147" s="286"/>
      <c r="T147" s="286"/>
      <c r="U147" s="286"/>
      <c r="V147" s="286"/>
      <c r="W147" s="286"/>
      <c r="X147" s="151">
        <f t="shared" si="6"/>
        <v>86370</v>
      </c>
    </row>
    <row r="148" spans="1:24" s="185" customFormat="1" ht="11.25">
      <c r="A148" s="420"/>
      <c r="B148" s="153" t="s">
        <v>746</v>
      </c>
      <c r="C148" s="456"/>
      <c r="D148" s="422"/>
      <c r="E148" s="460"/>
      <c r="F148" s="462"/>
      <c r="G148" s="182">
        <v>0.03829</v>
      </c>
      <c r="H148" s="289">
        <f>3355-465</f>
        <v>2890</v>
      </c>
      <c r="I148" s="289">
        <v>3430</v>
      </c>
      <c r="J148" s="289">
        <v>3805</v>
      </c>
      <c r="K148" s="289">
        <v>3305</v>
      </c>
      <c r="L148" s="289">
        <v>1685</v>
      </c>
      <c r="M148" s="289">
        <v>1385</v>
      </c>
      <c r="N148" s="289">
        <v>1080</v>
      </c>
      <c r="O148" s="289">
        <v>780</v>
      </c>
      <c r="P148" s="289">
        <v>480</v>
      </c>
      <c r="Q148" s="289">
        <v>180</v>
      </c>
      <c r="R148" s="289"/>
      <c r="S148" s="289"/>
      <c r="T148" s="289"/>
      <c r="U148" s="289"/>
      <c r="V148" s="289"/>
      <c r="W148" s="289"/>
      <c r="X148" s="156">
        <f t="shared" si="6"/>
        <v>19020</v>
      </c>
    </row>
    <row r="149" spans="1:24" s="185" customFormat="1" ht="11.25" customHeight="1">
      <c r="A149" s="419">
        <v>72</v>
      </c>
      <c r="B149" s="149" t="s">
        <v>557</v>
      </c>
      <c r="C149" s="455" t="s">
        <v>747</v>
      </c>
      <c r="D149" s="421">
        <v>707</v>
      </c>
      <c r="E149" s="459">
        <v>59840</v>
      </c>
      <c r="F149" s="461" t="s">
        <v>743</v>
      </c>
      <c r="G149" s="300" t="s">
        <v>560</v>
      </c>
      <c r="H149" s="286"/>
      <c r="I149" s="286">
        <v>6830</v>
      </c>
      <c r="J149" s="286">
        <v>6840</v>
      </c>
      <c r="K149" s="286">
        <v>6840</v>
      </c>
      <c r="L149" s="286">
        <v>6840</v>
      </c>
      <c r="M149" s="286">
        <v>6840</v>
      </c>
      <c r="N149" s="286">
        <v>6840</v>
      </c>
      <c r="O149" s="286">
        <v>6840</v>
      </c>
      <c r="P149" s="286">
        <v>6840</v>
      </c>
      <c r="Q149" s="286">
        <v>5130</v>
      </c>
      <c r="R149" s="286"/>
      <c r="S149" s="286"/>
      <c r="T149" s="286"/>
      <c r="U149" s="286"/>
      <c r="V149" s="286"/>
      <c r="W149" s="286"/>
      <c r="X149" s="151">
        <f t="shared" si="6"/>
        <v>59840</v>
      </c>
    </row>
    <row r="150" spans="1:24" s="185" customFormat="1" ht="11.25">
      <c r="A150" s="420"/>
      <c r="B150" s="153" t="s">
        <v>748</v>
      </c>
      <c r="C150" s="456"/>
      <c r="D150" s="422"/>
      <c r="E150" s="460"/>
      <c r="F150" s="462"/>
      <c r="G150" s="182">
        <v>0.03829</v>
      </c>
      <c r="H150" s="289">
        <f>2325-335</f>
        <v>1990</v>
      </c>
      <c r="I150" s="289">
        <v>2380</v>
      </c>
      <c r="J150" s="289">
        <v>2635</v>
      </c>
      <c r="K150" s="289">
        <v>2290</v>
      </c>
      <c r="L150" s="289">
        <v>1165</v>
      </c>
      <c r="M150" s="289">
        <v>960</v>
      </c>
      <c r="N150" s="289">
        <v>750</v>
      </c>
      <c r="O150" s="289">
        <v>545</v>
      </c>
      <c r="P150" s="289">
        <v>335</v>
      </c>
      <c r="Q150" s="289">
        <v>125</v>
      </c>
      <c r="R150" s="289"/>
      <c r="S150" s="289"/>
      <c r="T150" s="289"/>
      <c r="U150" s="289"/>
      <c r="V150" s="289"/>
      <c r="W150" s="289"/>
      <c r="X150" s="156">
        <f t="shared" si="6"/>
        <v>13175</v>
      </c>
    </row>
    <row r="151" spans="1:24" s="185" customFormat="1" ht="11.25" customHeight="1">
      <c r="A151" s="419">
        <v>73</v>
      </c>
      <c r="B151" s="149" t="s">
        <v>557</v>
      </c>
      <c r="C151" s="455" t="s">
        <v>749</v>
      </c>
      <c r="D151" s="421">
        <v>708</v>
      </c>
      <c r="E151" s="459">
        <v>94375</v>
      </c>
      <c r="F151" s="461" t="s">
        <v>743</v>
      </c>
      <c r="G151" s="300" t="s">
        <v>560</v>
      </c>
      <c r="H151" s="286"/>
      <c r="I151" s="301">
        <v>10768</v>
      </c>
      <c r="J151" s="301">
        <v>10788</v>
      </c>
      <c r="K151" s="301">
        <v>10788</v>
      </c>
      <c r="L151" s="301">
        <v>10788</v>
      </c>
      <c r="M151" s="301">
        <v>10788</v>
      </c>
      <c r="N151" s="301">
        <v>10788</v>
      </c>
      <c r="O151" s="301">
        <v>10788</v>
      </c>
      <c r="P151" s="301">
        <v>10788</v>
      </c>
      <c r="Q151" s="301">
        <v>8091</v>
      </c>
      <c r="R151" s="286"/>
      <c r="S151" s="286"/>
      <c r="T151" s="286"/>
      <c r="U151" s="286"/>
      <c r="V151" s="286"/>
      <c r="W151" s="286"/>
      <c r="X151" s="151">
        <f t="shared" si="6"/>
        <v>94375</v>
      </c>
    </row>
    <row r="152" spans="1:24" s="185" customFormat="1" ht="11.25">
      <c r="A152" s="420"/>
      <c r="B152" s="153" t="s">
        <v>750</v>
      </c>
      <c r="C152" s="456"/>
      <c r="D152" s="422"/>
      <c r="E152" s="460"/>
      <c r="F152" s="462"/>
      <c r="G152" s="182">
        <v>0.03829</v>
      </c>
      <c r="H152" s="289">
        <f>3665-480</f>
        <v>3185</v>
      </c>
      <c r="I152" s="289">
        <v>3750</v>
      </c>
      <c r="J152" s="289">
        <v>4155</v>
      </c>
      <c r="K152" s="289">
        <v>3610</v>
      </c>
      <c r="L152" s="289">
        <v>1840</v>
      </c>
      <c r="M152" s="289">
        <v>1515</v>
      </c>
      <c r="N152" s="289">
        <v>1180</v>
      </c>
      <c r="O152" s="289">
        <v>855</v>
      </c>
      <c r="P152" s="289">
        <v>525</v>
      </c>
      <c r="Q152" s="289">
        <v>200</v>
      </c>
      <c r="R152" s="289"/>
      <c r="S152" s="289"/>
      <c r="T152" s="289"/>
      <c r="U152" s="289"/>
      <c r="V152" s="289"/>
      <c r="W152" s="289"/>
      <c r="X152" s="156">
        <f t="shared" si="6"/>
        <v>20815</v>
      </c>
    </row>
    <row r="153" spans="1:24" s="185" customFormat="1" ht="18" customHeight="1">
      <c r="A153" s="419">
        <v>74</v>
      </c>
      <c r="B153" s="149" t="s">
        <v>557</v>
      </c>
      <c r="C153" s="455" t="s">
        <v>751</v>
      </c>
      <c r="D153" s="455">
        <v>709</v>
      </c>
      <c r="E153" s="459">
        <v>59072</v>
      </c>
      <c r="F153" s="461" t="s">
        <v>752</v>
      </c>
      <c r="G153" s="300" t="s">
        <v>560</v>
      </c>
      <c r="H153" s="286"/>
      <c r="I153" s="286">
        <v>14768</v>
      </c>
      <c r="J153" s="286">
        <v>14768</v>
      </c>
      <c r="K153" s="286">
        <v>14768</v>
      </c>
      <c r="L153" s="286">
        <v>14768</v>
      </c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7"/>
      <c r="X153" s="151">
        <f t="shared" si="6"/>
        <v>59072</v>
      </c>
    </row>
    <row r="154" spans="1:24" s="185" customFormat="1" ht="16.5" customHeight="1">
      <c r="A154" s="420"/>
      <c r="B154" s="153" t="s">
        <v>753</v>
      </c>
      <c r="C154" s="456"/>
      <c r="D154" s="456"/>
      <c r="E154" s="460"/>
      <c r="F154" s="462"/>
      <c r="G154" s="182">
        <v>0.04235</v>
      </c>
      <c r="H154" s="289">
        <f>2540-425</f>
        <v>2115</v>
      </c>
      <c r="I154" s="289">
        <v>1995</v>
      </c>
      <c r="J154" s="289">
        <v>2135</v>
      </c>
      <c r="K154" s="289">
        <v>1385</v>
      </c>
      <c r="L154" s="289">
        <v>635</v>
      </c>
      <c r="M154" s="289">
        <v>45</v>
      </c>
      <c r="N154" s="289"/>
      <c r="O154" s="289"/>
      <c r="P154" s="289"/>
      <c r="Q154" s="289"/>
      <c r="R154" s="289"/>
      <c r="S154" s="289"/>
      <c r="T154" s="289"/>
      <c r="U154" s="289"/>
      <c r="V154" s="289"/>
      <c r="W154" s="290"/>
      <c r="X154" s="156">
        <f t="shared" si="6"/>
        <v>8310</v>
      </c>
    </row>
    <row r="155" spans="1:24" s="185" customFormat="1" ht="17.25" customHeight="1">
      <c r="A155" s="419">
        <v>75</v>
      </c>
      <c r="B155" s="149" t="s">
        <v>557</v>
      </c>
      <c r="C155" s="455" t="s">
        <v>985</v>
      </c>
      <c r="D155" s="455">
        <v>710</v>
      </c>
      <c r="E155" s="459">
        <v>680163</v>
      </c>
      <c r="F155" s="461" t="s">
        <v>754</v>
      </c>
      <c r="G155" s="300" t="s">
        <v>560</v>
      </c>
      <c r="H155" s="286"/>
      <c r="I155" s="286">
        <v>11859</v>
      </c>
      <c r="J155" s="286">
        <v>23868</v>
      </c>
      <c r="K155" s="286">
        <v>23868</v>
      </c>
      <c r="L155" s="286">
        <v>23868</v>
      </c>
      <c r="M155" s="286">
        <v>23868</v>
      </c>
      <c r="N155" s="286">
        <v>23868</v>
      </c>
      <c r="O155" s="286">
        <v>23868</v>
      </c>
      <c r="P155" s="286">
        <v>23868</v>
      </c>
      <c r="Q155" s="286">
        <v>23868</v>
      </c>
      <c r="R155" s="286">
        <v>23868</v>
      </c>
      <c r="S155" s="286">
        <v>23868</v>
      </c>
      <c r="T155" s="286">
        <v>23868</v>
      </c>
      <c r="U155" s="286">
        <v>23868</v>
      </c>
      <c r="V155" s="286">
        <v>23868</v>
      </c>
      <c r="W155" s="287">
        <v>358020</v>
      </c>
      <c r="X155" s="151">
        <f t="shared" si="6"/>
        <v>680163</v>
      </c>
    </row>
    <row r="156" spans="1:24" s="185" customFormat="1" ht="15.75" customHeight="1">
      <c r="A156" s="420"/>
      <c r="B156" s="153" t="s">
        <v>755</v>
      </c>
      <c r="C156" s="456"/>
      <c r="D156" s="456"/>
      <c r="E156" s="460"/>
      <c r="F156" s="462"/>
      <c r="G156" s="182">
        <v>0.05292</v>
      </c>
      <c r="H156" s="289">
        <f>28460-460</f>
        <v>28000</v>
      </c>
      <c r="I156" s="289">
        <v>34570</v>
      </c>
      <c r="J156" s="289">
        <v>33695</v>
      </c>
      <c r="K156" s="289">
        <v>32485</v>
      </c>
      <c r="L156" s="289">
        <v>18765</v>
      </c>
      <c r="M156" s="289">
        <v>18090</v>
      </c>
      <c r="N156" s="289">
        <v>17315</v>
      </c>
      <c r="O156" s="289">
        <v>16590</v>
      </c>
      <c r="P156" s="289">
        <v>15860</v>
      </c>
      <c r="Q156" s="289">
        <v>15180</v>
      </c>
      <c r="R156" s="289">
        <v>14410</v>
      </c>
      <c r="S156" s="289">
        <v>13685</v>
      </c>
      <c r="T156" s="289">
        <v>13000</v>
      </c>
      <c r="U156" s="289">
        <v>12265</v>
      </c>
      <c r="V156" s="289">
        <v>11505</v>
      </c>
      <c r="W156" s="290">
        <v>85500</v>
      </c>
      <c r="X156" s="156">
        <f t="shared" si="6"/>
        <v>380915</v>
      </c>
    </row>
    <row r="157" spans="1:24" s="185" customFormat="1" ht="11.25" customHeight="1">
      <c r="A157" s="419">
        <v>76</v>
      </c>
      <c r="B157" s="149" t="s">
        <v>557</v>
      </c>
      <c r="C157" s="455" t="s">
        <v>793</v>
      </c>
      <c r="D157" s="455">
        <v>711</v>
      </c>
      <c r="E157" s="459">
        <v>1581646</v>
      </c>
      <c r="F157" s="461" t="s">
        <v>794</v>
      </c>
      <c r="G157" s="300" t="s">
        <v>560</v>
      </c>
      <c r="H157" s="286"/>
      <c r="I157" s="286">
        <v>114788</v>
      </c>
      <c r="J157" s="286">
        <v>153112</v>
      </c>
      <c r="K157" s="286">
        <v>153112</v>
      </c>
      <c r="L157" s="286">
        <v>153112</v>
      </c>
      <c r="M157" s="286">
        <v>93802</v>
      </c>
      <c r="N157" s="286">
        <v>74032</v>
      </c>
      <c r="O157" s="286">
        <v>74032</v>
      </c>
      <c r="P157" s="286">
        <v>74032</v>
      </c>
      <c r="Q157" s="286">
        <v>74032</v>
      </c>
      <c r="R157" s="286">
        <v>40975</v>
      </c>
      <c r="S157" s="286">
        <v>29956</v>
      </c>
      <c r="T157" s="286">
        <v>29956</v>
      </c>
      <c r="U157" s="286">
        <v>29956</v>
      </c>
      <c r="V157" s="286">
        <v>29956</v>
      </c>
      <c r="W157" s="287">
        <v>456793</v>
      </c>
      <c r="X157" s="151">
        <f>SUM(H157:W157)</f>
        <v>1581646</v>
      </c>
    </row>
    <row r="158" spans="1:24" s="185" customFormat="1" ht="11.25">
      <c r="A158" s="420"/>
      <c r="B158" s="153" t="s">
        <v>795</v>
      </c>
      <c r="C158" s="456"/>
      <c r="D158" s="456"/>
      <c r="E158" s="460"/>
      <c r="F158" s="462"/>
      <c r="G158" s="182">
        <v>0.05486</v>
      </c>
      <c r="H158" s="289">
        <v>44185</v>
      </c>
      <c r="I158" s="289">
        <v>86780</v>
      </c>
      <c r="J158" s="289">
        <v>71450</v>
      </c>
      <c r="K158" s="289">
        <v>63690</v>
      </c>
      <c r="L158" s="289">
        <v>33555</v>
      </c>
      <c r="M158" s="289">
        <v>29435</v>
      </c>
      <c r="N158" s="289">
        <v>26950</v>
      </c>
      <c r="O158" s="289">
        <v>24700</v>
      </c>
      <c r="P158" s="289">
        <v>22445</v>
      </c>
      <c r="Q158" s="289">
        <v>20250</v>
      </c>
      <c r="R158" s="289">
        <v>18195</v>
      </c>
      <c r="S158" s="289">
        <v>17200</v>
      </c>
      <c r="T158" s="289">
        <v>16290</v>
      </c>
      <c r="U158" s="289">
        <v>15420</v>
      </c>
      <c r="V158" s="289">
        <v>14465</v>
      </c>
      <c r="W158" s="290">
        <v>107740</v>
      </c>
      <c r="X158" s="156">
        <f t="shared" si="6"/>
        <v>612750</v>
      </c>
    </row>
    <row r="159" spans="1:24" s="185" customFormat="1" ht="15" customHeight="1">
      <c r="A159" s="463">
        <v>77</v>
      </c>
      <c r="B159" s="149" t="s">
        <v>557</v>
      </c>
      <c r="C159" s="455" t="s">
        <v>756</v>
      </c>
      <c r="D159" s="455">
        <v>712</v>
      </c>
      <c r="E159" s="459">
        <v>149102</v>
      </c>
      <c r="F159" s="461" t="s">
        <v>806</v>
      </c>
      <c r="G159" s="323" t="s">
        <v>560</v>
      </c>
      <c r="H159" s="150"/>
      <c r="I159" s="150">
        <v>16120</v>
      </c>
      <c r="J159" s="150">
        <v>16120</v>
      </c>
      <c r="K159" s="150">
        <v>16120</v>
      </c>
      <c r="L159" s="150">
        <v>16120</v>
      </c>
      <c r="M159" s="150">
        <v>16120</v>
      </c>
      <c r="N159" s="150">
        <v>16120</v>
      </c>
      <c r="O159" s="150">
        <v>16120</v>
      </c>
      <c r="P159" s="150">
        <v>16120</v>
      </c>
      <c r="Q159" s="150">
        <v>16120</v>
      </c>
      <c r="R159" s="150">
        <v>4022</v>
      </c>
      <c r="S159" s="150"/>
      <c r="T159" s="150"/>
      <c r="U159" s="150"/>
      <c r="V159" s="150"/>
      <c r="W159" s="324"/>
      <c r="X159" s="151">
        <f aca="true" t="shared" si="7" ref="X159:X166">SUM(H159:W159)</f>
        <v>149102</v>
      </c>
    </row>
    <row r="160" spans="1:24" s="185" customFormat="1" ht="17.25" customHeight="1">
      <c r="A160" s="464"/>
      <c r="B160" s="153" t="s">
        <v>805</v>
      </c>
      <c r="C160" s="456"/>
      <c r="D160" s="456"/>
      <c r="E160" s="460"/>
      <c r="F160" s="462"/>
      <c r="G160" s="182">
        <v>0.04988</v>
      </c>
      <c r="H160" s="155">
        <v>3785</v>
      </c>
      <c r="I160" s="155">
        <v>7265</v>
      </c>
      <c r="J160" s="155">
        <v>6435</v>
      </c>
      <c r="K160" s="155">
        <v>5620</v>
      </c>
      <c r="L160" s="155">
        <v>2885</v>
      </c>
      <c r="M160" s="155">
        <v>2400</v>
      </c>
      <c r="N160" s="155">
        <v>1900</v>
      </c>
      <c r="O160" s="155">
        <v>1410</v>
      </c>
      <c r="P160" s="155">
        <v>920</v>
      </c>
      <c r="Q160" s="155">
        <v>430</v>
      </c>
      <c r="R160" s="155">
        <v>35</v>
      </c>
      <c r="S160" s="155"/>
      <c r="T160" s="155"/>
      <c r="U160" s="155"/>
      <c r="V160" s="155"/>
      <c r="W160" s="325"/>
      <c r="X160" s="156">
        <f t="shared" si="7"/>
        <v>33085</v>
      </c>
    </row>
    <row r="161" spans="1:24" s="322" customFormat="1" ht="18.75" customHeight="1">
      <c r="A161" s="419">
        <v>78</v>
      </c>
      <c r="B161" s="149" t="s">
        <v>557</v>
      </c>
      <c r="C161" s="455" t="s">
        <v>716</v>
      </c>
      <c r="D161" s="455">
        <v>713</v>
      </c>
      <c r="E161" s="459">
        <v>26000</v>
      </c>
      <c r="F161" s="461" t="s">
        <v>808</v>
      </c>
      <c r="G161" s="323" t="s">
        <v>560</v>
      </c>
      <c r="H161" s="150"/>
      <c r="I161" s="150">
        <v>6120</v>
      </c>
      <c r="J161" s="150">
        <v>6120</v>
      </c>
      <c r="K161" s="150">
        <v>6120</v>
      </c>
      <c r="L161" s="150">
        <v>6120</v>
      </c>
      <c r="M161" s="150">
        <v>1520</v>
      </c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1">
        <f t="shared" si="7"/>
        <v>26000</v>
      </c>
    </row>
    <row r="162" spans="1:24" s="322" customFormat="1" ht="20.25" customHeight="1">
      <c r="A162" s="420"/>
      <c r="B162" s="153" t="s">
        <v>807</v>
      </c>
      <c r="C162" s="456"/>
      <c r="D162" s="456"/>
      <c r="E162" s="460"/>
      <c r="F162" s="462"/>
      <c r="G162" s="182">
        <v>0.04571</v>
      </c>
      <c r="H162" s="155">
        <v>605</v>
      </c>
      <c r="I162" s="155">
        <v>1095</v>
      </c>
      <c r="J162" s="155">
        <v>805</v>
      </c>
      <c r="K162" s="155">
        <v>525</v>
      </c>
      <c r="L162" s="155">
        <v>165</v>
      </c>
      <c r="M162" s="155">
        <v>15</v>
      </c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6">
        <f t="shared" si="7"/>
        <v>3210</v>
      </c>
    </row>
    <row r="163" spans="1:24" s="322" customFormat="1" ht="19.5" customHeight="1">
      <c r="A163" s="463">
        <v>79</v>
      </c>
      <c r="B163" s="149" t="s">
        <v>557</v>
      </c>
      <c r="C163" s="455" t="s">
        <v>810</v>
      </c>
      <c r="D163" s="455">
        <v>714</v>
      </c>
      <c r="E163" s="459">
        <v>132405</v>
      </c>
      <c r="F163" s="461" t="s">
        <v>812</v>
      </c>
      <c r="G163" s="323" t="s">
        <v>560</v>
      </c>
      <c r="H163" s="150"/>
      <c r="I163" s="150">
        <v>0</v>
      </c>
      <c r="J163" s="150">
        <v>0</v>
      </c>
      <c r="K163" s="150">
        <v>7676</v>
      </c>
      <c r="L163" s="150">
        <v>7676</v>
      </c>
      <c r="M163" s="150">
        <v>7676</v>
      </c>
      <c r="N163" s="150">
        <v>7676</v>
      </c>
      <c r="O163" s="150">
        <v>7676</v>
      </c>
      <c r="P163" s="150">
        <v>7676</v>
      </c>
      <c r="Q163" s="150">
        <v>7676</v>
      </c>
      <c r="R163" s="150">
        <v>7676</v>
      </c>
      <c r="S163" s="150">
        <v>7676</v>
      </c>
      <c r="T163" s="150">
        <v>7676</v>
      </c>
      <c r="U163" s="150">
        <v>7676</v>
      </c>
      <c r="V163" s="150">
        <v>7676</v>
      </c>
      <c r="W163" s="150">
        <v>40293</v>
      </c>
      <c r="X163" s="151">
        <f t="shared" si="7"/>
        <v>132405</v>
      </c>
    </row>
    <row r="164" spans="1:24" s="322" customFormat="1" ht="19.5" customHeight="1">
      <c r="A164" s="464"/>
      <c r="B164" s="153" t="s">
        <v>809</v>
      </c>
      <c r="C164" s="456"/>
      <c r="D164" s="456"/>
      <c r="E164" s="460"/>
      <c r="F164" s="462"/>
      <c r="G164" s="182">
        <v>0.05411</v>
      </c>
      <c r="H164" s="155">
        <v>3645</v>
      </c>
      <c r="I164" s="155">
        <v>7345</v>
      </c>
      <c r="J164" s="155">
        <v>6715</v>
      </c>
      <c r="K164" s="155">
        <v>6570</v>
      </c>
      <c r="L164" s="155">
        <v>3710</v>
      </c>
      <c r="M164" s="155">
        <v>3485</v>
      </c>
      <c r="N164" s="155">
        <v>3240</v>
      </c>
      <c r="O164" s="155">
        <v>3010</v>
      </c>
      <c r="P164" s="155">
        <v>2775</v>
      </c>
      <c r="Q164" s="155">
        <v>2550</v>
      </c>
      <c r="R164" s="155">
        <v>2310</v>
      </c>
      <c r="S164" s="155">
        <v>2075</v>
      </c>
      <c r="T164" s="155">
        <v>1840</v>
      </c>
      <c r="U164" s="155">
        <v>1610</v>
      </c>
      <c r="V164" s="155">
        <v>1375</v>
      </c>
      <c r="W164" s="155">
        <v>3375</v>
      </c>
      <c r="X164" s="156">
        <f t="shared" si="7"/>
        <v>55630</v>
      </c>
    </row>
    <row r="165" spans="1:24" s="322" customFormat="1" ht="19.5" customHeight="1">
      <c r="A165" s="463">
        <v>80</v>
      </c>
      <c r="B165" s="149" t="s">
        <v>557</v>
      </c>
      <c r="C165" s="455" t="s">
        <v>991</v>
      </c>
      <c r="D165" s="455">
        <v>715</v>
      </c>
      <c r="E165" s="459">
        <v>579626</v>
      </c>
      <c r="F165" s="461" t="s">
        <v>812</v>
      </c>
      <c r="G165" s="323" t="s">
        <v>560</v>
      </c>
      <c r="H165" s="150"/>
      <c r="I165" s="150"/>
      <c r="J165" s="150"/>
      <c r="K165" s="150">
        <v>33604</v>
      </c>
      <c r="L165" s="150">
        <v>33604</v>
      </c>
      <c r="M165" s="150">
        <v>33604</v>
      </c>
      <c r="N165" s="150">
        <v>33604</v>
      </c>
      <c r="O165" s="150">
        <v>33604</v>
      </c>
      <c r="P165" s="150">
        <v>33604</v>
      </c>
      <c r="Q165" s="150">
        <v>33604</v>
      </c>
      <c r="R165" s="150">
        <v>33604</v>
      </c>
      <c r="S165" s="150">
        <v>33604</v>
      </c>
      <c r="T165" s="150">
        <v>33604</v>
      </c>
      <c r="U165" s="150">
        <v>33604</v>
      </c>
      <c r="V165" s="150">
        <v>33604</v>
      </c>
      <c r="W165" s="150">
        <v>176378</v>
      </c>
      <c r="X165" s="151">
        <f t="shared" si="7"/>
        <v>579626</v>
      </c>
    </row>
    <row r="166" spans="1:24" s="322" customFormat="1" ht="19.5" customHeight="1">
      <c r="A166" s="464"/>
      <c r="B166" s="153" t="s">
        <v>811</v>
      </c>
      <c r="C166" s="456"/>
      <c r="D166" s="456"/>
      <c r="E166" s="460"/>
      <c r="F166" s="462"/>
      <c r="G166" s="182">
        <v>0.05411</v>
      </c>
      <c r="H166" s="155">
        <v>15945</v>
      </c>
      <c r="I166" s="155">
        <v>32150</v>
      </c>
      <c r="J166" s="155">
        <v>29385</v>
      </c>
      <c r="K166" s="155">
        <v>28745</v>
      </c>
      <c r="L166" s="155">
        <v>16225</v>
      </c>
      <c r="M166" s="155">
        <v>15245</v>
      </c>
      <c r="N166" s="155">
        <v>14185</v>
      </c>
      <c r="O166" s="155">
        <v>13160</v>
      </c>
      <c r="P166" s="155">
        <v>12140</v>
      </c>
      <c r="Q166" s="155">
        <v>11145</v>
      </c>
      <c r="R166" s="155">
        <v>10095</v>
      </c>
      <c r="S166" s="155">
        <v>9070</v>
      </c>
      <c r="T166" s="155">
        <v>8050</v>
      </c>
      <c r="U166" s="155">
        <v>7050</v>
      </c>
      <c r="V166" s="155">
        <v>6005</v>
      </c>
      <c r="W166" s="155">
        <v>14760</v>
      </c>
      <c r="X166" s="156">
        <f t="shared" si="7"/>
        <v>243355</v>
      </c>
    </row>
    <row r="167" spans="1:24" s="185" customFormat="1" ht="13.5" customHeight="1">
      <c r="A167" s="465"/>
      <c r="B167" s="200"/>
      <c r="C167" s="467" t="s">
        <v>758</v>
      </c>
      <c r="D167" s="467"/>
      <c r="E167" s="469">
        <v>215004</v>
      </c>
      <c r="F167" s="471" t="s">
        <v>757</v>
      </c>
      <c r="G167" s="192" t="s">
        <v>560</v>
      </c>
      <c r="H167" s="193"/>
      <c r="I167" s="193"/>
      <c r="J167" s="199"/>
      <c r="K167" s="193">
        <v>1500</v>
      </c>
      <c r="L167" s="193">
        <v>13140</v>
      </c>
      <c r="M167" s="193">
        <v>13140</v>
      </c>
      <c r="N167" s="193">
        <v>13140</v>
      </c>
      <c r="O167" s="193">
        <v>13140</v>
      </c>
      <c r="P167" s="193">
        <v>13140</v>
      </c>
      <c r="Q167" s="193">
        <v>13140</v>
      </c>
      <c r="R167" s="193">
        <v>13140</v>
      </c>
      <c r="S167" s="193">
        <v>13140</v>
      </c>
      <c r="T167" s="193">
        <v>13140</v>
      </c>
      <c r="U167" s="193">
        <v>13140</v>
      </c>
      <c r="V167" s="193">
        <v>13140</v>
      </c>
      <c r="W167" s="193">
        <v>68964</v>
      </c>
      <c r="X167" s="370">
        <f aca="true" t="shared" si="8" ref="X167:X184">SUM(H167:W167)</f>
        <v>215004</v>
      </c>
    </row>
    <row r="168" spans="1:24" s="185" customFormat="1" ht="14.25" customHeight="1">
      <c r="A168" s="466"/>
      <c r="B168" s="198"/>
      <c r="C168" s="468"/>
      <c r="D168" s="468"/>
      <c r="E168" s="470"/>
      <c r="F168" s="472"/>
      <c r="G168" s="195">
        <v>0.05611</v>
      </c>
      <c r="H168" s="196">
        <v>4505</v>
      </c>
      <c r="I168" s="196">
        <v>11270</v>
      </c>
      <c r="J168" s="196">
        <v>10900</v>
      </c>
      <c r="K168" s="196">
        <v>10885</v>
      </c>
      <c r="L168" s="196">
        <v>10575</v>
      </c>
      <c r="M168" s="196">
        <v>9935</v>
      </c>
      <c r="N168" s="196">
        <v>9245</v>
      </c>
      <c r="O168" s="196">
        <v>8580</v>
      </c>
      <c r="P168" s="196">
        <v>7910</v>
      </c>
      <c r="Q168" s="196">
        <v>7265</v>
      </c>
      <c r="R168" s="196">
        <v>6580</v>
      </c>
      <c r="S168" s="196">
        <v>5915</v>
      </c>
      <c r="T168" s="196">
        <v>5245</v>
      </c>
      <c r="U168" s="196">
        <v>4595</v>
      </c>
      <c r="V168" s="196">
        <v>3915</v>
      </c>
      <c r="W168" s="196">
        <v>9620</v>
      </c>
      <c r="X168" s="156">
        <f t="shared" si="8"/>
        <v>126940</v>
      </c>
    </row>
    <row r="169" spans="1:24" s="185" customFormat="1" ht="17.25" customHeight="1">
      <c r="A169" s="465"/>
      <c r="B169" s="200"/>
      <c r="C169" s="467" t="s">
        <v>512</v>
      </c>
      <c r="D169" s="467"/>
      <c r="E169" s="469">
        <v>549958</v>
      </c>
      <c r="F169" s="471" t="s">
        <v>757</v>
      </c>
      <c r="G169" s="192" t="s">
        <v>560</v>
      </c>
      <c r="H169" s="193"/>
      <c r="I169" s="193"/>
      <c r="J169" s="199"/>
      <c r="K169" s="193">
        <v>2000</v>
      </c>
      <c r="L169" s="193">
        <v>33720</v>
      </c>
      <c r="M169" s="193">
        <v>33720</v>
      </c>
      <c r="N169" s="193">
        <v>33720</v>
      </c>
      <c r="O169" s="193">
        <v>33720</v>
      </c>
      <c r="P169" s="193">
        <v>33720</v>
      </c>
      <c r="Q169" s="193">
        <v>33720</v>
      </c>
      <c r="R169" s="193">
        <v>33720</v>
      </c>
      <c r="S169" s="193">
        <v>33720</v>
      </c>
      <c r="T169" s="193">
        <v>33720</v>
      </c>
      <c r="U169" s="193">
        <v>33720</v>
      </c>
      <c r="V169" s="193">
        <v>33720</v>
      </c>
      <c r="W169" s="193">
        <v>177038</v>
      </c>
      <c r="X169" s="151">
        <f t="shared" si="8"/>
        <v>549958</v>
      </c>
    </row>
    <row r="170" spans="1:24" s="185" customFormat="1" ht="18.75" customHeight="1">
      <c r="A170" s="466"/>
      <c r="B170" s="198"/>
      <c r="C170" s="468"/>
      <c r="D170" s="468"/>
      <c r="E170" s="470"/>
      <c r="F170" s="472"/>
      <c r="G170" s="195">
        <v>0.05611</v>
      </c>
      <c r="H170" s="196">
        <v>11435</v>
      </c>
      <c r="I170" s="196">
        <v>30910</v>
      </c>
      <c r="J170" s="196">
        <v>30670</v>
      </c>
      <c r="K170" s="196">
        <v>30645</v>
      </c>
      <c r="L170" s="196">
        <v>29855</v>
      </c>
      <c r="M170" s="196">
        <v>28050</v>
      </c>
      <c r="N170" s="196">
        <v>26090</v>
      </c>
      <c r="O170" s="196">
        <v>24210</v>
      </c>
      <c r="P170" s="196">
        <v>22330</v>
      </c>
      <c r="Q170" s="196">
        <v>20510</v>
      </c>
      <c r="R170" s="196">
        <v>18570</v>
      </c>
      <c r="S170" s="196">
        <v>16690</v>
      </c>
      <c r="T170" s="196">
        <v>14810</v>
      </c>
      <c r="U170" s="196">
        <v>12965</v>
      </c>
      <c r="V170" s="196">
        <v>11050</v>
      </c>
      <c r="W170" s="196">
        <v>27165</v>
      </c>
      <c r="X170" s="156">
        <f t="shared" si="8"/>
        <v>355955</v>
      </c>
    </row>
    <row r="171" spans="1:24" s="185" customFormat="1" ht="11.25">
      <c r="A171" s="465"/>
      <c r="B171" s="200"/>
      <c r="C171" s="467" t="s">
        <v>988</v>
      </c>
      <c r="D171" s="467"/>
      <c r="E171" s="469">
        <v>5711791</v>
      </c>
      <c r="F171" s="471" t="s">
        <v>757</v>
      </c>
      <c r="G171" s="192" t="s">
        <v>560</v>
      </c>
      <c r="H171" s="193"/>
      <c r="I171" s="193"/>
      <c r="J171" s="199"/>
      <c r="K171" s="193">
        <v>7000</v>
      </c>
      <c r="L171" s="193">
        <v>120000</v>
      </c>
      <c r="M171" s="193">
        <v>221180</v>
      </c>
      <c r="N171" s="193">
        <v>221180</v>
      </c>
      <c r="O171" s="193">
        <v>221180</v>
      </c>
      <c r="P171" s="193">
        <v>221180</v>
      </c>
      <c r="Q171" s="193">
        <v>221180</v>
      </c>
      <c r="R171" s="193">
        <v>221180</v>
      </c>
      <c r="S171" s="193">
        <v>221180</v>
      </c>
      <c r="T171" s="193">
        <v>221180</v>
      </c>
      <c r="U171" s="193">
        <v>221180</v>
      </c>
      <c r="V171" s="193">
        <v>221180</v>
      </c>
      <c r="W171" s="193">
        <v>3372991</v>
      </c>
      <c r="X171" s="151">
        <f t="shared" si="8"/>
        <v>5711791</v>
      </c>
    </row>
    <row r="172" spans="1:24" s="185" customFormat="1" ht="11.25">
      <c r="A172" s="466"/>
      <c r="B172" s="198"/>
      <c r="C172" s="468"/>
      <c r="D172" s="468"/>
      <c r="E172" s="470"/>
      <c r="F172" s="472"/>
      <c r="G172" s="195">
        <v>0.05778</v>
      </c>
      <c r="H172" s="196">
        <v>57365</v>
      </c>
      <c r="I172" s="196">
        <v>276720</v>
      </c>
      <c r="J172" s="196">
        <v>318515</v>
      </c>
      <c r="K172" s="196">
        <v>318425</v>
      </c>
      <c r="L172" s="196">
        <v>315610</v>
      </c>
      <c r="M172" s="196">
        <v>307650</v>
      </c>
      <c r="N172" s="196">
        <v>294470</v>
      </c>
      <c r="O172" s="196">
        <v>282135</v>
      </c>
      <c r="P172" s="196">
        <v>269800</v>
      </c>
      <c r="Q172" s="196">
        <v>258175</v>
      </c>
      <c r="R172" s="196">
        <v>245135</v>
      </c>
      <c r="S172" s="196">
        <v>232800</v>
      </c>
      <c r="T172" s="196">
        <v>220465</v>
      </c>
      <c r="U172" s="196">
        <v>208705</v>
      </c>
      <c r="V172" s="196">
        <v>195800</v>
      </c>
      <c r="W172" s="196">
        <v>1458595</v>
      </c>
      <c r="X172" s="156">
        <f t="shared" si="8"/>
        <v>5260365</v>
      </c>
    </row>
    <row r="173" spans="1:24" s="185" customFormat="1" ht="19.5" customHeight="1">
      <c r="A173" s="465"/>
      <c r="B173" s="200"/>
      <c r="C173" s="467" t="s">
        <v>340</v>
      </c>
      <c r="D173" s="467"/>
      <c r="E173" s="469">
        <v>259371.56</v>
      </c>
      <c r="F173" s="471" t="s">
        <v>757</v>
      </c>
      <c r="G173" s="192" t="s">
        <v>560</v>
      </c>
      <c r="H173" s="193"/>
      <c r="I173" s="193">
        <v>21615</v>
      </c>
      <c r="J173" s="193">
        <v>28820</v>
      </c>
      <c r="K173" s="193">
        <v>28820</v>
      </c>
      <c r="L173" s="193">
        <v>28820</v>
      </c>
      <c r="M173" s="193">
        <v>28820</v>
      </c>
      <c r="N173" s="193">
        <v>28820</v>
      </c>
      <c r="O173" s="193">
        <v>28820</v>
      </c>
      <c r="P173" s="193">
        <v>28820</v>
      </c>
      <c r="Q173" s="193">
        <v>28820</v>
      </c>
      <c r="R173" s="193">
        <v>7196.56</v>
      </c>
      <c r="S173" s="193"/>
      <c r="T173" s="193"/>
      <c r="U173" s="193"/>
      <c r="V173" s="193"/>
      <c r="W173" s="193"/>
      <c r="X173" s="151">
        <f t="shared" si="8"/>
        <v>259371.56</v>
      </c>
    </row>
    <row r="174" spans="1:24" s="185" customFormat="1" ht="18" customHeight="1">
      <c r="A174" s="466"/>
      <c r="B174" s="198"/>
      <c r="C174" s="468"/>
      <c r="D174" s="468"/>
      <c r="E174" s="470"/>
      <c r="F174" s="472"/>
      <c r="G174" s="195">
        <v>0.05188</v>
      </c>
      <c r="H174" s="196">
        <v>6845</v>
      </c>
      <c r="I174" s="196">
        <v>13035</v>
      </c>
      <c r="J174" s="196">
        <v>11505</v>
      </c>
      <c r="K174" s="196">
        <v>10045</v>
      </c>
      <c r="L174" s="196">
        <v>8585</v>
      </c>
      <c r="M174" s="196">
        <v>7145</v>
      </c>
      <c r="N174" s="196">
        <v>5665</v>
      </c>
      <c r="O174" s="196">
        <v>4200</v>
      </c>
      <c r="P174" s="196">
        <v>2740</v>
      </c>
      <c r="Q174" s="196">
        <v>1285</v>
      </c>
      <c r="R174" s="196">
        <v>95</v>
      </c>
      <c r="S174" s="196"/>
      <c r="T174" s="196"/>
      <c r="U174" s="196"/>
      <c r="V174" s="196"/>
      <c r="W174" s="196"/>
      <c r="X174" s="156">
        <f t="shared" si="8"/>
        <v>71145</v>
      </c>
    </row>
    <row r="175" spans="1:24" s="185" customFormat="1" ht="11.25">
      <c r="A175" s="463"/>
      <c r="B175" s="149"/>
      <c r="C175" s="467" t="s">
        <v>793</v>
      </c>
      <c r="D175" s="467"/>
      <c r="E175" s="469">
        <f>519983+246066</f>
        <v>766049</v>
      </c>
      <c r="F175" s="471" t="s">
        <v>757</v>
      </c>
      <c r="G175" s="192" t="s">
        <v>560</v>
      </c>
      <c r="H175" s="193">
        <v>0</v>
      </c>
      <c r="I175" s="193">
        <v>42318</v>
      </c>
      <c r="J175" s="199">
        <v>56424</v>
      </c>
      <c r="K175" s="193">
        <v>56424</v>
      </c>
      <c r="L175" s="193">
        <v>56424</v>
      </c>
      <c r="M175" s="193">
        <v>55292</v>
      </c>
      <c r="N175" s="193">
        <v>54912</v>
      </c>
      <c r="O175" s="193">
        <v>54912</v>
      </c>
      <c r="P175" s="193">
        <v>54912</v>
      </c>
      <c r="Q175" s="193">
        <v>54912</v>
      </c>
      <c r="R175" s="193">
        <v>23698</v>
      </c>
      <c r="S175" s="193">
        <v>13292</v>
      </c>
      <c r="T175" s="193">
        <v>13292</v>
      </c>
      <c r="U175" s="193">
        <v>13292</v>
      </c>
      <c r="V175" s="193">
        <v>13292</v>
      </c>
      <c r="W175" s="193">
        <v>202653</v>
      </c>
      <c r="X175" s="151">
        <f t="shared" si="8"/>
        <v>766049</v>
      </c>
    </row>
    <row r="176" spans="1:24" s="185" customFormat="1" ht="11.25">
      <c r="A176" s="464"/>
      <c r="B176" s="153"/>
      <c r="C176" s="468"/>
      <c r="D176" s="468"/>
      <c r="E176" s="470"/>
      <c r="F176" s="472"/>
      <c r="G176" s="195">
        <v>0.05778</v>
      </c>
      <c r="H176" s="196">
        <v>22505</v>
      </c>
      <c r="I176" s="196">
        <v>41435</v>
      </c>
      <c r="J176" s="196">
        <v>35620</v>
      </c>
      <c r="K176" s="196">
        <v>32760</v>
      </c>
      <c r="L176" s="196">
        <v>29895</v>
      </c>
      <c r="M176" s="196">
        <v>27125</v>
      </c>
      <c r="N176" s="196">
        <v>24265</v>
      </c>
      <c r="O176" s="196">
        <v>21480</v>
      </c>
      <c r="P176" s="196">
        <v>18695</v>
      </c>
      <c r="Q176" s="196">
        <v>15955</v>
      </c>
      <c r="R176" s="196">
        <v>13525</v>
      </c>
      <c r="S176" s="196">
        <v>12720</v>
      </c>
      <c r="T176" s="196">
        <v>12045</v>
      </c>
      <c r="U176" s="196">
        <v>11400</v>
      </c>
      <c r="V176" s="196">
        <v>10695</v>
      </c>
      <c r="W176" s="196">
        <v>79650</v>
      </c>
      <c r="X176" s="156">
        <f t="shared" si="8"/>
        <v>409770</v>
      </c>
    </row>
    <row r="177" spans="1:24" s="185" customFormat="1" ht="11.25">
      <c r="A177" s="419"/>
      <c r="B177" s="200"/>
      <c r="C177" s="467" t="s">
        <v>989</v>
      </c>
      <c r="D177" s="467"/>
      <c r="E177" s="469">
        <v>1170000</v>
      </c>
      <c r="F177" s="471" t="s">
        <v>757</v>
      </c>
      <c r="G177" s="192" t="s">
        <v>560</v>
      </c>
      <c r="H177" s="193"/>
      <c r="I177" s="193"/>
      <c r="J177" s="199"/>
      <c r="K177" s="193">
        <v>13000</v>
      </c>
      <c r="L177" s="193">
        <v>35000</v>
      </c>
      <c r="M177" s="193">
        <v>44000</v>
      </c>
      <c r="N177" s="193">
        <v>44000</v>
      </c>
      <c r="O177" s="193">
        <v>44000</v>
      </c>
      <c r="P177" s="193">
        <v>44000</v>
      </c>
      <c r="Q177" s="193">
        <v>44000</v>
      </c>
      <c r="R177" s="193">
        <v>44000</v>
      </c>
      <c r="S177" s="193">
        <v>44000</v>
      </c>
      <c r="T177" s="193">
        <v>44000</v>
      </c>
      <c r="U177" s="193">
        <v>44000</v>
      </c>
      <c r="V177" s="193">
        <v>44000</v>
      </c>
      <c r="W177" s="193">
        <v>682000</v>
      </c>
      <c r="X177" s="151">
        <f t="shared" si="8"/>
        <v>1170000</v>
      </c>
    </row>
    <row r="178" spans="1:24" s="185" customFormat="1" ht="11.25">
      <c r="A178" s="420"/>
      <c r="B178" s="198"/>
      <c r="C178" s="468"/>
      <c r="D178" s="468"/>
      <c r="E178" s="470"/>
      <c r="F178" s="472"/>
      <c r="G178" s="195">
        <v>0.05778</v>
      </c>
      <c r="H178" s="196">
        <v>24580</v>
      </c>
      <c r="I178" s="196">
        <v>64105</v>
      </c>
      <c r="J178" s="196">
        <v>59315</v>
      </c>
      <c r="K178" s="196">
        <v>59230</v>
      </c>
      <c r="L178" s="196">
        <v>58105</v>
      </c>
      <c r="M178" s="196">
        <v>56200</v>
      </c>
      <c r="N178" s="196">
        <v>53815</v>
      </c>
      <c r="O178" s="196">
        <v>51585</v>
      </c>
      <c r="P178" s="196">
        <v>49355</v>
      </c>
      <c r="Q178" s="196">
        <v>47250</v>
      </c>
      <c r="R178" s="196">
        <v>44900</v>
      </c>
      <c r="S178" s="196">
        <v>42660</v>
      </c>
      <c r="T178" s="196">
        <v>40430</v>
      </c>
      <c r="U178" s="196">
        <v>38305</v>
      </c>
      <c r="V178" s="196">
        <v>35970</v>
      </c>
      <c r="W178" s="196">
        <v>272435</v>
      </c>
      <c r="X178" s="156">
        <f t="shared" si="8"/>
        <v>998240</v>
      </c>
    </row>
    <row r="179" spans="1:24" s="185" customFormat="1" ht="11.25">
      <c r="A179" s="419"/>
      <c r="B179" s="200"/>
      <c r="C179" s="473" t="s">
        <v>491</v>
      </c>
      <c r="D179" s="467"/>
      <c r="E179" s="469">
        <v>1500000</v>
      </c>
      <c r="F179" s="471" t="s">
        <v>757</v>
      </c>
      <c r="G179" s="192" t="s">
        <v>560</v>
      </c>
      <c r="H179" s="328"/>
      <c r="I179" s="328"/>
      <c r="J179" s="329"/>
      <c r="K179" s="328">
        <v>13000</v>
      </c>
      <c r="L179" s="328">
        <v>40000</v>
      </c>
      <c r="M179" s="328">
        <v>56744</v>
      </c>
      <c r="N179" s="328">
        <v>56744</v>
      </c>
      <c r="O179" s="328">
        <v>56744</v>
      </c>
      <c r="P179" s="328">
        <v>56744</v>
      </c>
      <c r="Q179" s="328">
        <v>56744</v>
      </c>
      <c r="R179" s="328">
        <v>56744</v>
      </c>
      <c r="S179" s="328">
        <v>56744</v>
      </c>
      <c r="T179" s="328">
        <v>56744</v>
      </c>
      <c r="U179" s="328">
        <v>56744</v>
      </c>
      <c r="V179" s="328">
        <v>56744</v>
      </c>
      <c r="W179" s="328">
        <v>879560</v>
      </c>
      <c r="X179" s="151">
        <f t="shared" si="8"/>
        <v>1500000</v>
      </c>
    </row>
    <row r="180" spans="1:24" s="185" customFormat="1" ht="11.25">
      <c r="A180" s="420"/>
      <c r="B180" s="198"/>
      <c r="C180" s="474"/>
      <c r="D180" s="468"/>
      <c r="E180" s="470"/>
      <c r="F180" s="472"/>
      <c r="G180" s="195">
        <v>0.05778</v>
      </c>
      <c r="H180" s="330">
        <v>33105</v>
      </c>
      <c r="I180" s="330">
        <v>82185</v>
      </c>
      <c r="J180" s="330">
        <v>76045</v>
      </c>
      <c r="K180" s="330">
        <v>75960</v>
      </c>
      <c r="L180" s="330">
        <v>74625</v>
      </c>
      <c r="M180" s="330">
        <v>72475</v>
      </c>
      <c r="N180" s="330">
        <v>69400</v>
      </c>
      <c r="O180" s="330">
        <v>66525</v>
      </c>
      <c r="P180" s="330">
        <v>63650</v>
      </c>
      <c r="Q180" s="330">
        <v>60940</v>
      </c>
      <c r="R180" s="330">
        <v>57895</v>
      </c>
      <c r="S180" s="330">
        <v>55020</v>
      </c>
      <c r="T180" s="330">
        <v>52140</v>
      </c>
      <c r="U180" s="330">
        <v>49400</v>
      </c>
      <c r="V180" s="330">
        <v>46390</v>
      </c>
      <c r="W180" s="330">
        <v>351365</v>
      </c>
      <c r="X180" s="156">
        <f t="shared" si="8"/>
        <v>1287120</v>
      </c>
    </row>
    <row r="181" spans="1:24" s="185" customFormat="1" ht="11.25">
      <c r="A181" s="419"/>
      <c r="B181" s="200"/>
      <c r="C181" s="473" t="s">
        <v>798</v>
      </c>
      <c r="D181" s="467"/>
      <c r="E181" s="469">
        <v>850000</v>
      </c>
      <c r="F181" s="471" t="s">
        <v>757</v>
      </c>
      <c r="G181" s="192" t="s">
        <v>560</v>
      </c>
      <c r="H181" s="328"/>
      <c r="I181" s="328"/>
      <c r="J181" s="329"/>
      <c r="K181" s="328">
        <v>12000</v>
      </c>
      <c r="L181" s="328">
        <v>40000</v>
      </c>
      <c r="M181" s="328">
        <v>51484</v>
      </c>
      <c r="N181" s="328">
        <v>51484</v>
      </c>
      <c r="O181" s="328">
        <v>51484</v>
      </c>
      <c r="P181" s="328">
        <v>51484</v>
      </c>
      <c r="Q181" s="328">
        <v>51484</v>
      </c>
      <c r="R181" s="328">
        <v>51484</v>
      </c>
      <c r="S181" s="328">
        <v>51484</v>
      </c>
      <c r="T181" s="328">
        <v>51484</v>
      </c>
      <c r="U181" s="328">
        <v>51484</v>
      </c>
      <c r="V181" s="328">
        <v>51484</v>
      </c>
      <c r="W181" s="328">
        <v>283160</v>
      </c>
      <c r="X181" s="151">
        <f t="shared" si="8"/>
        <v>850000</v>
      </c>
    </row>
    <row r="182" spans="1:24" s="185" customFormat="1" ht="11.25">
      <c r="A182" s="420"/>
      <c r="B182" s="198"/>
      <c r="C182" s="474"/>
      <c r="D182" s="468"/>
      <c r="E182" s="470"/>
      <c r="F182" s="472"/>
      <c r="G182" s="195">
        <v>0.05611</v>
      </c>
      <c r="H182" s="330">
        <v>17865</v>
      </c>
      <c r="I182" s="330">
        <v>45850</v>
      </c>
      <c r="J182" s="330">
        <v>43095</v>
      </c>
      <c r="K182" s="330">
        <v>43015</v>
      </c>
      <c r="L182" s="330">
        <v>41725</v>
      </c>
      <c r="M182" s="330">
        <v>39585</v>
      </c>
      <c r="N182" s="330">
        <v>36865</v>
      </c>
      <c r="O182" s="330">
        <v>34255</v>
      </c>
      <c r="P182" s="330">
        <v>31645</v>
      </c>
      <c r="Q182" s="330">
        <v>29120</v>
      </c>
      <c r="R182" s="330">
        <v>26425</v>
      </c>
      <c r="S182" s="330">
        <v>23815</v>
      </c>
      <c r="T182" s="330">
        <v>21205</v>
      </c>
      <c r="U182" s="330">
        <v>18650</v>
      </c>
      <c r="V182" s="330">
        <v>15985</v>
      </c>
      <c r="W182" s="330">
        <v>41290</v>
      </c>
      <c r="X182" s="156">
        <f t="shared" si="8"/>
        <v>510390</v>
      </c>
    </row>
    <row r="183" spans="1:24" s="185" customFormat="1" ht="22.5" customHeight="1">
      <c r="A183" s="419"/>
      <c r="B183" s="200"/>
      <c r="C183" s="475" t="s">
        <v>800</v>
      </c>
      <c r="D183" s="475"/>
      <c r="E183" s="477">
        <v>607310</v>
      </c>
      <c r="F183" s="471" t="s">
        <v>757</v>
      </c>
      <c r="G183" s="192" t="s">
        <v>560</v>
      </c>
      <c r="H183" s="193"/>
      <c r="I183" s="199"/>
      <c r="J183" s="193"/>
      <c r="K183" s="193">
        <v>17862</v>
      </c>
      <c r="L183" s="193">
        <v>35724</v>
      </c>
      <c r="M183" s="193">
        <v>35724</v>
      </c>
      <c r="N183" s="193">
        <v>35724</v>
      </c>
      <c r="O183" s="193">
        <v>35724</v>
      </c>
      <c r="P183" s="193">
        <v>35724</v>
      </c>
      <c r="Q183" s="193">
        <v>35724</v>
      </c>
      <c r="R183" s="193">
        <v>35724</v>
      </c>
      <c r="S183" s="193">
        <v>35724</v>
      </c>
      <c r="T183" s="193">
        <v>35724</v>
      </c>
      <c r="U183" s="193">
        <v>35724</v>
      </c>
      <c r="V183" s="193">
        <v>35724</v>
      </c>
      <c r="W183" s="194">
        <v>196484</v>
      </c>
      <c r="X183" s="151">
        <f t="shared" si="8"/>
        <v>607310</v>
      </c>
    </row>
    <row r="184" spans="1:24" s="185" customFormat="1" ht="24" customHeight="1">
      <c r="A184" s="420"/>
      <c r="B184" s="198"/>
      <c r="C184" s="476"/>
      <c r="D184" s="476"/>
      <c r="E184" s="478"/>
      <c r="F184" s="472"/>
      <c r="G184" s="195">
        <v>0.05611</v>
      </c>
      <c r="H184" s="196">
        <v>2275</v>
      </c>
      <c r="I184" s="196">
        <v>29790</v>
      </c>
      <c r="J184" s="196">
        <v>30790</v>
      </c>
      <c r="K184" s="196">
        <v>30675</v>
      </c>
      <c r="L184" s="196">
        <v>29205</v>
      </c>
      <c r="M184" s="196">
        <v>27470</v>
      </c>
      <c r="N184" s="196">
        <v>25585</v>
      </c>
      <c r="O184" s="196">
        <v>23770</v>
      </c>
      <c r="P184" s="196">
        <v>21960</v>
      </c>
      <c r="Q184" s="196">
        <v>20205</v>
      </c>
      <c r="R184" s="196">
        <v>18340</v>
      </c>
      <c r="S184" s="196">
        <v>16525</v>
      </c>
      <c r="T184" s="196">
        <v>14715</v>
      </c>
      <c r="U184" s="196">
        <v>12940</v>
      </c>
      <c r="V184" s="196">
        <v>11100</v>
      </c>
      <c r="W184" s="197">
        <v>28655</v>
      </c>
      <c r="X184" s="156">
        <f t="shared" si="8"/>
        <v>344000</v>
      </c>
    </row>
    <row r="185" spans="1:24" s="322" customFormat="1" ht="13.5" customHeight="1" hidden="1">
      <c r="A185" s="465"/>
      <c r="B185" s="200"/>
      <c r="C185" s="467"/>
      <c r="D185" s="467"/>
      <c r="E185" s="469"/>
      <c r="F185" s="471"/>
      <c r="G185" s="201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51">
        <f>SUM(H185:W185)</f>
        <v>0</v>
      </c>
    </row>
    <row r="186" spans="1:24" s="185" customFormat="1" ht="13.5" customHeight="1" hidden="1">
      <c r="A186" s="466"/>
      <c r="B186" s="198"/>
      <c r="C186" s="468"/>
      <c r="D186" s="468"/>
      <c r="E186" s="470"/>
      <c r="F186" s="472"/>
      <c r="G186" s="202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56">
        <f>SUM(H186:W186)</f>
        <v>0</v>
      </c>
    </row>
    <row r="187" spans="1:24" ht="13.5" customHeight="1">
      <c r="A187" s="204"/>
      <c r="B187" s="479" t="s">
        <v>759</v>
      </c>
      <c r="C187" s="480"/>
      <c r="D187" s="480"/>
      <c r="E187" s="480"/>
      <c r="F187" s="481"/>
      <c r="G187" s="332"/>
      <c r="H187" s="205">
        <f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185+H169+H171+H173+H175+H177+H179+H181+H183</f>
        <v>4635280.509999999</v>
      </c>
      <c r="I187" s="205">
        <f aca="true" t="shared" si="9" ref="I187:W188">SUM(I9+I11+I13+I15+I17+I23+I19+I21+I25+I27+I33+I31+I29+I35+I37+I39)+I41+I43+I45+I7+I47+I49+I51++I125+I127+I129+I131+I133+I135+I137+I139+I141+I143+I145+I147+I149+I151+I153+I155+I157+I159+I161+I163+I165+I167+I53+I55+I57+I61+I59+I63+I65+I67+I87+I69+I71+I73+I75+I77+I79+I81+I83+I85+I89+I91+I93+I95+I97+I99+I101+I103+I105+I107+I109+I111+I113+I115+I117+I119+I121+I123+I185+I169+I171+I173+I175+I177+I179+I181+I183</f>
        <v>4854393.32</v>
      </c>
      <c r="J187" s="205">
        <f>SUM(J9+J11+J13+J15+J17+J23+J19+J21+J25+J27+J33+J31+J29+J35+J37+J39)+J41+J43+J45+J7+J47+J49+J51++J125+J127+J129+J131+J133+J135+J137+J139+J141+J143+J145+J147+J149+J151+J153+J155+J157+J159+J161+J163+J165+J167+J53+J55+J57+J61+J59+J63+J65+J67+J87+J69+J71+J73+J75+J77+J79+J81+J83+J85+J89+J91+J93+J95+J97+J99+J101+J103+J105+J107+J109+J111+J113+J115+J117+J119+J121+J123+J185+J169+J171+J173+J175+J177+J179+J181+J183</f>
        <v>5190034</v>
      </c>
      <c r="K187" s="205">
        <f>SUM(K9+K11+K13+K15+K17+K23+K19+K21+K25+K27+K33+K31+K29+K35+K37+K39)+K41+K43+K45+K7+K47+K49+K51++K125+K127+K129+K131+K133+K135+K137+K139+K141+K143+K145+K147+K149+K151+K153+K155+K157+K159+K161+K163+K165+K167+K53+K55+K57+K61+K59+K63+K65+K67+K87+K69+K71+K73+K75+K77+K79+K81+K83+K85+K89+K91+K93+K95+K97+K99+K101+K103+K105+K107+K109+K111+K113+K115+K117+K119+K121+K123+K185+K169+K171+K173+K175+K177+K179+K181+K183</f>
        <v>5413018.02</v>
      </c>
      <c r="L187" s="205">
        <f t="shared" si="9"/>
        <v>4725152</v>
      </c>
      <c r="M187" s="205">
        <f t="shared" si="9"/>
        <v>4571602.66</v>
      </c>
      <c r="N187" s="205">
        <f t="shared" si="9"/>
        <v>4634152</v>
      </c>
      <c r="O187" s="205">
        <f t="shared" si="9"/>
        <v>4808222</v>
      </c>
      <c r="P187" s="205">
        <f t="shared" si="9"/>
        <v>4920167.96</v>
      </c>
      <c r="Q187" s="205">
        <f t="shared" si="9"/>
        <v>4857538</v>
      </c>
      <c r="R187" s="205">
        <f t="shared" si="9"/>
        <v>4702211.56</v>
      </c>
      <c r="S187" s="205">
        <f t="shared" si="9"/>
        <v>4213168</v>
      </c>
      <c r="T187" s="205">
        <f t="shared" si="9"/>
        <v>3894114.76</v>
      </c>
      <c r="U187" s="205">
        <f t="shared" si="9"/>
        <v>3820395.1100000003</v>
      </c>
      <c r="V187" s="205">
        <f t="shared" si="9"/>
        <v>3757981.54</v>
      </c>
      <c r="W187" s="205">
        <f t="shared" si="9"/>
        <v>37284714.48</v>
      </c>
      <c r="X187" s="206">
        <f>SUM(X9+X11+X13+X15+X17+X23+X19+X21+X25+X27+X33+X31+X29+X35+X37+X39)+X41+X43+X45+X7+X47+X49+X51++X125+X127+X129+X131+X133+X135+X137+X139+X141+X143+X145+X147+X149+X151+X153+X155+X157+X159+X161+X163+X165+X167+X53+X55+X57+X61+X59+X63+X65+X67+X87+X69+X71+X73+X75+X77+X79+X81+X83+X85+X89+X91+X93+X95+X97+X99+X101+X103+X105+X107+X109+X111+X113+X115+X117+X119+X121+X123+X185+X169+X171+X173+X175+X177+X179+X181+X183</f>
        <v>106282145.91999999</v>
      </c>
    </row>
    <row r="188" spans="1:24" ht="13.5" thickBot="1">
      <c r="A188" s="207"/>
      <c r="B188" s="482" t="s">
        <v>760</v>
      </c>
      <c r="C188" s="483"/>
      <c r="D188" s="483"/>
      <c r="E188" s="483"/>
      <c r="F188" s="484"/>
      <c r="G188" s="333"/>
      <c r="H188" s="208">
        <f>SUM(H10+H12+H14+H16+H18+H24+H20+H22+H26+H28+H34+H32+H30+H36+H38+H40)+H42+H44+H46+H8+H48+H50+H52++H126+H128+H130+H132+H134+H136+H138+H140+H142+H144+H146+H148+H150+H152+H154+H156+H158+H160+H162+H164+H166+H168+H54+H56+H58+H62+H60+H64+H66+H68+H88+H70+H72+H74+H76+H78+H80+H82+H84+H86+H90+H92+H94+H96+H98+H100+H102+H104+H106+H108+H110+H112+H114+H116+H118+H120+H122+H124+H186+H170+H172+H174+H176+H178+H180+H182+H184</f>
        <v>2557975</v>
      </c>
      <c r="I188" s="208">
        <f t="shared" si="9"/>
        <v>4235830</v>
      </c>
      <c r="J188" s="208">
        <f t="shared" si="9"/>
        <v>4894940</v>
      </c>
      <c r="K188" s="208">
        <f>SUM(K10+K12+K14+K16+K18+K24+K20+K22+K26+K28+K34+K32+K30+K36+K38+K40)+K42+K44+K46+K8+K48+K50+K52++K126+K128+K130+K132+K134+K136+K138+K140+K142+K144+K146+K148+K150+K152+K154+K156+K158+K160+K162+K164+K166+K168+K54+K56+K58+K62+K60+K64+K66+K68+K88+K70+K72+K74+K76+K78+K80+K82+K84+K86+K90+K92+K94+K96+K98+K100+K102+K104+K106+K108+K110+K112+K114+K116+K118+K120+K122+K124+K186+K170+K172+K174+K176+K178+K180+K182+K184</f>
        <v>4629690</v>
      </c>
      <c r="L188" s="208">
        <f t="shared" si="9"/>
        <v>2855665</v>
      </c>
      <c r="M188" s="208">
        <f t="shared" si="9"/>
        <v>2707220</v>
      </c>
      <c r="N188" s="208">
        <f t="shared" si="9"/>
        <v>2545190</v>
      </c>
      <c r="O188" s="208">
        <f t="shared" si="9"/>
        <v>2394205</v>
      </c>
      <c r="P188" s="208">
        <f t="shared" si="9"/>
        <v>2235135</v>
      </c>
      <c r="Q188" s="208">
        <f t="shared" si="9"/>
        <v>2079465</v>
      </c>
      <c r="R188" s="208">
        <f t="shared" si="9"/>
        <v>1915175</v>
      </c>
      <c r="S188" s="208">
        <f t="shared" si="9"/>
        <v>1764845</v>
      </c>
      <c r="T188" s="208">
        <f t="shared" si="9"/>
        <v>1626920</v>
      </c>
      <c r="U188" s="208">
        <f t="shared" si="9"/>
        <v>1501805</v>
      </c>
      <c r="V188" s="208">
        <f t="shared" si="9"/>
        <v>1370915</v>
      </c>
      <c r="W188" s="208">
        <f t="shared" si="9"/>
        <v>7978900</v>
      </c>
      <c r="X188" s="209">
        <f>SUM(X10+X12+X14+X16+X18+X24+X20+X22+X26+X28+X34+X32+X30+X36+X38+X40)+X42+X44+X46+X8+X48+X50+X52++X126+X128+X130+X132+X134+X136+X138+X140+X142+X144+X146+X148+X150+X152+X154+X156+X158+X160+X162+X164+X166+X168+X54+X56+X58+X62+X60+X64+X66+X68+X88+X70+X72+X74+X76+X78+X80+X82+X84+X86+X90+X92+X94+X96+X98+X100+X102+X104+X106+X108+X110+X112+X114+X116+X118+X120+X122+X124+X186+X170+X172+X174+X176+X178+X180+X182+X184</f>
        <v>47293875</v>
      </c>
    </row>
    <row r="189" spans="1:24" ht="13.5" thickTop="1">
      <c r="A189" s="210"/>
      <c r="B189" s="485" t="s">
        <v>761</v>
      </c>
      <c r="C189" s="486"/>
      <c r="D189" s="486"/>
      <c r="E189" s="486"/>
      <c r="F189" s="487"/>
      <c r="G189" s="334"/>
      <c r="H189" s="211">
        <f>SUM(H187:H188)</f>
        <v>7193255.509999999</v>
      </c>
      <c r="I189" s="211">
        <f aca="true" t="shared" si="10" ref="I189:W189">SUM(I187:I188)</f>
        <v>9090223.32</v>
      </c>
      <c r="J189" s="211">
        <f t="shared" si="10"/>
        <v>10084974</v>
      </c>
      <c r="K189" s="211">
        <f t="shared" si="10"/>
        <v>10042708.02</v>
      </c>
      <c r="L189" s="211">
        <f t="shared" si="10"/>
        <v>7580817</v>
      </c>
      <c r="M189" s="211">
        <f t="shared" si="10"/>
        <v>7278822.66</v>
      </c>
      <c r="N189" s="211">
        <f t="shared" si="10"/>
        <v>7179342</v>
      </c>
      <c r="O189" s="211">
        <f t="shared" si="10"/>
        <v>7202427</v>
      </c>
      <c r="P189" s="211">
        <f t="shared" si="10"/>
        <v>7155302.96</v>
      </c>
      <c r="Q189" s="211">
        <f t="shared" si="10"/>
        <v>6937003</v>
      </c>
      <c r="R189" s="211">
        <f t="shared" si="10"/>
        <v>6617386.56</v>
      </c>
      <c r="S189" s="211">
        <f t="shared" si="10"/>
        <v>5978013</v>
      </c>
      <c r="T189" s="211">
        <f t="shared" si="10"/>
        <v>5521034.76</v>
      </c>
      <c r="U189" s="211">
        <f t="shared" si="10"/>
        <v>5322200.11</v>
      </c>
      <c r="V189" s="211">
        <f t="shared" si="10"/>
        <v>5128896.54</v>
      </c>
      <c r="W189" s="211">
        <f t="shared" si="10"/>
        <v>45263614.48</v>
      </c>
      <c r="X189" s="212">
        <f>SUM(X187:X188)</f>
        <v>153576020.92</v>
      </c>
    </row>
    <row r="190" spans="1:24" s="217" customFormat="1" ht="12.75">
      <c r="A190" s="213"/>
      <c r="B190" s="488" t="s">
        <v>762</v>
      </c>
      <c r="C190" s="489"/>
      <c r="D190" s="489"/>
      <c r="E190" s="489"/>
      <c r="F190" s="490"/>
      <c r="G190" s="371" t="s">
        <v>763</v>
      </c>
      <c r="H190" s="214">
        <f>SUM(H189/$E$193)</f>
        <v>0.10625375621308696</v>
      </c>
      <c r="I190" s="214">
        <f aca="true" t="shared" si="11" ref="I190:V190">SUM(I189/$E$193)</f>
        <v>0.13427444238885353</v>
      </c>
      <c r="J190" s="214">
        <f>SUM(J189/$E$193)</f>
        <v>0.14896820602599734</v>
      </c>
      <c r="K190" s="214">
        <f t="shared" si="11"/>
        <v>0.14834388243165483</v>
      </c>
      <c r="L190" s="214">
        <f t="shared" si="11"/>
        <v>0.11197854438706367</v>
      </c>
      <c r="M190" s="214">
        <f t="shared" si="11"/>
        <v>0.10751769450685525</v>
      </c>
      <c r="N190" s="214">
        <f t="shared" si="11"/>
        <v>0.10604823554201487</v>
      </c>
      <c r="O190" s="214">
        <f t="shared" si="11"/>
        <v>0.10638923107022447</v>
      </c>
      <c r="P190" s="214">
        <f t="shared" si="11"/>
        <v>0.105693147599955</v>
      </c>
      <c r="Q190" s="214">
        <f t="shared" si="11"/>
        <v>0.10246857276052092</v>
      </c>
      <c r="R190" s="214">
        <f t="shared" si="11"/>
        <v>0.09774742150289586</v>
      </c>
      <c r="S190" s="214">
        <f t="shared" si="11"/>
        <v>0.08830304096074917</v>
      </c>
      <c r="T190" s="214">
        <f t="shared" si="11"/>
        <v>0.08155287694389424</v>
      </c>
      <c r="U190" s="214">
        <f t="shared" si="11"/>
        <v>0.078615830095156</v>
      </c>
      <c r="V190" s="214">
        <f t="shared" si="11"/>
        <v>0.07576048450464473</v>
      </c>
      <c r="W190" s="215"/>
      <c r="X190" s="216"/>
    </row>
    <row r="191" spans="1:24" ht="12.75">
      <c r="A191" s="218"/>
      <c r="B191" s="488" t="s">
        <v>764</v>
      </c>
      <c r="C191" s="489"/>
      <c r="D191" s="489"/>
      <c r="E191" s="489"/>
      <c r="F191" s="489"/>
      <c r="G191" s="372" t="s">
        <v>763</v>
      </c>
      <c r="H191" s="219">
        <f>SUM((H189-H195)/$E$193)</f>
        <v>0.10476858974013362</v>
      </c>
      <c r="I191" s="219">
        <f aca="true" t="shared" si="12" ref="I191:W191">SUM((I189-I195)/$E$193)</f>
        <v>0.13427444238885353</v>
      </c>
      <c r="J191" s="219">
        <f t="shared" si="12"/>
        <v>0.14896820602599734</v>
      </c>
      <c r="K191" s="219">
        <f t="shared" si="12"/>
        <v>0.14834388243165483</v>
      </c>
      <c r="L191" s="219">
        <f t="shared" si="12"/>
        <v>0.11197854438706367</v>
      </c>
      <c r="M191" s="219">
        <f t="shared" si="12"/>
        <v>0.10751769450685525</v>
      </c>
      <c r="N191" s="219">
        <f t="shared" si="12"/>
        <v>0.10604823554201487</v>
      </c>
      <c r="O191" s="219">
        <f t="shared" si="12"/>
        <v>0.10638923107022447</v>
      </c>
      <c r="P191" s="219">
        <f t="shared" si="12"/>
        <v>0.105693147599955</v>
      </c>
      <c r="Q191" s="219">
        <f t="shared" si="12"/>
        <v>0.10246857276052092</v>
      </c>
      <c r="R191" s="219">
        <f t="shared" si="12"/>
        <v>0.09774742150289586</v>
      </c>
      <c r="S191" s="219">
        <f t="shared" si="12"/>
        <v>0.08830304096074917</v>
      </c>
      <c r="T191" s="219">
        <f t="shared" si="12"/>
        <v>0.08155287694389424</v>
      </c>
      <c r="U191" s="219">
        <f t="shared" si="12"/>
        <v>0.078615830095156</v>
      </c>
      <c r="V191" s="219">
        <f t="shared" si="12"/>
        <v>0.07576048450464473</v>
      </c>
      <c r="W191" s="219">
        <f t="shared" si="12"/>
        <v>0.6686025613291572</v>
      </c>
      <c r="X191" s="220"/>
    </row>
    <row r="192" spans="2:24" ht="15" customHeight="1">
      <c r="B192" s="491" t="s">
        <v>765</v>
      </c>
      <c r="C192" s="492"/>
      <c r="D192" s="493"/>
      <c r="E192" s="221">
        <f>SUM(E7:E186)</f>
        <v>133756539.63000001</v>
      </c>
      <c r="F192" s="222"/>
      <c r="G192" s="335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X192" s="224"/>
    </row>
    <row r="193" spans="2:24" ht="15" customHeight="1">
      <c r="B193" s="491" t="s">
        <v>766</v>
      </c>
      <c r="C193" s="492"/>
      <c r="D193" s="493"/>
      <c r="E193" s="225">
        <f>'1.pielikums'!E9-'1.pielikums'!E55</f>
        <v>67698835</v>
      </c>
      <c r="F193" s="226"/>
      <c r="G193" s="336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X193" s="224"/>
    </row>
    <row r="194" spans="3:24" ht="15" customHeight="1">
      <c r="C194" s="223"/>
      <c r="D194" s="223"/>
      <c r="E194" s="227"/>
      <c r="F194" s="223"/>
      <c r="G194" s="335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X194" s="224"/>
    </row>
    <row r="195" spans="3:24" ht="15" customHeight="1">
      <c r="C195" s="227"/>
      <c r="D195" s="223"/>
      <c r="E195" s="494" t="s">
        <v>790</v>
      </c>
      <c r="F195" s="494"/>
      <c r="G195" s="494"/>
      <c r="H195" s="228">
        <f>H129+H127+H123+56990.04</f>
        <v>100544.04000000001</v>
      </c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X195" s="224"/>
    </row>
    <row r="196" spans="3:24" ht="27.75" customHeight="1">
      <c r="C196" s="223"/>
      <c r="D196" s="223"/>
      <c r="E196" s="495" t="s">
        <v>791</v>
      </c>
      <c r="F196" s="495"/>
      <c r="G196" s="495"/>
      <c r="H196" s="228">
        <f>353819-H195</f>
        <v>253274.96</v>
      </c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9"/>
      <c r="W196" s="229"/>
      <c r="X196" s="224"/>
    </row>
    <row r="197" spans="3:24" ht="15" customHeight="1">
      <c r="C197" s="223"/>
      <c r="D197" s="223"/>
      <c r="E197" s="496" t="s">
        <v>767</v>
      </c>
      <c r="F197" s="496"/>
      <c r="G197" s="496"/>
      <c r="H197" s="228">
        <f>4539763.47</f>
        <v>4539763.47</v>
      </c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9"/>
      <c r="W197" s="229"/>
      <c r="X197" s="224"/>
    </row>
    <row r="198" spans="3:24" ht="15" customHeight="1">
      <c r="C198" s="223"/>
      <c r="D198" s="223"/>
      <c r="E198" s="497" t="s">
        <v>556</v>
      </c>
      <c r="F198" s="498"/>
      <c r="G198" s="499"/>
      <c r="H198" s="283">
        <f>H195+H196+H197</f>
        <v>4893582.47</v>
      </c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9"/>
      <c r="W198" s="229"/>
      <c r="X198" s="224"/>
    </row>
    <row r="199" spans="4:24" ht="12.75" hidden="1">
      <c r="D199" s="133"/>
      <c r="E199" s="230"/>
      <c r="F199" s="231"/>
      <c r="G199" s="337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X199" s="233"/>
    </row>
    <row r="200" spans="1:24" s="237" customFormat="1" ht="15" customHeight="1" hidden="1">
      <c r="A200" s="131"/>
      <c r="B200" s="152"/>
      <c r="C200" s="500" t="s">
        <v>768</v>
      </c>
      <c r="D200" s="500"/>
      <c r="E200" s="500"/>
      <c r="F200" s="500"/>
      <c r="G200" s="500"/>
      <c r="H200" s="234"/>
      <c r="I200" s="234">
        <f>I187-H187</f>
        <v>219112.81000000145</v>
      </c>
      <c r="J200" s="234">
        <f>J187-I187</f>
        <v>335640.6799999997</v>
      </c>
      <c r="K200" s="234">
        <f aca="true" t="shared" si="13" ref="K200:V200">K187-J187</f>
        <v>222984.01999999955</v>
      </c>
      <c r="L200" s="234">
        <f t="shared" si="13"/>
        <v>-687866.0199999996</v>
      </c>
      <c r="M200" s="234">
        <f t="shared" si="13"/>
        <v>-153549.33999999985</v>
      </c>
      <c r="N200" s="234">
        <f t="shared" si="13"/>
        <v>62549.33999999985</v>
      </c>
      <c r="O200" s="234">
        <f t="shared" si="13"/>
        <v>174070</v>
      </c>
      <c r="P200" s="234">
        <f t="shared" si="13"/>
        <v>111945.95999999996</v>
      </c>
      <c r="Q200" s="234">
        <f t="shared" si="13"/>
        <v>-62629.95999999996</v>
      </c>
      <c r="R200" s="234">
        <f t="shared" si="13"/>
        <v>-155326.4400000004</v>
      </c>
      <c r="S200" s="234">
        <f t="shared" si="13"/>
        <v>-489043.5599999996</v>
      </c>
      <c r="T200" s="234">
        <f t="shared" si="13"/>
        <v>-319053.2400000002</v>
      </c>
      <c r="U200" s="234">
        <f t="shared" si="13"/>
        <v>-73719.64999999944</v>
      </c>
      <c r="V200" s="234">
        <f t="shared" si="13"/>
        <v>-62413.5700000003</v>
      </c>
      <c r="W200" s="235"/>
      <c r="X200" s="236"/>
    </row>
    <row r="201" spans="1:24" s="237" customFormat="1" ht="15" customHeight="1" hidden="1">
      <c r="A201" s="131"/>
      <c r="B201" s="152"/>
      <c r="C201" s="500" t="s">
        <v>769</v>
      </c>
      <c r="D201" s="500"/>
      <c r="E201" s="500"/>
      <c r="F201" s="500"/>
      <c r="G201" s="500"/>
      <c r="H201" s="234"/>
      <c r="I201" s="234">
        <f>I189-H189</f>
        <v>1896967.8100000015</v>
      </c>
      <c r="J201" s="234">
        <f>J189-I189</f>
        <v>994750.6799999997</v>
      </c>
      <c r="K201" s="234">
        <f aca="true" t="shared" si="14" ref="K201:V201">K189-J189</f>
        <v>-42265.98000000045</v>
      </c>
      <c r="L201" s="234">
        <f>L189-K189</f>
        <v>-2461891.0199999996</v>
      </c>
      <c r="M201" s="234">
        <f t="shared" si="14"/>
        <v>-301994.33999999985</v>
      </c>
      <c r="N201" s="234">
        <f t="shared" si="14"/>
        <v>-99480.66000000015</v>
      </c>
      <c r="O201" s="234">
        <f t="shared" si="14"/>
        <v>23085</v>
      </c>
      <c r="P201" s="234">
        <f t="shared" si="14"/>
        <v>-47124.04000000004</v>
      </c>
      <c r="Q201" s="234">
        <f t="shared" si="14"/>
        <v>-218299.95999999996</v>
      </c>
      <c r="R201" s="234">
        <f t="shared" si="14"/>
        <v>-319616.4400000004</v>
      </c>
      <c r="S201" s="234">
        <f t="shared" si="14"/>
        <v>-639373.5599999996</v>
      </c>
      <c r="T201" s="234">
        <f t="shared" si="14"/>
        <v>-456978.2400000002</v>
      </c>
      <c r="U201" s="234">
        <f t="shared" si="14"/>
        <v>-198834.64999999944</v>
      </c>
      <c r="V201" s="234">
        <f t="shared" si="14"/>
        <v>-193303.5700000003</v>
      </c>
      <c r="W201" s="235"/>
      <c r="X201" s="236"/>
    </row>
    <row r="202" spans="1:24" s="237" customFormat="1" ht="12.75" hidden="1">
      <c r="A202" s="238"/>
      <c r="B202" s="239"/>
      <c r="C202" s="238"/>
      <c r="D202" s="238"/>
      <c r="E202" s="145"/>
      <c r="F202" s="240"/>
      <c r="G202" s="338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</row>
    <row r="203" spans="1:24" s="237" customFormat="1" ht="12.75" hidden="1">
      <c r="A203" s="238"/>
      <c r="B203" s="239"/>
      <c r="C203" s="238"/>
      <c r="D203" s="238"/>
      <c r="E203" s="145"/>
      <c r="F203" s="240"/>
      <c r="G203" s="338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41"/>
      <c r="T203" s="241"/>
      <c r="U203" s="241"/>
      <c r="V203" s="241"/>
      <c r="W203" s="241"/>
      <c r="X203" s="241"/>
    </row>
    <row r="204" spans="1:24" s="237" customFormat="1" ht="12.75">
      <c r="A204" s="238"/>
      <c r="B204" s="239"/>
      <c r="C204" s="238"/>
      <c r="D204" s="238"/>
      <c r="E204" s="145"/>
      <c r="F204" s="240"/>
      <c r="G204" s="338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41"/>
      <c r="T204" s="241"/>
      <c r="U204" s="241"/>
      <c r="V204" s="241"/>
      <c r="W204" s="241"/>
      <c r="X204" s="241"/>
    </row>
    <row r="205" spans="1:24" s="237" customFormat="1" ht="12.75">
      <c r="A205" s="238"/>
      <c r="B205" s="242" t="s">
        <v>770</v>
      </c>
      <c r="C205" s="238"/>
      <c r="D205" s="238"/>
      <c r="E205" s="145"/>
      <c r="F205" s="240"/>
      <c r="G205" s="338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41"/>
      <c r="T205" s="241"/>
      <c r="U205" s="241"/>
      <c r="V205" s="241"/>
      <c r="W205" s="241"/>
      <c r="X205" s="241"/>
    </row>
    <row r="206" spans="1:24" s="237" customFormat="1" ht="12.75" customHeight="1">
      <c r="A206" s="419">
        <v>1</v>
      </c>
      <c r="B206" s="187" t="s">
        <v>557</v>
      </c>
      <c r="C206" s="427" t="s">
        <v>771</v>
      </c>
      <c r="D206" s="149"/>
      <c r="E206" s="501">
        <v>5122338.52</v>
      </c>
      <c r="F206" s="503" t="s">
        <v>772</v>
      </c>
      <c r="G206" s="373" t="s">
        <v>560</v>
      </c>
      <c r="H206" s="162">
        <v>216000</v>
      </c>
      <c r="I206" s="157">
        <v>216000</v>
      </c>
      <c r="J206" s="157">
        <v>216000</v>
      </c>
      <c r="K206" s="157">
        <v>216000</v>
      </c>
      <c r="L206" s="157">
        <v>216000</v>
      </c>
      <c r="M206" s="157">
        <v>216000</v>
      </c>
      <c r="N206" s="157">
        <v>216000</v>
      </c>
      <c r="O206" s="157">
        <v>216000</v>
      </c>
      <c r="P206" s="157">
        <v>0</v>
      </c>
      <c r="Q206" s="157">
        <v>0</v>
      </c>
      <c r="R206" s="157">
        <v>0</v>
      </c>
      <c r="S206" s="157">
        <v>0</v>
      </c>
      <c r="T206" s="157">
        <v>0</v>
      </c>
      <c r="U206" s="157">
        <v>0</v>
      </c>
      <c r="V206" s="157">
        <v>0</v>
      </c>
      <c r="W206" s="157">
        <v>0</v>
      </c>
      <c r="X206" s="151">
        <f>SUM(H206:W206)</f>
        <v>1728000</v>
      </c>
    </row>
    <row r="207" spans="1:24" s="237" customFormat="1" ht="12.75">
      <c r="A207" s="420"/>
      <c r="B207" s="243" t="s">
        <v>773</v>
      </c>
      <c r="C207" s="428"/>
      <c r="D207" s="159"/>
      <c r="E207" s="502"/>
      <c r="F207" s="504"/>
      <c r="G207" s="374">
        <v>0.03371</v>
      </c>
      <c r="H207" s="244">
        <f>8595+37460</f>
        <v>46055</v>
      </c>
      <c r="I207" s="160">
        <v>50685</v>
      </c>
      <c r="J207" s="160">
        <v>43160</v>
      </c>
      <c r="K207" s="160">
        <v>35775</v>
      </c>
      <c r="L207" s="160">
        <v>28395</v>
      </c>
      <c r="M207" s="160">
        <v>21075</v>
      </c>
      <c r="N207" s="160">
        <v>13630</v>
      </c>
      <c r="O207" s="160">
        <v>6245</v>
      </c>
      <c r="P207" s="160">
        <v>410</v>
      </c>
      <c r="Q207" s="160">
        <v>0</v>
      </c>
      <c r="R207" s="160">
        <v>0</v>
      </c>
      <c r="S207" s="160">
        <v>0</v>
      </c>
      <c r="T207" s="160">
        <v>0</v>
      </c>
      <c r="U207" s="160">
        <v>0</v>
      </c>
      <c r="V207" s="160">
        <v>0</v>
      </c>
      <c r="W207" s="160">
        <v>0</v>
      </c>
      <c r="X207" s="156">
        <f>SUM(H207:W207)</f>
        <v>245430</v>
      </c>
    </row>
    <row r="208" spans="1:24" s="237" customFormat="1" ht="12.75" customHeight="1">
      <c r="A208" s="419">
        <v>2</v>
      </c>
      <c r="B208" s="187" t="s">
        <v>557</v>
      </c>
      <c r="C208" s="427" t="s">
        <v>774</v>
      </c>
      <c r="D208" s="149"/>
      <c r="E208" s="501">
        <v>522193.95</v>
      </c>
      <c r="F208" s="503" t="s">
        <v>775</v>
      </c>
      <c r="G208" s="373" t="s">
        <v>560</v>
      </c>
      <c r="H208" s="162">
        <v>10699.57</v>
      </c>
      <c r="I208" s="162">
        <v>32139.84</v>
      </c>
      <c r="J208" s="162">
        <v>32139.84</v>
      </c>
      <c r="K208" s="162">
        <v>32139.84</v>
      </c>
      <c r="L208" s="162">
        <v>32139.84</v>
      </c>
      <c r="M208" s="162">
        <v>32139.84</v>
      </c>
      <c r="N208" s="162">
        <v>32139.84</v>
      </c>
      <c r="O208" s="162">
        <v>32061.39</v>
      </c>
      <c r="P208" s="157">
        <v>0</v>
      </c>
      <c r="Q208" s="157">
        <v>0</v>
      </c>
      <c r="R208" s="157">
        <v>0</v>
      </c>
      <c r="S208" s="157">
        <v>0</v>
      </c>
      <c r="T208" s="157">
        <v>0</v>
      </c>
      <c r="U208" s="157">
        <v>0</v>
      </c>
      <c r="V208" s="157">
        <v>0</v>
      </c>
      <c r="W208" s="157">
        <v>0</v>
      </c>
      <c r="X208" s="151">
        <f>SUM(H208:W208)</f>
        <v>235600</v>
      </c>
    </row>
    <row r="209" spans="1:24" s="237" customFormat="1" ht="12.75">
      <c r="A209" s="420"/>
      <c r="B209" s="243" t="s">
        <v>776</v>
      </c>
      <c r="C209" s="428"/>
      <c r="D209" s="159"/>
      <c r="E209" s="502"/>
      <c r="F209" s="504"/>
      <c r="G209" s="374">
        <v>0.03367</v>
      </c>
      <c r="H209" s="244">
        <f>1195+5250</f>
        <v>6445</v>
      </c>
      <c r="I209" s="160">
        <f>1120+6410</f>
        <v>7530</v>
      </c>
      <c r="J209" s="160">
        <v>6415</v>
      </c>
      <c r="K209" s="160">
        <v>5315</v>
      </c>
      <c r="L209" s="160">
        <v>4220</v>
      </c>
      <c r="M209" s="160">
        <v>3130</v>
      </c>
      <c r="N209" s="160">
        <v>2025</v>
      </c>
      <c r="O209" s="160">
        <v>930</v>
      </c>
      <c r="P209" s="160">
        <v>65</v>
      </c>
      <c r="Q209" s="160">
        <v>0</v>
      </c>
      <c r="R209" s="160">
        <v>0</v>
      </c>
      <c r="S209" s="160">
        <v>0</v>
      </c>
      <c r="T209" s="160">
        <v>0</v>
      </c>
      <c r="U209" s="160">
        <v>0</v>
      </c>
      <c r="V209" s="160">
        <v>0</v>
      </c>
      <c r="W209" s="160">
        <v>0</v>
      </c>
      <c r="X209" s="156">
        <f>SUM(H209:W209)</f>
        <v>36075</v>
      </c>
    </row>
    <row r="210" spans="1:24" s="237" customFormat="1" ht="12.75" customHeight="1">
      <c r="A210" s="419">
        <v>3</v>
      </c>
      <c r="B210" s="187" t="s">
        <v>557</v>
      </c>
      <c r="C210" s="427" t="s">
        <v>777</v>
      </c>
      <c r="D210" s="149"/>
      <c r="E210" s="501">
        <f>6033386-77724.71</f>
        <v>5955661.29</v>
      </c>
      <c r="F210" s="427" t="s">
        <v>778</v>
      </c>
      <c r="G210" s="373" t="s">
        <v>560</v>
      </c>
      <c r="H210" s="162">
        <v>212528.79</v>
      </c>
      <c r="I210" s="162">
        <v>212568</v>
      </c>
      <c r="J210" s="162">
        <v>212568</v>
      </c>
      <c r="K210" s="162">
        <v>212568</v>
      </c>
      <c r="L210" s="162">
        <v>212568</v>
      </c>
      <c r="M210" s="162">
        <v>212568</v>
      </c>
      <c r="N210" s="162">
        <v>212568</v>
      </c>
      <c r="O210" s="162">
        <v>212568</v>
      </c>
      <c r="P210" s="162">
        <v>212568</v>
      </c>
      <c r="Q210" s="162">
        <v>212568</v>
      </c>
      <c r="R210" s="162">
        <v>212568</v>
      </c>
      <c r="S210" s="162">
        <v>212568</v>
      </c>
      <c r="T210" s="162">
        <v>212568</v>
      </c>
      <c r="U210" s="162">
        <v>212568</v>
      </c>
      <c r="V210" s="162">
        <v>212568</v>
      </c>
      <c r="W210" s="158">
        <v>2603958</v>
      </c>
      <c r="X210" s="151">
        <f aca="true" t="shared" si="15" ref="X210:X219">SUM(H210:W210)</f>
        <v>5792438.79</v>
      </c>
    </row>
    <row r="211" spans="1:24" s="237" customFormat="1" ht="12.75">
      <c r="A211" s="420"/>
      <c r="B211" s="243" t="s">
        <v>779</v>
      </c>
      <c r="C211" s="428"/>
      <c r="D211" s="159"/>
      <c r="E211" s="502"/>
      <c r="F211" s="428"/>
      <c r="G211" s="374">
        <v>0.04178</v>
      </c>
      <c r="H211" s="244">
        <v>215400</v>
      </c>
      <c r="I211" s="244">
        <v>235630</v>
      </c>
      <c r="J211" s="244">
        <v>225975</v>
      </c>
      <c r="K211" s="244">
        <v>216970</v>
      </c>
      <c r="L211" s="244">
        <v>207970</v>
      </c>
      <c r="M211" s="244">
        <v>199510</v>
      </c>
      <c r="N211" s="244">
        <v>189960</v>
      </c>
      <c r="O211" s="244">
        <v>180955</v>
      </c>
      <c r="P211" s="244">
        <v>171950</v>
      </c>
      <c r="Q211" s="244">
        <v>163395</v>
      </c>
      <c r="R211" s="244">
        <v>153940</v>
      </c>
      <c r="S211" s="244">
        <v>144935</v>
      </c>
      <c r="T211" s="244">
        <v>135930</v>
      </c>
      <c r="U211" s="244">
        <v>127280</v>
      </c>
      <c r="V211" s="244">
        <v>117925</v>
      </c>
      <c r="W211" s="161">
        <v>714725</v>
      </c>
      <c r="X211" s="156">
        <f t="shared" si="15"/>
        <v>3402450</v>
      </c>
    </row>
    <row r="212" spans="1:24" s="237" customFormat="1" ht="12.75">
      <c r="A212" s="419">
        <v>4</v>
      </c>
      <c r="B212" s="187" t="s">
        <v>557</v>
      </c>
      <c r="C212" s="505" t="s">
        <v>780</v>
      </c>
      <c r="D212" s="149"/>
      <c r="E212" s="501">
        <v>203978</v>
      </c>
      <c r="F212" s="503" t="s">
        <v>781</v>
      </c>
      <c r="G212" s="373" t="s">
        <v>560</v>
      </c>
      <c r="H212" s="162">
        <v>10328</v>
      </c>
      <c r="I212" s="157">
        <v>10328</v>
      </c>
      <c r="J212" s="157">
        <v>10328</v>
      </c>
      <c r="K212" s="157">
        <v>10328</v>
      </c>
      <c r="L212" s="157">
        <v>10328</v>
      </c>
      <c r="M212" s="157">
        <v>10328</v>
      </c>
      <c r="N212" s="157">
        <v>10328</v>
      </c>
      <c r="O212" s="157">
        <v>10328</v>
      </c>
      <c r="P212" s="157">
        <v>10328</v>
      </c>
      <c r="Q212" s="157">
        <v>10328</v>
      </c>
      <c r="R212" s="157">
        <v>10328</v>
      </c>
      <c r="S212" s="157">
        <v>10328</v>
      </c>
      <c r="T212" s="157">
        <v>10328</v>
      </c>
      <c r="U212" s="157">
        <v>10328</v>
      </c>
      <c r="V212" s="157">
        <v>10328</v>
      </c>
      <c r="W212" s="158">
        <v>43894</v>
      </c>
      <c r="X212" s="151">
        <f>SUM(H212:W212)</f>
        <v>198814</v>
      </c>
    </row>
    <row r="213" spans="1:24" s="237" customFormat="1" ht="12.75">
      <c r="A213" s="420"/>
      <c r="B213" s="243" t="s">
        <v>782</v>
      </c>
      <c r="C213" s="428"/>
      <c r="D213" s="159"/>
      <c r="E213" s="502"/>
      <c r="F213" s="504"/>
      <c r="G213" s="374">
        <v>0.0053</v>
      </c>
      <c r="H213" s="244">
        <v>2955</v>
      </c>
      <c r="I213" s="160">
        <v>2810</v>
      </c>
      <c r="J213" s="160">
        <v>2645</v>
      </c>
      <c r="K213" s="160">
        <v>2490</v>
      </c>
      <c r="L213" s="160">
        <v>2335</v>
      </c>
      <c r="M213" s="160">
        <v>2190</v>
      </c>
      <c r="N213" s="160">
        <v>2030</v>
      </c>
      <c r="O213" s="160">
        <v>1875</v>
      </c>
      <c r="P213" s="160">
        <v>1720</v>
      </c>
      <c r="Q213" s="160">
        <v>1570</v>
      </c>
      <c r="R213" s="160">
        <v>1410</v>
      </c>
      <c r="S213" s="160">
        <v>1255</v>
      </c>
      <c r="T213" s="160">
        <v>1100</v>
      </c>
      <c r="U213" s="160">
        <v>950</v>
      </c>
      <c r="V213" s="160">
        <v>790</v>
      </c>
      <c r="W213" s="161">
        <v>1635</v>
      </c>
      <c r="X213" s="156">
        <f t="shared" si="15"/>
        <v>29760</v>
      </c>
    </row>
    <row r="214" spans="1:24" s="237" customFormat="1" ht="12.75">
      <c r="A214" s="419">
        <v>5</v>
      </c>
      <c r="B214" s="187" t="s">
        <v>557</v>
      </c>
      <c r="C214" s="505" t="s">
        <v>780</v>
      </c>
      <c r="D214" s="149"/>
      <c r="E214" s="501">
        <v>150829</v>
      </c>
      <c r="F214" s="503" t="s">
        <v>783</v>
      </c>
      <c r="G214" s="373" t="s">
        <v>560</v>
      </c>
      <c r="H214" s="162">
        <v>7544</v>
      </c>
      <c r="I214" s="157">
        <v>7544</v>
      </c>
      <c r="J214" s="157">
        <v>7544</v>
      </c>
      <c r="K214" s="157">
        <v>7544</v>
      </c>
      <c r="L214" s="157">
        <v>7544</v>
      </c>
      <c r="M214" s="157">
        <v>7544</v>
      </c>
      <c r="N214" s="157">
        <v>7544</v>
      </c>
      <c r="O214" s="157">
        <v>7544</v>
      </c>
      <c r="P214" s="157">
        <v>7544</v>
      </c>
      <c r="Q214" s="157">
        <v>7544</v>
      </c>
      <c r="R214" s="157">
        <v>7544</v>
      </c>
      <c r="S214" s="157">
        <v>7544</v>
      </c>
      <c r="T214" s="157">
        <v>7544</v>
      </c>
      <c r="U214" s="157">
        <v>7544</v>
      </c>
      <c r="V214" s="157">
        <v>7544</v>
      </c>
      <c r="W214" s="158">
        <v>33948</v>
      </c>
      <c r="X214" s="151">
        <f>SUM(H214:W214)</f>
        <v>147108</v>
      </c>
    </row>
    <row r="215" spans="1:24" s="237" customFormat="1" ht="12.75">
      <c r="A215" s="420"/>
      <c r="B215" s="243" t="s">
        <v>784</v>
      </c>
      <c r="C215" s="428"/>
      <c r="D215" s="159"/>
      <c r="E215" s="502"/>
      <c r="F215" s="504"/>
      <c r="G215" s="374">
        <f>(0.614+1.39)/100</f>
        <v>0.02004</v>
      </c>
      <c r="H215" s="244">
        <v>2970</v>
      </c>
      <c r="I215" s="160">
        <v>2820</v>
      </c>
      <c r="J215" s="160">
        <v>2660</v>
      </c>
      <c r="K215" s="160">
        <v>2510</v>
      </c>
      <c r="L215" s="160">
        <v>2355</v>
      </c>
      <c r="M215" s="160">
        <v>2210</v>
      </c>
      <c r="N215" s="160">
        <v>2050</v>
      </c>
      <c r="O215" s="160">
        <v>1895</v>
      </c>
      <c r="P215" s="160">
        <v>1740</v>
      </c>
      <c r="Q215" s="160">
        <v>1595</v>
      </c>
      <c r="R215" s="160">
        <v>1435</v>
      </c>
      <c r="S215" s="160">
        <v>1280</v>
      </c>
      <c r="T215" s="160">
        <v>1130</v>
      </c>
      <c r="U215" s="160">
        <v>980</v>
      </c>
      <c r="V215" s="160">
        <v>820</v>
      </c>
      <c r="W215" s="161">
        <v>1800</v>
      </c>
      <c r="X215" s="156">
        <f t="shared" si="15"/>
        <v>30250</v>
      </c>
    </row>
    <row r="216" spans="1:24" s="247" customFormat="1" ht="12.75">
      <c r="A216" s="506">
        <v>6</v>
      </c>
      <c r="B216" s="245"/>
      <c r="C216" s="508" t="s">
        <v>785</v>
      </c>
      <c r="D216" s="200"/>
      <c r="E216" s="510">
        <v>4383756</v>
      </c>
      <c r="F216" s="512" t="s">
        <v>786</v>
      </c>
      <c r="G216" s="375" t="s">
        <v>560</v>
      </c>
      <c r="H216" s="246"/>
      <c r="I216" s="246">
        <v>182656</v>
      </c>
      <c r="J216" s="246">
        <v>365312</v>
      </c>
      <c r="K216" s="246">
        <v>365312</v>
      </c>
      <c r="L216" s="246">
        <v>365312</v>
      </c>
      <c r="M216" s="246">
        <v>365312</v>
      </c>
      <c r="N216" s="246">
        <v>365312</v>
      </c>
      <c r="O216" s="246">
        <v>365312</v>
      </c>
      <c r="P216" s="246">
        <v>365312</v>
      </c>
      <c r="Q216" s="246">
        <v>365312</v>
      </c>
      <c r="R216" s="246">
        <v>365312</v>
      </c>
      <c r="S216" s="246">
        <v>365312</v>
      </c>
      <c r="T216" s="246">
        <v>365312</v>
      </c>
      <c r="U216" s="246">
        <v>182668</v>
      </c>
      <c r="V216" s="246"/>
      <c r="W216" s="246"/>
      <c r="X216" s="151">
        <f>SUM(H216:W216)</f>
        <v>4383756</v>
      </c>
    </row>
    <row r="217" spans="1:24" s="247" customFormat="1" ht="12.75">
      <c r="A217" s="507"/>
      <c r="B217" s="248"/>
      <c r="C217" s="509"/>
      <c r="D217" s="203"/>
      <c r="E217" s="511"/>
      <c r="F217" s="509"/>
      <c r="G217" s="376">
        <v>0.04847</v>
      </c>
      <c r="H217" s="249">
        <v>142835</v>
      </c>
      <c r="I217" s="249">
        <v>191235</v>
      </c>
      <c r="J217" s="249">
        <v>180685</v>
      </c>
      <c r="K217" s="249">
        <v>164795</v>
      </c>
      <c r="L217" s="249">
        <v>148910</v>
      </c>
      <c r="M217" s="249">
        <v>133440</v>
      </c>
      <c r="N217" s="249">
        <v>117140</v>
      </c>
      <c r="O217" s="249">
        <v>101250</v>
      </c>
      <c r="P217" s="249">
        <v>85365</v>
      </c>
      <c r="Q217" s="249">
        <v>69700</v>
      </c>
      <c r="R217" s="249">
        <v>53590</v>
      </c>
      <c r="S217" s="249">
        <v>37705</v>
      </c>
      <c r="T217" s="249">
        <v>21815</v>
      </c>
      <c r="U217" s="249">
        <v>5955</v>
      </c>
      <c r="V217" s="249"/>
      <c r="W217" s="249"/>
      <c r="X217" s="156">
        <f t="shared" si="15"/>
        <v>1454420</v>
      </c>
    </row>
    <row r="218" spans="1:24" s="237" customFormat="1" ht="12.75" hidden="1">
      <c r="A218" s="513"/>
      <c r="B218" s="187"/>
      <c r="C218" s="505"/>
      <c r="D218" s="149"/>
      <c r="E218" s="501"/>
      <c r="F218" s="503"/>
      <c r="G218" s="339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51">
        <f t="shared" si="15"/>
        <v>0</v>
      </c>
    </row>
    <row r="219" spans="1:24" s="237" customFormat="1" ht="12.75" hidden="1">
      <c r="A219" s="514"/>
      <c r="B219" s="243"/>
      <c r="C219" s="428"/>
      <c r="D219" s="159"/>
      <c r="E219" s="502"/>
      <c r="F219" s="504"/>
      <c r="G219" s="340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156">
        <f t="shared" si="15"/>
        <v>0</v>
      </c>
    </row>
    <row r="220" spans="1:24" s="237" customFormat="1" ht="12.75">
      <c r="A220" s="204"/>
      <c r="B220" s="515" t="s">
        <v>759</v>
      </c>
      <c r="C220" s="516"/>
      <c r="D220" s="516"/>
      <c r="E220" s="516"/>
      <c r="F220" s="517"/>
      <c r="G220" s="332"/>
      <c r="H220" s="250">
        <f>H206+H208+H210+H212+H218+H214+H216</f>
        <v>457100.36</v>
      </c>
      <c r="I220" s="250">
        <f aca="true" t="shared" si="16" ref="I220:X221">I206+I208+I210+I212+I218+I214+I216</f>
        <v>661235.84</v>
      </c>
      <c r="J220" s="250">
        <f t="shared" si="16"/>
        <v>843891.84</v>
      </c>
      <c r="K220" s="250">
        <f t="shared" si="16"/>
        <v>843891.84</v>
      </c>
      <c r="L220" s="250">
        <f t="shared" si="16"/>
        <v>843891.84</v>
      </c>
      <c r="M220" s="250">
        <f t="shared" si="16"/>
        <v>843891.84</v>
      </c>
      <c r="N220" s="250">
        <f t="shared" si="16"/>
        <v>843891.84</v>
      </c>
      <c r="O220" s="250">
        <f t="shared" si="16"/>
        <v>843813.39</v>
      </c>
      <c r="P220" s="250">
        <f t="shared" si="16"/>
        <v>595752</v>
      </c>
      <c r="Q220" s="250">
        <f t="shared" si="16"/>
        <v>595752</v>
      </c>
      <c r="R220" s="250">
        <f t="shared" si="16"/>
        <v>595752</v>
      </c>
      <c r="S220" s="250">
        <f t="shared" si="16"/>
        <v>595752</v>
      </c>
      <c r="T220" s="250">
        <f t="shared" si="16"/>
        <v>595752</v>
      </c>
      <c r="U220" s="250">
        <f t="shared" si="16"/>
        <v>413108</v>
      </c>
      <c r="V220" s="250">
        <f t="shared" si="16"/>
        <v>230440</v>
      </c>
      <c r="W220" s="250">
        <f t="shared" si="16"/>
        <v>2681800</v>
      </c>
      <c r="X220" s="251">
        <f t="shared" si="16"/>
        <v>12485716.79</v>
      </c>
    </row>
    <row r="221" spans="1:24" s="237" customFormat="1" ht="13.5" thickBot="1">
      <c r="A221" s="252"/>
      <c r="B221" s="515" t="s">
        <v>760</v>
      </c>
      <c r="C221" s="516"/>
      <c r="D221" s="516"/>
      <c r="E221" s="516"/>
      <c r="F221" s="517"/>
      <c r="G221" s="341"/>
      <c r="H221" s="250">
        <f>H207+H209+H211+H213+H219+H215+H217</f>
        <v>416660</v>
      </c>
      <c r="I221" s="250">
        <f t="shared" si="16"/>
        <v>490710</v>
      </c>
      <c r="J221" s="250">
        <f t="shared" si="16"/>
        <v>461540</v>
      </c>
      <c r="K221" s="250">
        <f t="shared" si="16"/>
        <v>427855</v>
      </c>
      <c r="L221" s="250">
        <f t="shared" si="16"/>
        <v>394185</v>
      </c>
      <c r="M221" s="250">
        <f t="shared" si="16"/>
        <v>361555</v>
      </c>
      <c r="N221" s="250">
        <f t="shared" si="16"/>
        <v>326835</v>
      </c>
      <c r="O221" s="250">
        <f t="shared" si="16"/>
        <v>293150</v>
      </c>
      <c r="P221" s="250">
        <f t="shared" si="16"/>
        <v>261250</v>
      </c>
      <c r="Q221" s="250">
        <f t="shared" si="16"/>
        <v>236260</v>
      </c>
      <c r="R221" s="250">
        <f t="shared" si="16"/>
        <v>210375</v>
      </c>
      <c r="S221" s="250">
        <f t="shared" si="16"/>
        <v>185175</v>
      </c>
      <c r="T221" s="250">
        <f t="shared" si="16"/>
        <v>159975</v>
      </c>
      <c r="U221" s="250">
        <f t="shared" si="16"/>
        <v>135165</v>
      </c>
      <c r="V221" s="250">
        <f t="shared" si="16"/>
        <v>119535</v>
      </c>
      <c r="W221" s="250">
        <f t="shared" si="16"/>
        <v>718160</v>
      </c>
      <c r="X221" s="253">
        <f t="shared" si="16"/>
        <v>5198385</v>
      </c>
    </row>
    <row r="222" spans="1:24" s="237" customFormat="1" ht="13.5" thickTop="1">
      <c r="A222" s="254"/>
      <c r="B222" s="520" t="s">
        <v>787</v>
      </c>
      <c r="C222" s="521"/>
      <c r="D222" s="521"/>
      <c r="E222" s="521"/>
      <c r="F222" s="521"/>
      <c r="G222" s="334"/>
      <c r="H222" s="211">
        <f>SUM(H220:H221)</f>
        <v>873760.36</v>
      </c>
      <c r="I222" s="211">
        <f aca="true" t="shared" si="17" ref="I222:U222">SUM(I220:I221)</f>
        <v>1151945.8399999999</v>
      </c>
      <c r="J222" s="211">
        <f t="shared" si="17"/>
        <v>1305431.8399999999</v>
      </c>
      <c r="K222" s="211">
        <f t="shared" si="17"/>
        <v>1271746.8399999999</v>
      </c>
      <c r="L222" s="211">
        <f t="shared" si="17"/>
        <v>1238076.8399999999</v>
      </c>
      <c r="M222" s="211">
        <f t="shared" si="17"/>
        <v>1205446.8399999999</v>
      </c>
      <c r="N222" s="211">
        <f t="shared" si="17"/>
        <v>1170726.8399999999</v>
      </c>
      <c r="O222" s="211">
        <f t="shared" si="17"/>
        <v>1136963.3900000001</v>
      </c>
      <c r="P222" s="211">
        <f t="shared" si="17"/>
        <v>857002</v>
      </c>
      <c r="Q222" s="211">
        <f t="shared" si="17"/>
        <v>832012</v>
      </c>
      <c r="R222" s="211">
        <f t="shared" si="17"/>
        <v>806127</v>
      </c>
      <c r="S222" s="211">
        <f t="shared" si="17"/>
        <v>780927</v>
      </c>
      <c r="T222" s="211">
        <f t="shared" si="17"/>
        <v>755727</v>
      </c>
      <c r="U222" s="211">
        <f t="shared" si="17"/>
        <v>548273</v>
      </c>
      <c r="V222" s="211">
        <f>SUM(V220:V221)</f>
        <v>349975</v>
      </c>
      <c r="W222" s="211">
        <f>SUM(W220:W221)</f>
        <v>3399960</v>
      </c>
      <c r="X222" s="212">
        <f>SUM(X220:X221)</f>
        <v>17684101.79</v>
      </c>
    </row>
    <row r="223" spans="1:24" s="237" customFormat="1" ht="12.75">
      <c r="A223" s="255"/>
      <c r="B223" s="491" t="s">
        <v>765</v>
      </c>
      <c r="C223" s="492"/>
      <c r="D223" s="493"/>
      <c r="E223" s="256">
        <f>E206+E208+E210+E212+E214+E216</f>
        <v>16338756.76</v>
      </c>
      <c r="F223" s="257"/>
      <c r="G223" s="342"/>
      <c r="H223" s="258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</row>
    <row r="224" spans="1:24" s="237" customFormat="1" ht="12.75">
      <c r="A224" s="255"/>
      <c r="B224" s="491" t="s">
        <v>766</v>
      </c>
      <c r="C224" s="492"/>
      <c r="D224" s="493"/>
      <c r="E224" s="259">
        <f>E193</f>
        <v>67698835</v>
      </c>
      <c r="F224" s="260"/>
      <c r="G224" s="343"/>
      <c r="H224" s="258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</row>
    <row r="225" spans="1:24" s="237" customFormat="1" ht="12.75" hidden="1">
      <c r="A225" s="255"/>
      <c r="B225" s="261"/>
      <c r="C225" s="257"/>
      <c r="D225" s="257"/>
      <c r="E225" s="260"/>
      <c r="F225" s="260"/>
      <c r="G225" s="343"/>
      <c r="H225" s="258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</row>
    <row r="226" spans="12:23" ht="12.75">
      <c r="L226" s="262"/>
      <c r="M226" s="262"/>
      <c r="N226" s="262"/>
      <c r="O226" s="262"/>
      <c r="P226" s="262"/>
      <c r="Q226" s="262"/>
      <c r="R226" s="262"/>
      <c r="S226" s="262"/>
      <c r="T226" s="262"/>
      <c r="U226" s="262"/>
      <c r="V226" s="263"/>
      <c r="W226" s="263"/>
    </row>
    <row r="227" spans="1:24" s="237" customFormat="1" ht="12" customHeight="1">
      <c r="A227" s="131"/>
      <c r="B227" s="152"/>
      <c r="C227" s="264" t="s">
        <v>788</v>
      </c>
      <c r="D227" s="264"/>
      <c r="E227" s="145"/>
      <c r="F227" s="131"/>
      <c r="G227" s="344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6"/>
      <c r="W227" s="136"/>
      <c r="X227" s="136"/>
    </row>
    <row r="228" spans="1:24" s="237" customFormat="1" ht="12.75">
      <c r="A228" s="265"/>
      <c r="B228" s="522" t="s">
        <v>759</v>
      </c>
      <c r="C228" s="523"/>
      <c r="D228" s="523"/>
      <c r="E228" s="523"/>
      <c r="F228" s="523"/>
      <c r="G228" s="524"/>
      <c r="H228" s="266">
        <f>H187+H220</f>
        <v>5092380.869999999</v>
      </c>
      <c r="I228" s="266">
        <f aca="true" t="shared" si="18" ref="H228:X229">I187+I220</f>
        <v>5515629.16</v>
      </c>
      <c r="J228" s="266">
        <f t="shared" si="18"/>
        <v>6033925.84</v>
      </c>
      <c r="K228" s="266">
        <f t="shared" si="18"/>
        <v>6256909.859999999</v>
      </c>
      <c r="L228" s="266">
        <f t="shared" si="18"/>
        <v>5569043.84</v>
      </c>
      <c r="M228" s="266">
        <f t="shared" si="18"/>
        <v>5415494.5</v>
      </c>
      <c r="N228" s="266">
        <f t="shared" si="18"/>
        <v>5478043.84</v>
      </c>
      <c r="O228" s="266">
        <f t="shared" si="18"/>
        <v>5652035.39</v>
      </c>
      <c r="P228" s="266">
        <f t="shared" si="18"/>
        <v>5515919.96</v>
      </c>
      <c r="Q228" s="266">
        <f t="shared" si="18"/>
        <v>5453290</v>
      </c>
      <c r="R228" s="266">
        <f t="shared" si="18"/>
        <v>5297963.56</v>
      </c>
      <c r="S228" s="266">
        <f t="shared" si="18"/>
        <v>4808920</v>
      </c>
      <c r="T228" s="266">
        <f t="shared" si="18"/>
        <v>4489866.76</v>
      </c>
      <c r="U228" s="266">
        <f t="shared" si="18"/>
        <v>4233503.11</v>
      </c>
      <c r="V228" s="266">
        <f t="shared" si="18"/>
        <v>3988421.54</v>
      </c>
      <c r="W228" s="266">
        <f t="shared" si="18"/>
        <v>39966514.48</v>
      </c>
      <c r="X228" s="267">
        <f t="shared" si="18"/>
        <v>118767862.70999998</v>
      </c>
    </row>
    <row r="229" spans="1:24" s="237" customFormat="1" ht="13.5" thickBot="1">
      <c r="A229" s="268"/>
      <c r="B229" s="525" t="s">
        <v>760</v>
      </c>
      <c r="C229" s="526"/>
      <c r="D229" s="526"/>
      <c r="E229" s="526"/>
      <c r="F229" s="526"/>
      <c r="G229" s="527"/>
      <c r="H229" s="269">
        <f t="shared" si="18"/>
        <v>2974635</v>
      </c>
      <c r="I229" s="269">
        <f t="shared" si="18"/>
        <v>4726540</v>
      </c>
      <c r="J229" s="269">
        <f t="shared" si="18"/>
        <v>5356480</v>
      </c>
      <c r="K229" s="269">
        <f t="shared" si="18"/>
        <v>5057545</v>
      </c>
      <c r="L229" s="269">
        <f t="shared" si="18"/>
        <v>3249850</v>
      </c>
      <c r="M229" s="269">
        <f t="shared" si="18"/>
        <v>3068775</v>
      </c>
      <c r="N229" s="269">
        <f t="shared" si="18"/>
        <v>2872025</v>
      </c>
      <c r="O229" s="269">
        <f t="shared" si="18"/>
        <v>2687355</v>
      </c>
      <c r="P229" s="269">
        <f t="shared" si="18"/>
        <v>2496385</v>
      </c>
      <c r="Q229" s="269">
        <f t="shared" si="18"/>
        <v>2315725</v>
      </c>
      <c r="R229" s="269">
        <f t="shared" si="18"/>
        <v>2125550</v>
      </c>
      <c r="S229" s="269">
        <f t="shared" si="18"/>
        <v>1950020</v>
      </c>
      <c r="T229" s="269">
        <f t="shared" si="18"/>
        <v>1786895</v>
      </c>
      <c r="U229" s="269">
        <f t="shared" si="18"/>
        <v>1636970</v>
      </c>
      <c r="V229" s="269">
        <f t="shared" si="18"/>
        <v>1490450</v>
      </c>
      <c r="W229" s="269">
        <f t="shared" si="18"/>
        <v>8697060</v>
      </c>
      <c r="X229" s="270">
        <f t="shared" si="18"/>
        <v>52492260</v>
      </c>
    </row>
    <row r="230" spans="1:24" s="237" customFormat="1" ht="13.5" thickTop="1">
      <c r="A230" s="271"/>
      <c r="B230" s="528" t="s">
        <v>789</v>
      </c>
      <c r="C230" s="529"/>
      <c r="D230" s="529"/>
      <c r="E230" s="529"/>
      <c r="F230" s="529"/>
      <c r="G230" s="530"/>
      <c r="H230" s="272">
        <f aca="true" t="shared" si="19" ref="H230:X230">SUM(H228:H229)</f>
        <v>8067015.869999999</v>
      </c>
      <c r="I230" s="272">
        <f t="shared" si="19"/>
        <v>10242169.16</v>
      </c>
      <c r="J230" s="272">
        <f t="shared" si="19"/>
        <v>11390405.84</v>
      </c>
      <c r="K230" s="272">
        <f t="shared" si="19"/>
        <v>11314454.86</v>
      </c>
      <c r="L230" s="272">
        <f t="shared" si="19"/>
        <v>8818893.84</v>
      </c>
      <c r="M230" s="272">
        <f t="shared" si="19"/>
        <v>8484269.5</v>
      </c>
      <c r="N230" s="272">
        <f t="shared" si="19"/>
        <v>8350068.84</v>
      </c>
      <c r="O230" s="272">
        <f t="shared" si="19"/>
        <v>8339390.39</v>
      </c>
      <c r="P230" s="272">
        <f t="shared" si="19"/>
        <v>8012304.96</v>
      </c>
      <c r="Q230" s="272">
        <f t="shared" si="19"/>
        <v>7769015</v>
      </c>
      <c r="R230" s="272">
        <f t="shared" si="19"/>
        <v>7423513.56</v>
      </c>
      <c r="S230" s="272">
        <f t="shared" si="19"/>
        <v>6758940</v>
      </c>
      <c r="T230" s="272">
        <f t="shared" si="19"/>
        <v>6276761.76</v>
      </c>
      <c r="U230" s="272">
        <f t="shared" si="19"/>
        <v>5870473.11</v>
      </c>
      <c r="V230" s="272">
        <f t="shared" si="19"/>
        <v>5478871.54</v>
      </c>
      <c r="W230" s="272">
        <f t="shared" si="19"/>
        <v>48663574.48</v>
      </c>
      <c r="X230" s="272">
        <f t="shared" si="19"/>
        <v>171260122.70999998</v>
      </c>
    </row>
    <row r="231" spans="1:24" s="237" customFormat="1" ht="12.75">
      <c r="A231" s="273"/>
      <c r="B231" s="518" t="s">
        <v>762</v>
      </c>
      <c r="C231" s="489"/>
      <c r="D231" s="489"/>
      <c r="E231" s="489"/>
      <c r="F231" s="519"/>
      <c r="G231" s="377" t="s">
        <v>763</v>
      </c>
      <c r="H231" s="274">
        <f>SUM(H230/$E$224)</f>
        <v>0.11916033518154337</v>
      </c>
      <c r="I231" s="274">
        <f aca="true" t="shared" si="20" ref="I231:V231">SUM(I230/$E$224)</f>
        <v>0.15129018335396763</v>
      </c>
      <c r="J231" s="274">
        <f t="shared" si="20"/>
        <v>0.16825113519309454</v>
      </c>
      <c r="K231" s="274">
        <f t="shared" si="20"/>
        <v>0.16712924025945203</v>
      </c>
      <c r="L231" s="274">
        <f t="shared" si="20"/>
        <v>0.13026655244510485</v>
      </c>
      <c r="M231" s="274">
        <f t="shared" si="20"/>
        <v>0.1253237149501908</v>
      </c>
      <c r="N231" s="274">
        <f t="shared" si="20"/>
        <v>0.12334139634751469</v>
      </c>
      <c r="O231" s="274">
        <f t="shared" si="20"/>
        <v>0.1231836617277092</v>
      </c>
      <c r="P231" s="274">
        <f t="shared" si="20"/>
        <v>0.1183521837561902</v>
      </c>
      <c r="Q231" s="274">
        <f t="shared" si="20"/>
        <v>0.11475847405645902</v>
      </c>
      <c r="R231" s="274">
        <f t="shared" si="20"/>
        <v>0.10965496762241181</v>
      </c>
      <c r="S231" s="274">
        <f t="shared" si="20"/>
        <v>0.0998383502463521</v>
      </c>
      <c r="T231" s="274">
        <f t="shared" si="20"/>
        <v>0.09271594939558413</v>
      </c>
      <c r="U231" s="274">
        <f t="shared" si="20"/>
        <v>0.08671453666817162</v>
      </c>
      <c r="V231" s="274">
        <f t="shared" si="20"/>
        <v>0.08093007124864113</v>
      </c>
      <c r="W231" s="274"/>
      <c r="X231" s="274"/>
    </row>
    <row r="232" spans="1:24" s="237" customFormat="1" ht="12.75">
      <c r="A232" s="273"/>
      <c r="B232" s="518" t="s">
        <v>764</v>
      </c>
      <c r="C232" s="489"/>
      <c r="D232" s="489"/>
      <c r="E232" s="489"/>
      <c r="F232" s="519"/>
      <c r="G232" s="377" t="s">
        <v>763</v>
      </c>
      <c r="H232" s="275">
        <f>SUM((H230-H195-H224)/$E$224)</f>
        <v>0.11767516870859003</v>
      </c>
      <c r="I232" s="275">
        <f aca="true" t="shared" si="21" ref="I232:V232">SUM((I230-I195-I224)/$E$224)</f>
        <v>0.15129018335396763</v>
      </c>
      <c r="J232" s="275">
        <f t="shared" si="21"/>
        <v>0.16825113519309454</v>
      </c>
      <c r="K232" s="275">
        <f t="shared" si="21"/>
        <v>0.16712924025945203</v>
      </c>
      <c r="L232" s="275">
        <f t="shared" si="21"/>
        <v>0.13026655244510485</v>
      </c>
      <c r="M232" s="275">
        <f t="shared" si="21"/>
        <v>0.1253237149501908</v>
      </c>
      <c r="N232" s="275">
        <f t="shared" si="21"/>
        <v>0.12334139634751469</v>
      </c>
      <c r="O232" s="275">
        <f t="shared" si="21"/>
        <v>0.1231836617277092</v>
      </c>
      <c r="P232" s="275">
        <f t="shared" si="21"/>
        <v>0.1183521837561902</v>
      </c>
      <c r="Q232" s="275">
        <f t="shared" si="21"/>
        <v>0.11475847405645902</v>
      </c>
      <c r="R232" s="275">
        <f t="shared" si="21"/>
        <v>0.10965496762241181</v>
      </c>
      <c r="S232" s="275">
        <f t="shared" si="21"/>
        <v>0.0998383502463521</v>
      </c>
      <c r="T232" s="275">
        <f t="shared" si="21"/>
        <v>0.09271594939558413</v>
      </c>
      <c r="U232" s="275">
        <f t="shared" si="21"/>
        <v>0.08671453666817162</v>
      </c>
      <c r="V232" s="275">
        <f t="shared" si="21"/>
        <v>0.08093007124864113</v>
      </c>
      <c r="W232" s="275"/>
      <c r="X232" s="276"/>
    </row>
    <row r="233" spans="1:24" s="237" customFormat="1" ht="15.75">
      <c r="A233" s="131"/>
      <c r="B233" s="152"/>
      <c r="C233" s="145"/>
      <c r="D233" s="145"/>
      <c r="E233" s="145"/>
      <c r="F233" s="131"/>
      <c r="G233" s="344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277"/>
      <c r="S233" s="277"/>
      <c r="T233" s="277"/>
      <c r="U233" s="277"/>
      <c r="V233" s="277"/>
      <c r="W233" s="277"/>
      <c r="X233" s="263"/>
    </row>
    <row r="234" spans="1:25" s="237" customFormat="1" ht="18.75" customHeight="1">
      <c r="A234" s="131"/>
      <c r="B234" s="411" t="s">
        <v>981</v>
      </c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411"/>
      <c r="W234" s="411"/>
      <c r="X234" s="411"/>
      <c r="Y234" s="411"/>
    </row>
    <row r="235" spans="1:24" s="237" customFormat="1" ht="18" customHeight="1">
      <c r="A235" s="131"/>
      <c r="B235" s="152"/>
      <c r="C235" s="145"/>
      <c r="D235" s="145"/>
      <c r="E235" s="145"/>
      <c r="F235" s="131"/>
      <c r="G235" s="344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6"/>
      <c r="W235" s="136"/>
      <c r="X235" s="136"/>
    </row>
    <row r="236" spans="1:24" s="237" customFormat="1" ht="18.75">
      <c r="A236" s="131"/>
      <c r="B236" s="152"/>
      <c r="C236" s="145"/>
      <c r="D236" s="145"/>
      <c r="E236" s="145"/>
      <c r="F236" s="131"/>
      <c r="G236" s="344"/>
      <c r="K236" s="131"/>
      <c r="L236" s="131"/>
      <c r="M236" s="131"/>
      <c r="N236" s="131"/>
      <c r="O236" s="131"/>
      <c r="P236" s="131"/>
      <c r="Q236" s="131"/>
      <c r="S236" s="278"/>
      <c r="T236" s="278"/>
      <c r="U236" s="278"/>
      <c r="V236" s="278"/>
      <c r="W236" s="278"/>
      <c r="X236" s="136"/>
    </row>
    <row r="237" spans="1:24" s="237" customFormat="1" ht="15.75">
      <c r="A237" s="131"/>
      <c r="B237" s="152"/>
      <c r="C237" s="145"/>
      <c r="D237" s="145"/>
      <c r="E237" s="145"/>
      <c r="F237" s="131"/>
      <c r="G237" s="344"/>
      <c r="H237" s="279"/>
      <c r="I237" s="280"/>
      <c r="J237" s="280"/>
      <c r="K237" s="280"/>
      <c r="L237" s="280"/>
      <c r="M237" s="280"/>
      <c r="N237" s="280"/>
      <c r="O237" s="280"/>
      <c r="P237" s="280"/>
      <c r="Q237" s="280"/>
      <c r="R237" s="281"/>
      <c r="S237" s="281"/>
      <c r="T237" s="281"/>
      <c r="U237" s="281"/>
      <c r="V237" s="281"/>
      <c r="W237" s="281"/>
      <c r="X237" s="136"/>
    </row>
    <row r="238" spans="1:24" s="237" customFormat="1" ht="15">
      <c r="A238" s="131"/>
      <c r="B238" s="152"/>
      <c r="C238" s="282"/>
      <c r="D238" s="282"/>
      <c r="E238" s="134"/>
      <c r="F238" s="134"/>
      <c r="G238" s="345"/>
      <c r="H238" s="134"/>
      <c r="I238" s="281"/>
      <c r="J238" s="281"/>
      <c r="K238" s="281"/>
      <c r="L238" s="281"/>
      <c r="M238" s="281"/>
      <c r="N238" s="281"/>
      <c r="O238" s="281"/>
      <c r="P238" s="281"/>
      <c r="Q238" s="281"/>
      <c r="R238" s="131"/>
      <c r="S238" s="131"/>
      <c r="T238" s="131"/>
      <c r="U238" s="131"/>
      <c r="V238" s="136"/>
      <c r="W238" s="136"/>
      <c r="X238" s="136"/>
    </row>
    <row r="239" spans="1:24" s="237" customFormat="1" ht="15">
      <c r="A239" s="131"/>
      <c r="B239" s="282"/>
      <c r="C239" s="282"/>
      <c r="D239" s="282"/>
      <c r="E239" s="134"/>
      <c r="F239" s="134"/>
      <c r="G239" s="345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6"/>
      <c r="W239" s="136"/>
      <c r="X239" s="136"/>
    </row>
    <row r="240" spans="2:7" ht="15">
      <c r="B240" s="282"/>
      <c r="C240" s="282"/>
      <c r="D240" s="282"/>
      <c r="E240" s="134"/>
      <c r="F240" s="134"/>
      <c r="G240" s="345"/>
    </row>
    <row r="241" spans="2:7" ht="15">
      <c r="B241" s="282"/>
      <c r="C241" s="282"/>
      <c r="D241" s="282"/>
      <c r="E241" s="134"/>
      <c r="F241" s="134"/>
      <c r="G241" s="345"/>
    </row>
    <row r="242" spans="3:7" ht="15">
      <c r="C242" s="282"/>
      <c r="D242" s="282"/>
      <c r="E242" s="134"/>
      <c r="F242" s="134"/>
      <c r="G242" s="345"/>
    </row>
    <row r="243" spans="3:7" ht="15">
      <c r="C243" s="282"/>
      <c r="D243" s="282"/>
      <c r="E243" s="134"/>
      <c r="F243" s="134"/>
      <c r="G243" s="345"/>
    </row>
  </sheetData>
  <sheetProtection/>
  <mergeCells count="506">
    <mergeCell ref="B231:F231"/>
    <mergeCell ref="B232:F232"/>
    <mergeCell ref="B222:F222"/>
    <mergeCell ref="B223:D223"/>
    <mergeCell ref="B224:D224"/>
    <mergeCell ref="B228:G228"/>
    <mergeCell ref="B229:G229"/>
    <mergeCell ref="B230:G230"/>
    <mergeCell ref="A218:A219"/>
    <mergeCell ref="C218:C219"/>
    <mergeCell ref="E218:E219"/>
    <mergeCell ref="F218:F219"/>
    <mergeCell ref="B220:F220"/>
    <mergeCell ref="B221:F221"/>
    <mergeCell ref="A214:A215"/>
    <mergeCell ref="C214:C215"/>
    <mergeCell ref="E214:E215"/>
    <mergeCell ref="F214:F215"/>
    <mergeCell ref="A216:A217"/>
    <mergeCell ref="C216:C217"/>
    <mergeCell ref="E216:E217"/>
    <mergeCell ref="F216:F217"/>
    <mergeCell ref="A210:A211"/>
    <mergeCell ref="C210:C211"/>
    <mergeCell ref="E210:E211"/>
    <mergeCell ref="F210:F211"/>
    <mergeCell ref="A212:A213"/>
    <mergeCell ref="C212:C213"/>
    <mergeCell ref="E212:E213"/>
    <mergeCell ref="F212:F213"/>
    <mergeCell ref="A206:A207"/>
    <mergeCell ref="C206:C207"/>
    <mergeCell ref="E206:E207"/>
    <mergeCell ref="F206:F207"/>
    <mergeCell ref="A208:A209"/>
    <mergeCell ref="C208:C209"/>
    <mergeCell ref="E208:E209"/>
    <mergeCell ref="F208:F209"/>
    <mergeCell ref="E195:G195"/>
    <mergeCell ref="E196:G196"/>
    <mergeCell ref="E197:G197"/>
    <mergeCell ref="E198:G198"/>
    <mergeCell ref="C200:G200"/>
    <mergeCell ref="C201:G201"/>
    <mergeCell ref="B188:F188"/>
    <mergeCell ref="B189:F189"/>
    <mergeCell ref="B190:F190"/>
    <mergeCell ref="B191:F191"/>
    <mergeCell ref="B192:D192"/>
    <mergeCell ref="B193:D193"/>
    <mergeCell ref="A185:A186"/>
    <mergeCell ref="C185:C186"/>
    <mergeCell ref="D185:D186"/>
    <mergeCell ref="E185:E186"/>
    <mergeCell ref="F185:F186"/>
    <mergeCell ref="B187:F187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B234:Y234"/>
    <mergeCell ref="A4:G4"/>
    <mergeCell ref="A5:A6"/>
    <mergeCell ref="B5:B6"/>
    <mergeCell ref="C5:C6"/>
    <mergeCell ref="A7:A8"/>
    <mergeCell ref="C7:C8"/>
    <mergeCell ref="D7:D8"/>
    <mergeCell ref="E7:E8"/>
    <mergeCell ref="F7:F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4" max="255" man="1"/>
    <brk id="86" max="255" man="1"/>
    <brk id="128" max="255" man="1"/>
    <brk id="168" max="255" man="1"/>
    <brk id="2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 Djadela</dc:creator>
  <cp:keywords/>
  <dc:description/>
  <cp:lastModifiedBy>Uģis Kesners</cp:lastModifiedBy>
  <cp:lastPrinted>2023-04-11T12:57:16Z</cp:lastPrinted>
  <dcterms:created xsi:type="dcterms:W3CDTF">2021-02-15T14:27:02Z</dcterms:created>
  <dcterms:modified xsi:type="dcterms:W3CDTF">2023-05-02T12:10:11Z</dcterms:modified>
  <cp:category/>
  <cp:version/>
  <cp:contentType/>
  <cp:contentStatus/>
</cp:coreProperties>
</file>