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Kalkulators_atmaksāšanā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1" l="1"/>
  <c r="C17" i="1" l="1"/>
  <c r="C15" i="1"/>
  <c r="K47" i="1" l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K31" i="1"/>
  <c r="L29" i="1"/>
  <c r="L31" i="1" s="1"/>
  <c r="J27" i="1"/>
  <c r="J26" i="1"/>
  <c r="J25" i="1"/>
  <c r="J24" i="1"/>
  <c r="K23" i="1"/>
  <c r="O3" i="1"/>
  <c r="K6" i="1"/>
  <c r="K5" i="1"/>
  <c r="C6" i="1"/>
  <c r="N3" i="1" s="1"/>
  <c r="K4" i="1"/>
  <c r="R3" i="1"/>
  <c r="K3" i="1"/>
  <c r="K2" i="1"/>
  <c r="P3" i="1" l="1"/>
  <c r="Q3" i="1" s="1"/>
  <c r="L23" i="1"/>
  <c r="M23" i="1" s="1"/>
  <c r="N23" i="1" s="1"/>
  <c r="O23" i="1" s="1"/>
  <c r="P23" i="1" s="1"/>
  <c r="Q23" i="1" s="1"/>
  <c r="R23" i="1" s="1"/>
  <c r="S23" i="1" s="1"/>
  <c r="T23" i="1" s="1"/>
  <c r="U23" i="1" s="1"/>
  <c r="V23" i="1" s="1"/>
  <c r="W23" i="1" s="1"/>
  <c r="X23" i="1" s="1"/>
  <c r="Y23" i="1" s="1"/>
  <c r="Z23" i="1" s="1"/>
  <c r="AA23" i="1" s="1"/>
  <c r="AB23" i="1" s="1"/>
  <c r="AC23" i="1" s="1"/>
  <c r="AD23" i="1" s="1"/>
  <c r="AE23" i="1" s="1"/>
  <c r="AF23" i="1" s="1"/>
  <c r="AG23" i="1" s="1"/>
  <c r="AH23" i="1" s="1"/>
  <c r="AI23" i="1" s="1"/>
  <c r="N4" i="1"/>
  <c r="K51" i="1"/>
  <c r="O4" i="1"/>
  <c r="M29" i="1"/>
  <c r="N27" i="1" l="1"/>
  <c r="M31" i="1"/>
  <c r="N29" i="1"/>
  <c r="K34" i="1"/>
  <c r="P4" i="1"/>
  <c r="AJ51" i="1"/>
  <c r="AJ53" i="1" s="1"/>
  <c r="K35" i="1" l="1"/>
  <c r="K33" i="1" s="1"/>
  <c r="Q4" i="1"/>
  <c r="K37" i="1"/>
  <c r="M34" i="1"/>
  <c r="L34" i="1"/>
  <c r="N31" i="1"/>
  <c r="N34" i="1" s="1"/>
  <c r="O29" i="1"/>
  <c r="N37" i="1" l="1"/>
  <c r="L37" i="1"/>
  <c r="M37" i="1"/>
  <c r="O31" i="1"/>
  <c r="O34" i="1" s="1"/>
  <c r="P29" i="1"/>
  <c r="O35" i="1"/>
  <c r="O38" i="1" s="1"/>
  <c r="K38" i="1"/>
  <c r="K39" i="1" s="1"/>
  <c r="N35" i="1"/>
  <c r="N38" i="1" s="1"/>
  <c r="M35" i="1"/>
  <c r="M38" i="1" s="1"/>
  <c r="L35" i="1"/>
  <c r="L38" i="1" s="1"/>
  <c r="L39" i="1" l="1"/>
  <c r="L52" i="1" s="1"/>
  <c r="L53" i="1" s="1"/>
  <c r="K52" i="1"/>
  <c r="L33" i="1"/>
  <c r="P31" i="1"/>
  <c r="Q29" i="1"/>
  <c r="O37" i="1"/>
  <c r="O39" i="1" s="1"/>
  <c r="O52" i="1" s="1"/>
  <c r="O53" i="1" s="1"/>
  <c r="O33" i="1"/>
  <c r="M39" i="1"/>
  <c r="M52" i="1" s="1"/>
  <c r="M53" i="1" s="1"/>
  <c r="N33" i="1"/>
  <c r="M33" i="1"/>
  <c r="N39" i="1"/>
  <c r="N52" i="1" s="1"/>
  <c r="N53" i="1" s="1"/>
  <c r="Q31" i="1" l="1"/>
  <c r="R29" i="1"/>
  <c r="P34" i="1"/>
  <c r="P35" i="1"/>
  <c r="K53" i="1"/>
  <c r="P38" i="1" l="1"/>
  <c r="P33" i="1"/>
  <c r="P37" i="1"/>
  <c r="R31" i="1"/>
  <c r="S29" i="1"/>
  <c r="Q34" i="1"/>
  <c r="Q35" i="1"/>
  <c r="Q38" i="1" s="1"/>
  <c r="P39" i="1" l="1"/>
  <c r="P52" i="1" s="1"/>
  <c r="R34" i="1"/>
  <c r="R35" i="1"/>
  <c r="R38" i="1" s="1"/>
  <c r="Q33" i="1"/>
  <c r="Q37" i="1"/>
  <c r="Q39" i="1" s="1"/>
  <c r="Q52" i="1" s="1"/>
  <c r="Q53" i="1" s="1"/>
  <c r="S31" i="1"/>
  <c r="T29" i="1"/>
  <c r="T31" i="1" l="1"/>
  <c r="U29" i="1"/>
  <c r="S34" i="1"/>
  <c r="S35" i="1"/>
  <c r="R33" i="1"/>
  <c r="R37" i="1"/>
  <c r="R39" i="1" s="1"/>
  <c r="R52" i="1" s="1"/>
  <c r="R53" i="1" s="1"/>
  <c r="P53" i="1"/>
  <c r="S33" i="1" l="1"/>
  <c r="S37" i="1"/>
  <c r="U31" i="1"/>
  <c r="V29" i="1"/>
  <c r="S38" i="1"/>
  <c r="T34" i="1"/>
  <c r="T35" i="1"/>
  <c r="T38" i="1" s="1"/>
  <c r="V31" i="1" l="1"/>
  <c r="W29" i="1"/>
  <c r="U34" i="1"/>
  <c r="U35" i="1"/>
  <c r="U38" i="1" s="1"/>
  <c r="S39" i="1"/>
  <c r="S52" i="1" s="1"/>
  <c r="T33" i="1"/>
  <c r="T37" i="1"/>
  <c r="T39" i="1" s="1"/>
  <c r="T52" i="1" s="1"/>
  <c r="T53" i="1" s="1"/>
  <c r="S53" i="1" l="1"/>
  <c r="U33" i="1"/>
  <c r="U37" i="1"/>
  <c r="U39" i="1" s="1"/>
  <c r="U52" i="1" s="1"/>
  <c r="U53" i="1" s="1"/>
  <c r="W31" i="1"/>
  <c r="X29" i="1"/>
  <c r="V34" i="1"/>
  <c r="V35" i="1"/>
  <c r="V38" i="1" s="1"/>
  <c r="V37" i="1" l="1"/>
  <c r="V39" i="1" s="1"/>
  <c r="V52" i="1" s="1"/>
  <c r="V33" i="1"/>
  <c r="W34" i="1"/>
  <c r="W35" i="1"/>
  <c r="W38" i="1" s="1"/>
  <c r="X31" i="1"/>
  <c r="Y29" i="1"/>
  <c r="Y31" i="1" l="1"/>
  <c r="Z29" i="1"/>
  <c r="W37" i="1"/>
  <c r="W39" i="1" s="1"/>
  <c r="W52" i="1" s="1"/>
  <c r="W53" i="1" s="1"/>
  <c r="W33" i="1"/>
  <c r="X34" i="1"/>
  <c r="X35" i="1"/>
  <c r="X38" i="1" s="1"/>
  <c r="V53" i="1"/>
  <c r="X33" i="1" l="1"/>
  <c r="X37" i="1"/>
  <c r="X39" i="1" s="1"/>
  <c r="X52" i="1" s="1"/>
  <c r="X53" i="1" s="1"/>
  <c r="Z31" i="1"/>
  <c r="AA29" i="1"/>
  <c r="Y34" i="1"/>
  <c r="Y35" i="1"/>
  <c r="Y38" i="1" s="1"/>
  <c r="Y33" i="1" l="1"/>
  <c r="Y37" i="1"/>
  <c r="Y39" i="1" s="1"/>
  <c r="Y52" i="1" s="1"/>
  <c r="Y53" i="1" s="1"/>
  <c r="AA31" i="1"/>
  <c r="AB29" i="1"/>
  <c r="Z34" i="1"/>
  <c r="Z35" i="1"/>
  <c r="Z38" i="1" s="1"/>
  <c r="Z33" i="1" l="1"/>
  <c r="Z37" i="1"/>
  <c r="Z39" i="1" s="1"/>
  <c r="Z52" i="1" s="1"/>
  <c r="Z53" i="1" s="1"/>
  <c r="AB31" i="1"/>
  <c r="AC29" i="1"/>
  <c r="AA34" i="1"/>
  <c r="AA35" i="1"/>
  <c r="AA38" i="1" s="1"/>
  <c r="AA33" i="1" l="1"/>
  <c r="AA37" i="1"/>
  <c r="AA39" i="1" s="1"/>
  <c r="AA52" i="1" s="1"/>
  <c r="AA53" i="1" s="1"/>
  <c r="AC31" i="1"/>
  <c r="AD29" i="1"/>
  <c r="AB34" i="1"/>
  <c r="AB35" i="1"/>
  <c r="AB38" i="1" s="1"/>
  <c r="AB33" i="1" l="1"/>
  <c r="AB37" i="1"/>
  <c r="AB39" i="1" s="1"/>
  <c r="AB52" i="1" s="1"/>
  <c r="AB53" i="1" s="1"/>
  <c r="AD31" i="1"/>
  <c r="AE29" i="1"/>
  <c r="AC34" i="1"/>
  <c r="AC35" i="1"/>
  <c r="AC38" i="1" s="1"/>
  <c r="AC33" i="1" l="1"/>
  <c r="AC37" i="1"/>
  <c r="AC39" i="1" s="1"/>
  <c r="AC52" i="1" s="1"/>
  <c r="AC53" i="1" s="1"/>
  <c r="AE31" i="1"/>
  <c r="AF29" i="1"/>
  <c r="AD34" i="1"/>
  <c r="AD35" i="1"/>
  <c r="AD38" i="1" s="1"/>
  <c r="AD37" i="1" l="1"/>
  <c r="AD39" i="1" s="1"/>
  <c r="AD52" i="1" s="1"/>
  <c r="AD53" i="1" s="1"/>
  <c r="AD33" i="1"/>
  <c r="AF31" i="1"/>
  <c r="AG29" i="1"/>
  <c r="AE34" i="1"/>
  <c r="AE35" i="1"/>
  <c r="AE38" i="1" s="1"/>
  <c r="AE37" i="1" l="1"/>
  <c r="AE39" i="1" s="1"/>
  <c r="AE52" i="1" s="1"/>
  <c r="AE53" i="1" s="1"/>
  <c r="AE33" i="1"/>
  <c r="AG31" i="1"/>
  <c r="AH29" i="1"/>
  <c r="AF34" i="1"/>
  <c r="AF35" i="1"/>
  <c r="AF38" i="1" s="1"/>
  <c r="AF33" i="1" l="1"/>
  <c r="AF37" i="1"/>
  <c r="AF39" i="1" s="1"/>
  <c r="AF52" i="1" s="1"/>
  <c r="AF53" i="1" s="1"/>
  <c r="AH31" i="1"/>
  <c r="AI29" i="1"/>
  <c r="AI31" i="1" s="1"/>
  <c r="AG34" i="1"/>
  <c r="AG35" i="1"/>
  <c r="AG38" i="1" s="1"/>
  <c r="AG33" i="1" l="1"/>
  <c r="AG37" i="1"/>
  <c r="AG39" i="1" s="1"/>
  <c r="AG52" i="1" s="1"/>
  <c r="AG53" i="1" s="1"/>
  <c r="AI34" i="1"/>
  <c r="AI35" i="1"/>
  <c r="AH34" i="1"/>
  <c r="AH35" i="1"/>
  <c r="AH38" i="1" s="1"/>
  <c r="AH33" i="1" l="1"/>
  <c r="AH37" i="1"/>
  <c r="AH39" i="1" s="1"/>
  <c r="AH52" i="1" s="1"/>
  <c r="AH53" i="1" s="1"/>
  <c r="AI38" i="1"/>
  <c r="AJ35" i="1"/>
  <c r="K45" i="1"/>
  <c r="L45" i="1" s="1"/>
  <c r="AI33" i="1"/>
  <c r="AI37" i="1"/>
  <c r="K44" i="1"/>
  <c r="L44" i="1" s="1"/>
  <c r="AJ34" i="1"/>
  <c r="AI39" i="1" l="1"/>
  <c r="AI52" i="1" s="1"/>
  <c r="AJ33" i="1"/>
  <c r="K43" i="1"/>
  <c r="L43" i="1" s="1"/>
  <c r="K41" i="1" l="1"/>
  <c r="K48" i="1" s="1"/>
  <c r="C18" i="1" s="1"/>
  <c r="AI53" i="1"/>
  <c r="K55" i="1" s="1"/>
  <c r="C19" i="1" s="1"/>
  <c r="AJ52" i="1"/>
</calcChain>
</file>

<file path=xl/sharedStrings.xml><?xml version="1.0" encoding="utf-8"?>
<sst xmlns="http://schemas.openxmlformats.org/spreadsheetml/2006/main" count="77" uniqueCount="68">
  <si>
    <t>Maināmie/aizpildāmie lauki</t>
  </si>
  <si>
    <t>Aprēķina detalizācija-&gt;</t>
  </si>
  <si>
    <t>Jauda, kW</t>
  </si>
  <si>
    <t>Komplekta veids</t>
  </si>
  <si>
    <t>MT cena, EUR ar PVN</t>
  </si>
  <si>
    <t>Ražošanas apjoms 1. gadā,kWh</t>
  </si>
  <si>
    <t>1.ražošanas gadā</t>
  </si>
  <si>
    <t>Patēriņš, kWh</t>
  </si>
  <si>
    <t>Saražotais, kWh</t>
  </si>
  <si>
    <t>Pašpatēriņa koeficients, %</t>
  </si>
  <si>
    <t>Mēnesis</t>
  </si>
  <si>
    <t>Kopā</t>
  </si>
  <si>
    <t>Pašpatēriņš</t>
  </si>
  <si>
    <t>Tīklā nodotais *</t>
  </si>
  <si>
    <t>Jā</t>
  </si>
  <si>
    <t>Nē</t>
  </si>
  <si>
    <t>Ievadīt klienta mēneša patēriņu, kWh</t>
  </si>
  <si>
    <t>Vidēji mēnesī</t>
  </si>
  <si>
    <t>Gada patēriņš, kWh</t>
  </si>
  <si>
    <t>Saules paneļu sistēma (izvēlēties)</t>
  </si>
  <si>
    <t>izvēlnes lauks</t>
  </si>
  <si>
    <t>Paneļu amortizācija</t>
  </si>
  <si>
    <t>Elektrības cena bez PVN, EUR/kWh:</t>
  </si>
  <si>
    <t>Inflācija elektrības cenai, gads pret gadu %</t>
  </si>
  <si>
    <t>aizpildāms, ja nepieciešams koriģēt prognozēto el.cenu 25 gadiem</t>
  </si>
  <si>
    <t>1 l.z. ST tarifa mainīgā daļa bez PVN, EUR/kWh</t>
  </si>
  <si>
    <t>OIK tarifa mainīgā daļa bez PVN, EUR/kWh</t>
  </si>
  <si>
    <t>PVN 21%</t>
  </si>
  <si>
    <t>Izvēlētā komplekta cena, EUR ar PVN</t>
  </si>
  <si>
    <t>Atmaksāšanās laiks, gadi</t>
  </si>
  <si>
    <t>IRR, %</t>
  </si>
  <si>
    <t>Pašpatēriņa koef., %</t>
  </si>
  <si>
    <t>Elektrības cena</t>
  </si>
  <si>
    <t>ST tarifs</t>
  </si>
  <si>
    <t>OIK</t>
  </si>
  <si>
    <t>PVN</t>
  </si>
  <si>
    <t>Elektrības cenas inflācija</t>
  </si>
  <si>
    <t>Vidējā elektrības cena 25 gados:</t>
  </si>
  <si>
    <t>Amortizācijas koeficients</t>
  </si>
  <si>
    <t>Vidēji</t>
  </si>
  <si>
    <t>Gads</t>
  </si>
  <si>
    <t>Ražošanas samazinājums, salīdzinot ar jaunu iekārtu (%)</t>
  </si>
  <si>
    <t>Pašpatēriņš, kWh</t>
  </si>
  <si>
    <t>Nodots tīklā, kWh</t>
  </si>
  <si>
    <t>Ieguvums no pašpatēriņa, EUR</t>
  </si>
  <si>
    <t>Ieguvums no nodošanas tīklā, EUR</t>
  </si>
  <si>
    <t>Ieguvums kopā, EUR</t>
  </si>
  <si>
    <t>Vidējais ieguvums gadā, EUR</t>
  </si>
  <si>
    <t>mēnešu skaits</t>
  </si>
  <si>
    <t>Vidēji saražotais, kWh/gadā</t>
  </si>
  <si>
    <t>Vidējais pašpatēriņš, kWh/gadā</t>
  </si>
  <si>
    <t>Vidēji nodotais tīklā, kWh/gadā</t>
  </si>
  <si>
    <t>KOPĀ</t>
  </si>
  <si>
    <t>Naudas plūsma</t>
  </si>
  <si>
    <t>Paneļu izmaksas</t>
  </si>
  <si>
    <t>Ieguvums no ražošanas</t>
  </si>
  <si>
    <t>IRR</t>
  </si>
  <si>
    <t>ja tiek ievadīts atbalsta apmērs, tad cenu aprēķina ar atbalsta daļu</t>
  </si>
  <si>
    <t>Atbalsta apmērs, EUR ar PVN</t>
  </si>
  <si>
    <t>Solārais komplekts patēriņam 1300kWh</t>
  </si>
  <si>
    <t>Solārais komplekts patēriņam 1000kWh</t>
  </si>
  <si>
    <t>Solārais komplekts patēriņam 750kWh</t>
  </si>
  <si>
    <t>Solārais komplekts patēriņam 450kWh</t>
  </si>
  <si>
    <t>Solārais komplekts patēriņam 200kWh</t>
  </si>
  <si>
    <t>tipiskā patēriņa klientiem 50%</t>
  </si>
  <si>
    <t>kl. patēriņš</t>
  </si>
  <si>
    <t>pedējo 12 mēn profilētā elektrības biržas cena ar maksu par tirdzniecības pakalpojumu</t>
  </si>
  <si>
    <t>Ražošanas apjoms 1. gadā, kWh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</si>
</sst>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000"/>
    <numFmt numFmtId="165" formatCode="#,##0.0000"/>
    <numFmt numFmtId="166" formatCode="#,##0.0"/>
    <numFmt numFmtId="167" formatCode="0.0%"/>
    <numFmt numFmtId="168" formatCode="0.00000"/>
    <numFmt numFmtId="169" formatCode="0.0"/>
  </numFmts>
  <fonts count="1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0"/>
      <color rgb="FFFF0000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i/>
      <sz val="9"/>
      <color theme="1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i/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8"/>
      <name val="Tahoma"/>
      <family val="2"/>
      <charset val="186"/>
    </font>
    <font>
      <sz val="8"/>
      <color theme="1"/>
      <name val="Tahoma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2" fillId="0" borderId="0"/>
  </cellStyleXfs>
  <cellXfs count="65">
    <xf numFmtId="0" fontId="0" fillId="0" borderId="0" xfId="0"/>
    <xf numFmtId="0" fontId="0" fillId="2" borderId="0" xfId="0" applyFill="1"/>
    <xf numFmtId="0" fontId="2" fillId="0" borderId="0" xfId="0" applyFont="1"/>
    <xf numFmtId="0" fontId="3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9" fontId="0" fillId="0" borderId="0" xfId="0" applyNumberFormat="1"/>
    <xf numFmtId="0" fontId="0" fillId="0" borderId="6" xfId="0" applyBorder="1"/>
    <xf numFmtId="0" fontId="0" fillId="0" borderId="6" xfId="0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" fontId="3" fillId="0" borderId="6" xfId="0" applyNumberFormat="1" applyFont="1" applyBorder="1" applyAlignment="1">
      <alignment horizontal="center" vertical="center"/>
    </xf>
    <xf numFmtId="9" fontId="3" fillId="0" borderId="6" xfId="1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3" fontId="6" fillId="2" borderId="6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/>
    <xf numFmtId="3" fontId="6" fillId="0" borderId="6" xfId="0" applyNumberFormat="1" applyFont="1" applyBorder="1" applyAlignment="1">
      <alignment horizontal="center" vertical="center"/>
    </xf>
    <xf numFmtId="4" fontId="6" fillId="2" borderId="6" xfId="0" applyNumberFormat="1" applyFont="1" applyFill="1" applyBorder="1" applyAlignment="1">
      <alignment horizontal="center" vertical="center"/>
    </xf>
    <xf numFmtId="0" fontId="8" fillId="0" borderId="0" xfId="0" applyFont="1"/>
    <xf numFmtId="0" fontId="0" fillId="0" borderId="0" xfId="0" applyAlignment="1">
      <alignment horizontal="center"/>
    </xf>
    <xf numFmtId="164" fontId="6" fillId="2" borderId="6" xfId="0" applyNumberFormat="1" applyFont="1" applyFill="1" applyBorder="1" applyAlignment="1">
      <alignment horizontal="center" vertical="center"/>
    </xf>
    <xf numFmtId="9" fontId="6" fillId="2" borderId="6" xfId="1" applyFont="1" applyFill="1" applyBorder="1" applyAlignment="1">
      <alignment horizontal="center" vertical="center"/>
    </xf>
    <xf numFmtId="9" fontId="6" fillId="0" borderId="6" xfId="1" applyFont="1" applyBorder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7" fontId="6" fillId="0" borderId="6" xfId="1" applyNumberFormat="1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1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68" fontId="10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9" fontId="10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right"/>
    </xf>
    <xf numFmtId="167" fontId="10" fillId="0" borderId="0" xfId="1" applyNumberFormat="1" applyFont="1" applyFill="1" applyAlignment="1">
      <alignment horizontal="center" vertical="center"/>
    </xf>
    <xf numFmtId="0" fontId="11" fillId="0" borderId="0" xfId="0" applyFont="1" applyAlignment="1">
      <alignment horizontal="right"/>
    </xf>
    <xf numFmtId="168" fontId="11" fillId="0" borderId="0" xfId="0" applyNumberFormat="1" applyFont="1"/>
    <xf numFmtId="0" fontId="0" fillId="0" borderId="0" xfId="0" applyAlignment="1">
      <alignment horizontal="right" vertical="center"/>
    </xf>
    <xf numFmtId="167" fontId="13" fillId="0" borderId="0" xfId="2" applyNumberFormat="1" applyFont="1"/>
    <xf numFmtId="0" fontId="14" fillId="0" borderId="4" xfId="0" applyFont="1" applyBorder="1"/>
    <xf numFmtId="167" fontId="0" fillId="0" borderId="0" xfId="1" applyNumberFormat="1" applyFont="1" applyFill="1"/>
    <xf numFmtId="9" fontId="0" fillId="0" borderId="0" xfId="1" applyFont="1" applyFill="1"/>
    <xf numFmtId="0" fontId="0" fillId="0" borderId="11" xfId="0" applyBorder="1" applyAlignment="1">
      <alignment horizontal="right" vertical="center"/>
    </xf>
    <xf numFmtId="0" fontId="0" fillId="0" borderId="11" xfId="0" applyBorder="1"/>
    <xf numFmtId="2" fontId="0" fillId="0" borderId="11" xfId="0" applyNumberFormat="1" applyBorder="1"/>
    <xf numFmtId="2" fontId="0" fillId="0" borderId="0" xfId="0" applyNumberFormat="1"/>
    <xf numFmtId="0" fontId="0" fillId="0" borderId="4" xfId="0" applyBorder="1" applyAlignment="1">
      <alignment horizontal="right" vertical="center"/>
    </xf>
    <xf numFmtId="0" fontId="0" fillId="0" borderId="4" xfId="0" applyBorder="1"/>
    <xf numFmtId="2" fontId="0" fillId="0" borderId="4" xfId="0" applyNumberFormat="1" applyBorder="1"/>
    <xf numFmtId="0" fontId="0" fillId="0" borderId="12" xfId="0" applyBorder="1" applyAlignment="1">
      <alignment horizontal="right" vertical="center"/>
    </xf>
    <xf numFmtId="0" fontId="0" fillId="0" borderId="12" xfId="0" applyBorder="1"/>
    <xf numFmtId="2" fontId="0" fillId="0" borderId="12" xfId="0" applyNumberForma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69" fontId="0" fillId="0" borderId="0" xfId="0" applyNumberFormat="1"/>
    <xf numFmtId="10" fontId="0" fillId="0" borderId="0" xfId="0" applyNumberFormat="1"/>
    <xf numFmtId="3" fontId="6" fillId="0" borderId="6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Normal_Dcf calculation temp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56"/>
  <sheetViews>
    <sheetView tabSelected="1" topLeftCell="A19" zoomScale="90" zoomScaleNormal="90" workbookViewId="0">
      <selection activeCell="H12" sqref="H12"/>
    </sheetView>
  </sheetViews>
  <sheetFormatPr defaultRowHeight="15" outlineLevelCol="1" x14ac:dyDescent="0.25"/>
  <cols>
    <col min="2" max="2" width="38" bestFit="1" customWidth="1"/>
    <col min="3" max="3" width="37.5703125" customWidth="1"/>
    <col min="4" max="4" width="28.28515625" customWidth="1"/>
    <col min="5" max="6" width="14.7109375" customWidth="1"/>
    <col min="7" max="7" width="8.85546875" customWidth="1" outlineLevel="1"/>
    <col min="8" max="8" width="36" customWidth="1" outlineLevel="1"/>
    <col min="9" max="9" width="18.7109375" customWidth="1" outlineLevel="1"/>
    <col min="10" max="10" width="18.5703125" style="22" customWidth="1" outlineLevel="1"/>
    <col min="11" max="11" width="22.5703125" customWidth="1" outlineLevel="1"/>
    <col min="12" max="12" width="8.85546875" customWidth="1" outlineLevel="1"/>
    <col min="13" max="14" width="12.28515625" customWidth="1" outlineLevel="1"/>
    <col min="15" max="15" width="8.85546875" customWidth="1" outlineLevel="1"/>
    <col min="16" max="16" width="11.42578125" customWidth="1" outlineLevel="1"/>
    <col min="17" max="17" width="13.28515625" customWidth="1" outlineLevel="1"/>
    <col min="18" max="18" width="11.28515625" customWidth="1" outlineLevel="1"/>
    <col min="19" max="21" width="8.85546875" customWidth="1" outlineLevel="1"/>
    <col min="22" max="22" width="14.85546875" customWidth="1" outlineLevel="1"/>
    <col min="23" max="23" width="12.28515625" customWidth="1" outlineLevel="1"/>
    <col min="24" max="24" width="14.7109375" customWidth="1" outlineLevel="1"/>
    <col min="25" max="25" width="14.85546875" customWidth="1" outlineLevel="1"/>
    <col min="26" max="26" width="13.7109375" customWidth="1" outlineLevel="1"/>
    <col min="27" max="37" width="8.85546875" customWidth="1" outlineLevel="1"/>
    <col min="38" max="38" width="8.85546875"/>
  </cols>
  <sheetData>
    <row r="1" spans="2:20" x14ac:dyDescent="0.25">
      <c r="B1" s="1" t="s">
        <v>0</v>
      </c>
      <c r="E1" s="2" t="s">
        <v>1</v>
      </c>
      <c r="F1" s="2"/>
      <c r="G1" s="3" t="s">
        <v>2</v>
      </c>
      <c r="H1" s="3" t="s">
        <v>3</v>
      </c>
      <c r="I1" s="3" t="s">
        <v>65</v>
      </c>
      <c r="J1" s="3" t="s">
        <v>4</v>
      </c>
      <c r="K1" s="3" t="s">
        <v>5</v>
      </c>
      <c r="M1" s="4" t="s">
        <v>6</v>
      </c>
      <c r="N1" s="3" t="s">
        <v>7</v>
      </c>
      <c r="O1" s="60" t="s">
        <v>8</v>
      </c>
      <c r="P1" s="61"/>
      <c r="Q1" s="62"/>
      <c r="R1" s="63" t="s">
        <v>9</v>
      </c>
    </row>
    <row r="2" spans="2:20" x14ac:dyDescent="0.25">
      <c r="E2" s="5"/>
      <c r="G2" s="6">
        <v>1.8</v>
      </c>
      <c r="H2" s="6" t="s">
        <v>63</v>
      </c>
      <c r="I2" s="6">
        <v>200</v>
      </c>
      <c r="J2" s="6">
        <v>3820</v>
      </c>
      <c r="K2" s="7">
        <f>G2*1000</f>
        <v>1800</v>
      </c>
      <c r="M2" s="8" t="s">
        <v>10</v>
      </c>
      <c r="N2" s="3" t="s">
        <v>11</v>
      </c>
      <c r="O2" s="9" t="s">
        <v>11</v>
      </c>
      <c r="P2" s="9" t="s">
        <v>12</v>
      </c>
      <c r="Q2" s="9" t="s">
        <v>13</v>
      </c>
      <c r="R2" s="64"/>
      <c r="T2" s="10" t="s">
        <v>14</v>
      </c>
    </row>
    <row r="3" spans="2:20" x14ac:dyDescent="0.25">
      <c r="E3" s="5"/>
      <c r="G3" s="6">
        <v>3.75</v>
      </c>
      <c r="H3" s="6" t="s">
        <v>62</v>
      </c>
      <c r="I3" s="6">
        <v>450</v>
      </c>
      <c r="J3" s="6">
        <v>6130</v>
      </c>
      <c r="K3" s="7">
        <f>G3*1000</f>
        <v>3750</v>
      </c>
      <c r="M3" s="11" t="s">
        <v>11</v>
      </c>
      <c r="N3" s="12">
        <f>C6</f>
        <v>12000</v>
      </c>
      <c r="O3" s="12">
        <f>C17</f>
        <v>8250</v>
      </c>
      <c r="P3" s="12">
        <f>O3*R3</f>
        <v>4125</v>
      </c>
      <c r="Q3" s="12">
        <f>IF(O3&gt;N3,N3-P3,O3-P3)</f>
        <v>4125</v>
      </c>
      <c r="R3" s="13">
        <f>C22</f>
        <v>0.5</v>
      </c>
      <c r="T3" s="10" t="s">
        <v>15</v>
      </c>
    </row>
    <row r="4" spans="2:20" x14ac:dyDescent="0.25">
      <c r="B4" s="14" t="s">
        <v>19</v>
      </c>
      <c r="C4" s="20" t="s">
        <v>60</v>
      </c>
      <c r="D4" s="21" t="s">
        <v>20</v>
      </c>
      <c r="E4" s="5"/>
      <c r="G4" s="6">
        <v>6</v>
      </c>
      <c r="H4" s="6" t="s">
        <v>61</v>
      </c>
      <c r="I4" s="6">
        <v>750</v>
      </c>
      <c r="J4" s="6">
        <v>8170</v>
      </c>
      <c r="K4" s="7">
        <f>G4*1000</f>
        <v>6000</v>
      </c>
      <c r="M4" s="16" t="s">
        <v>17</v>
      </c>
      <c r="N4" s="17">
        <f>N3/12</f>
        <v>1000</v>
      </c>
      <c r="O4" s="17">
        <f t="shared" ref="O4:Q4" si="0">O3/12</f>
        <v>687.5</v>
      </c>
      <c r="P4" s="17">
        <f t="shared" si="0"/>
        <v>343.75</v>
      </c>
      <c r="Q4" s="17">
        <f t="shared" si="0"/>
        <v>343.75</v>
      </c>
      <c r="R4" s="18"/>
    </row>
    <row r="5" spans="2:20" x14ac:dyDescent="0.25">
      <c r="B5" s="14" t="s">
        <v>16</v>
      </c>
      <c r="C5" s="59">
        <f>VLOOKUP(C4,$H$1:$I$6,2,FALSE)</f>
        <v>1000</v>
      </c>
      <c r="E5" s="5"/>
      <c r="G5" s="6">
        <v>8.25</v>
      </c>
      <c r="H5" s="6" t="s">
        <v>60</v>
      </c>
      <c r="I5" s="6">
        <v>1000</v>
      </c>
      <c r="J5" s="6">
        <v>10380</v>
      </c>
      <c r="K5" s="7">
        <f>G5*1000</f>
        <v>8250</v>
      </c>
    </row>
    <row r="6" spans="2:20" x14ac:dyDescent="0.25">
      <c r="B6" s="14" t="s">
        <v>18</v>
      </c>
      <c r="C6" s="19">
        <f>C5*12</f>
        <v>12000</v>
      </c>
      <c r="E6" s="5"/>
      <c r="G6" s="6">
        <v>10.5</v>
      </c>
      <c r="H6" s="6" t="s">
        <v>59</v>
      </c>
      <c r="I6" s="6">
        <v>1300</v>
      </c>
      <c r="J6" s="6">
        <v>12100</v>
      </c>
      <c r="K6" s="7">
        <f>G6*1000</f>
        <v>10500</v>
      </c>
    </row>
    <row r="7" spans="2:20" x14ac:dyDescent="0.25">
      <c r="B7" s="14" t="s">
        <v>21</v>
      </c>
      <c r="C7" s="20" t="s">
        <v>14</v>
      </c>
      <c r="D7" s="21" t="s">
        <v>20</v>
      </c>
      <c r="E7" s="5"/>
    </row>
    <row r="8" spans="2:20" ht="14.45" x14ac:dyDescent="0.35">
      <c r="E8" s="5"/>
    </row>
    <row r="9" spans="2:20" x14ac:dyDescent="0.25">
      <c r="B9" s="14" t="s">
        <v>22</v>
      </c>
      <c r="C9" s="23">
        <v>0.10150000000000001</v>
      </c>
      <c r="D9" s="21" t="s">
        <v>66</v>
      </c>
      <c r="E9" s="5"/>
    </row>
    <row r="10" spans="2:20" x14ac:dyDescent="0.25">
      <c r="B10" s="14" t="s">
        <v>23</v>
      </c>
      <c r="C10" s="24">
        <v>0</v>
      </c>
      <c r="D10" s="21" t="s">
        <v>24</v>
      </c>
      <c r="E10" s="5"/>
    </row>
    <row r="11" spans="2:20" x14ac:dyDescent="0.25">
      <c r="B11" s="14" t="s">
        <v>25</v>
      </c>
      <c r="C11" s="23">
        <v>4.0759999999999998E-2</v>
      </c>
      <c r="E11" s="5"/>
    </row>
    <row r="12" spans="2:20" x14ac:dyDescent="0.25">
      <c r="B12" s="14" t="s">
        <v>26</v>
      </c>
      <c r="C12" s="23">
        <v>1.9599999999999999E-3</v>
      </c>
      <c r="E12" s="5"/>
    </row>
    <row r="13" spans="2:20" ht="14.45" x14ac:dyDescent="0.35">
      <c r="B13" s="14" t="s">
        <v>27</v>
      </c>
      <c r="C13" s="25">
        <v>0.21</v>
      </c>
      <c r="E13" s="5"/>
    </row>
    <row r="14" spans="2:20" ht="14.45" x14ac:dyDescent="0.35">
      <c r="E14" s="5"/>
    </row>
    <row r="15" spans="2:20" x14ac:dyDescent="0.25">
      <c r="B15" s="14" t="s">
        <v>28</v>
      </c>
      <c r="C15" s="19">
        <f>VLOOKUP(C4,$H$2:$J$15,3,FALSE)-C16</f>
        <v>10380</v>
      </c>
      <c r="D15" s="21" t="s">
        <v>57</v>
      </c>
      <c r="E15" s="5"/>
    </row>
    <row r="16" spans="2:20" x14ac:dyDescent="0.25">
      <c r="B16" s="14" t="s">
        <v>58</v>
      </c>
      <c r="C16" s="15"/>
      <c r="D16" s="26"/>
      <c r="E16" s="5"/>
    </row>
    <row r="17" spans="2:36" x14ac:dyDescent="0.25">
      <c r="B17" s="14" t="s">
        <v>67</v>
      </c>
      <c r="C17" s="19">
        <f>VLOOKUP(C4,$H$2:$K$15,4,FALSE)</f>
        <v>8250</v>
      </c>
      <c r="D17" s="26"/>
      <c r="E17" s="27"/>
      <c r="F17" s="26"/>
    </row>
    <row r="18" spans="2:36" x14ac:dyDescent="0.25">
      <c r="B18" s="14" t="s">
        <v>29</v>
      </c>
      <c r="C18" s="28">
        <f>K48</f>
        <v>9.4215403726454348</v>
      </c>
      <c r="D18" s="26"/>
      <c r="E18" s="26"/>
      <c r="F18" s="26"/>
    </row>
    <row r="19" spans="2:36" ht="14.45" x14ac:dyDescent="0.35">
      <c r="B19" s="14" t="s">
        <v>30</v>
      </c>
      <c r="C19" s="29">
        <f>K55</f>
        <v>0.11641706295750209</v>
      </c>
      <c r="D19" s="26"/>
      <c r="E19" s="26"/>
      <c r="F19" s="26"/>
    </row>
    <row r="22" spans="2:36" x14ac:dyDescent="0.25">
      <c r="B22" s="14" t="s">
        <v>31</v>
      </c>
      <c r="C22" s="24">
        <v>0.5</v>
      </c>
      <c r="D22" s="21" t="s">
        <v>64</v>
      </c>
      <c r="J22"/>
      <c r="K22">
        <v>1</v>
      </c>
      <c r="L22">
        <v>2</v>
      </c>
      <c r="M22">
        <v>3</v>
      </c>
      <c r="N22">
        <v>4</v>
      </c>
      <c r="O22">
        <v>5</v>
      </c>
      <c r="P22">
        <v>6</v>
      </c>
      <c r="Q22">
        <v>7</v>
      </c>
      <c r="R22">
        <v>8</v>
      </c>
      <c r="S22">
        <v>9</v>
      </c>
      <c r="T22">
        <v>10</v>
      </c>
      <c r="U22">
        <v>11</v>
      </c>
      <c r="V22">
        <v>12</v>
      </c>
      <c r="W22">
        <v>13</v>
      </c>
      <c r="X22">
        <v>14</v>
      </c>
      <c r="Y22">
        <v>15</v>
      </c>
      <c r="Z22">
        <v>16</v>
      </c>
      <c r="AA22">
        <v>17</v>
      </c>
      <c r="AB22">
        <v>18</v>
      </c>
      <c r="AC22">
        <v>19</v>
      </c>
      <c r="AD22">
        <v>20</v>
      </c>
      <c r="AE22">
        <v>21</v>
      </c>
      <c r="AF22">
        <v>22</v>
      </c>
      <c r="AG22">
        <v>23</v>
      </c>
      <c r="AH22">
        <v>24</v>
      </c>
      <c r="AI22">
        <v>25</v>
      </c>
    </row>
    <row r="23" spans="2:36" x14ac:dyDescent="0.25">
      <c r="I23" s="30" t="s">
        <v>32</v>
      </c>
      <c r="J23"/>
      <c r="K23" s="31">
        <f>C9</f>
        <v>0.10150000000000001</v>
      </c>
      <c r="L23" s="32">
        <f>K23*(1+$J$27)</f>
        <v>0.10150000000000001</v>
      </c>
      <c r="M23" s="32">
        <f>L23*(1+$J$27)</f>
        <v>0.10150000000000001</v>
      </c>
      <c r="N23" s="32">
        <f t="shared" ref="N23:AI23" si="1">M23*(1+$J$27)</f>
        <v>0.10150000000000001</v>
      </c>
      <c r="O23" s="32">
        <f t="shared" si="1"/>
        <v>0.10150000000000001</v>
      </c>
      <c r="P23" s="32">
        <f t="shared" si="1"/>
        <v>0.10150000000000001</v>
      </c>
      <c r="Q23" s="32">
        <f t="shared" si="1"/>
        <v>0.10150000000000001</v>
      </c>
      <c r="R23" s="32">
        <f t="shared" si="1"/>
        <v>0.10150000000000001</v>
      </c>
      <c r="S23" s="32">
        <f t="shared" si="1"/>
        <v>0.10150000000000001</v>
      </c>
      <c r="T23" s="32">
        <f t="shared" si="1"/>
        <v>0.10150000000000001</v>
      </c>
      <c r="U23" s="32">
        <f t="shared" si="1"/>
        <v>0.10150000000000001</v>
      </c>
      <c r="V23" s="32">
        <f t="shared" si="1"/>
        <v>0.10150000000000001</v>
      </c>
      <c r="W23" s="32">
        <f t="shared" si="1"/>
        <v>0.10150000000000001</v>
      </c>
      <c r="X23" s="32">
        <f t="shared" si="1"/>
        <v>0.10150000000000001</v>
      </c>
      <c r="Y23" s="32">
        <f t="shared" si="1"/>
        <v>0.10150000000000001</v>
      </c>
      <c r="Z23" s="32">
        <f t="shared" si="1"/>
        <v>0.10150000000000001</v>
      </c>
      <c r="AA23" s="32">
        <f t="shared" si="1"/>
        <v>0.10150000000000001</v>
      </c>
      <c r="AB23" s="32">
        <f t="shared" si="1"/>
        <v>0.10150000000000001</v>
      </c>
      <c r="AC23" s="32">
        <f t="shared" si="1"/>
        <v>0.10150000000000001</v>
      </c>
      <c r="AD23" s="32">
        <f t="shared" si="1"/>
        <v>0.10150000000000001</v>
      </c>
      <c r="AE23" s="32">
        <f t="shared" si="1"/>
        <v>0.10150000000000001</v>
      </c>
      <c r="AF23" s="32">
        <f t="shared" si="1"/>
        <v>0.10150000000000001</v>
      </c>
      <c r="AG23" s="32">
        <f t="shared" si="1"/>
        <v>0.10150000000000001</v>
      </c>
      <c r="AH23" s="32">
        <f t="shared" si="1"/>
        <v>0.10150000000000001</v>
      </c>
      <c r="AI23" s="32">
        <f t="shared" si="1"/>
        <v>0.10150000000000001</v>
      </c>
    </row>
    <row r="24" spans="2:36" ht="14.45" x14ac:dyDescent="0.35">
      <c r="I24" s="30" t="s">
        <v>33</v>
      </c>
      <c r="J24" s="33">
        <f>C11</f>
        <v>4.0759999999999998E-2</v>
      </c>
    </row>
    <row r="25" spans="2:36" ht="14.45" x14ac:dyDescent="0.35">
      <c r="I25" s="30" t="s">
        <v>34</v>
      </c>
      <c r="J25" s="34">
        <f>C12</f>
        <v>1.9599999999999999E-3</v>
      </c>
    </row>
    <row r="26" spans="2:36" ht="14.45" x14ac:dyDescent="0.35">
      <c r="I26" s="30" t="s">
        <v>35</v>
      </c>
      <c r="J26" s="35">
        <f>C13</f>
        <v>0.21</v>
      </c>
    </row>
    <row r="27" spans="2:36" x14ac:dyDescent="0.25">
      <c r="I27" s="36" t="s">
        <v>36</v>
      </c>
      <c r="J27" s="37">
        <f>C10</f>
        <v>0</v>
      </c>
      <c r="M27" s="38" t="s">
        <v>37</v>
      </c>
      <c r="N27" s="39">
        <f>AVERAGE(K23:AI23)</f>
        <v>0.10150000000000001</v>
      </c>
    </row>
    <row r="28" spans="2:36" ht="14.45" x14ac:dyDescent="0.35">
      <c r="J28"/>
    </row>
    <row r="29" spans="2:36" x14ac:dyDescent="0.25">
      <c r="I29" s="40" t="s">
        <v>38</v>
      </c>
      <c r="J29" s="41"/>
      <c r="K29" s="41">
        <v>0</v>
      </c>
      <c r="L29" s="41">
        <f t="shared" ref="L29:U29" si="2">IF(K29=20%,20%,IF($C$7=$T$2,K29+1%,0%))</f>
        <v>0.01</v>
      </c>
      <c r="M29" s="41">
        <f t="shared" si="2"/>
        <v>0.02</v>
      </c>
      <c r="N29" s="41">
        <f t="shared" si="2"/>
        <v>0.03</v>
      </c>
      <c r="O29" s="41">
        <f t="shared" si="2"/>
        <v>0.04</v>
      </c>
      <c r="P29" s="41">
        <f t="shared" si="2"/>
        <v>0.05</v>
      </c>
      <c r="Q29" s="41">
        <f t="shared" si="2"/>
        <v>6.0000000000000005E-2</v>
      </c>
      <c r="R29" s="41">
        <f t="shared" si="2"/>
        <v>7.0000000000000007E-2</v>
      </c>
      <c r="S29" s="41">
        <f t="shared" si="2"/>
        <v>0.08</v>
      </c>
      <c r="T29" s="41">
        <f t="shared" si="2"/>
        <v>0.09</v>
      </c>
      <c r="U29" s="41">
        <f t="shared" si="2"/>
        <v>9.9999999999999992E-2</v>
      </c>
      <c r="V29" s="41">
        <f>IF(U29=20%,20%,IF($C$7=$T$2,U29+0%,0%))</f>
        <v>9.9999999999999992E-2</v>
      </c>
      <c r="W29" s="41">
        <f>IF(V29=20%,20%,IF($C$7=$T$2,V29+1%,0%))</f>
        <v>0.10999999999999999</v>
      </c>
      <c r="X29" s="41">
        <f>IF(W29=20%,20%,IF($C$7=$T$2,W29+1%,0%))</f>
        <v>0.11999999999999998</v>
      </c>
      <c r="Y29" s="41">
        <f>IF(X29=20%,20%,IF($C$7=$T$2,X29+1%,0%))</f>
        <v>0.12999999999999998</v>
      </c>
      <c r="Z29" s="41">
        <f>IF(Y29=20%,20%,IF($C$7=$T$2,Y29+1%,0%))</f>
        <v>0.13999999999999999</v>
      </c>
      <c r="AA29" s="41">
        <f>IF(Z29=20%,20%,IF($C$7=$T$2,Z29+1%,0%))</f>
        <v>0.15</v>
      </c>
      <c r="AB29" s="41">
        <f>IF(AA29=20%,20%,IF($C$7=$T$2,AA29+0%,0%))</f>
        <v>0.15</v>
      </c>
      <c r="AC29" s="41">
        <f>IF(AB29=20%,20%,IF($C$7=$T$2,AB29+1%,0%))</f>
        <v>0.16</v>
      </c>
      <c r="AD29" s="41">
        <f>IF(AC29=20%,20%,IF($C$7=$T$2,AC29+1%,0%))</f>
        <v>0.17</v>
      </c>
      <c r="AE29" s="41">
        <f>IF(AD29=20%,20%,IF($C$7=$T$2,AD29+0%,0%))</f>
        <v>0.17</v>
      </c>
      <c r="AF29" s="41">
        <f>IF(AE29=20%,20%,IF($C$7=$T$2,AE29+1%,0%))</f>
        <v>0.18000000000000002</v>
      </c>
      <c r="AG29" s="41">
        <f>IF(AF29=20%,20%,IF($C$7=$T$2,AF29+1%,0%))</f>
        <v>0.19000000000000003</v>
      </c>
      <c r="AH29" s="41">
        <f>IF(AG29=20%,20%,IF($C$7=$T$2,AG29+1%,0%))</f>
        <v>0.20000000000000004</v>
      </c>
      <c r="AI29" s="41">
        <f>IF(AH29=20%,20%,IF($C$7=$T$2,AH29+1%,0%))</f>
        <v>0.2</v>
      </c>
      <c r="AJ29" t="s">
        <v>39</v>
      </c>
    </row>
    <row r="30" spans="2:36" ht="14.45" x14ac:dyDescent="0.35">
      <c r="I30" s="40" t="s">
        <v>40</v>
      </c>
      <c r="J30" s="42">
        <v>0</v>
      </c>
      <c r="K30" s="42">
        <v>1</v>
      </c>
      <c r="L30" s="42">
        <v>2</v>
      </c>
      <c r="M30" s="42">
        <v>3</v>
      </c>
      <c r="N30" s="42">
        <v>4</v>
      </c>
      <c r="O30" s="42">
        <v>5</v>
      </c>
      <c r="P30" s="42">
        <v>6</v>
      </c>
      <c r="Q30" s="42">
        <v>7</v>
      </c>
      <c r="R30" s="42">
        <v>8</v>
      </c>
      <c r="S30" s="42">
        <v>9</v>
      </c>
      <c r="T30" s="42">
        <v>10</v>
      </c>
      <c r="U30" s="42">
        <v>11</v>
      </c>
      <c r="V30" s="42">
        <v>12</v>
      </c>
      <c r="W30" s="42">
        <v>13</v>
      </c>
      <c r="X30" s="42">
        <v>14</v>
      </c>
      <c r="Y30" s="42">
        <v>15</v>
      </c>
      <c r="Z30" s="42">
        <v>16</v>
      </c>
      <c r="AA30" s="42">
        <v>17</v>
      </c>
      <c r="AB30" s="42">
        <v>18</v>
      </c>
      <c r="AC30" s="42">
        <v>19</v>
      </c>
      <c r="AD30" s="42">
        <v>20</v>
      </c>
      <c r="AE30" s="42">
        <v>21</v>
      </c>
      <c r="AF30" s="42">
        <v>22</v>
      </c>
      <c r="AG30" s="42">
        <v>23</v>
      </c>
      <c r="AH30" s="42">
        <v>24</v>
      </c>
      <c r="AI30" s="42">
        <v>25</v>
      </c>
    </row>
    <row r="31" spans="2:36" x14ac:dyDescent="0.25">
      <c r="I31" s="40" t="s">
        <v>41</v>
      </c>
      <c r="J31" s="43"/>
      <c r="K31" s="44">
        <f>K29</f>
        <v>0</v>
      </c>
      <c r="L31" s="44">
        <f t="shared" ref="L31:AI31" si="3">L29</f>
        <v>0.01</v>
      </c>
      <c r="M31" s="44">
        <f t="shared" si="3"/>
        <v>0.02</v>
      </c>
      <c r="N31" s="44">
        <f t="shared" si="3"/>
        <v>0.03</v>
      </c>
      <c r="O31" s="44">
        <f t="shared" si="3"/>
        <v>0.04</v>
      </c>
      <c r="P31" s="44">
        <f t="shared" si="3"/>
        <v>0.05</v>
      </c>
      <c r="Q31" s="44">
        <f t="shared" si="3"/>
        <v>6.0000000000000005E-2</v>
      </c>
      <c r="R31" s="44">
        <f t="shared" si="3"/>
        <v>7.0000000000000007E-2</v>
      </c>
      <c r="S31" s="44">
        <f t="shared" si="3"/>
        <v>0.08</v>
      </c>
      <c r="T31" s="44">
        <f t="shared" si="3"/>
        <v>0.09</v>
      </c>
      <c r="U31" s="44">
        <f t="shared" si="3"/>
        <v>9.9999999999999992E-2</v>
      </c>
      <c r="V31" s="44">
        <f t="shared" si="3"/>
        <v>9.9999999999999992E-2</v>
      </c>
      <c r="W31" s="44">
        <f t="shared" si="3"/>
        <v>0.10999999999999999</v>
      </c>
      <c r="X31" s="44">
        <f t="shared" si="3"/>
        <v>0.11999999999999998</v>
      </c>
      <c r="Y31" s="44">
        <f t="shared" si="3"/>
        <v>0.12999999999999998</v>
      </c>
      <c r="Z31" s="44">
        <f t="shared" si="3"/>
        <v>0.13999999999999999</v>
      </c>
      <c r="AA31" s="44">
        <f t="shared" si="3"/>
        <v>0.15</v>
      </c>
      <c r="AB31" s="44">
        <f t="shared" si="3"/>
        <v>0.15</v>
      </c>
      <c r="AC31" s="44">
        <f t="shared" si="3"/>
        <v>0.16</v>
      </c>
      <c r="AD31" s="44">
        <f t="shared" si="3"/>
        <v>0.17</v>
      </c>
      <c r="AE31" s="44">
        <f t="shared" si="3"/>
        <v>0.17</v>
      </c>
      <c r="AF31" s="44">
        <f t="shared" si="3"/>
        <v>0.18000000000000002</v>
      </c>
      <c r="AG31" s="44">
        <f t="shared" si="3"/>
        <v>0.19000000000000003</v>
      </c>
      <c r="AH31" s="44">
        <f t="shared" si="3"/>
        <v>0.20000000000000004</v>
      </c>
      <c r="AI31" s="44">
        <f t="shared" si="3"/>
        <v>0.2</v>
      </c>
    </row>
    <row r="32" spans="2:36" ht="14.45" x14ac:dyDescent="0.35">
      <c r="I32" s="40"/>
      <c r="J32"/>
    </row>
    <row r="33" spans="9:36" x14ac:dyDescent="0.25">
      <c r="I33" s="45" t="s">
        <v>7</v>
      </c>
      <c r="J33" s="46"/>
      <c r="K33" s="47">
        <f>SUM(K34:K35)</f>
        <v>8250</v>
      </c>
      <c r="L33" s="47">
        <f t="shared" ref="L33:AI33" si="4">SUM(L34:L35)</f>
        <v>8167.5</v>
      </c>
      <c r="M33" s="47">
        <f t="shared" si="4"/>
        <v>8085</v>
      </c>
      <c r="N33" s="47">
        <f t="shared" si="4"/>
        <v>8002.5</v>
      </c>
      <c r="O33" s="47">
        <f t="shared" si="4"/>
        <v>7920</v>
      </c>
      <c r="P33" s="47">
        <f t="shared" si="4"/>
        <v>7837.5</v>
      </c>
      <c r="Q33" s="47">
        <f t="shared" si="4"/>
        <v>7755</v>
      </c>
      <c r="R33" s="47">
        <f t="shared" si="4"/>
        <v>7672.4999999999991</v>
      </c>
      <c r="S33" s="47">
        <f t="shared" si="4"/>
        <v>7590</v>
      </c>
      <c r="T33" s="47">
        <f t="shared" si="4"/>
        <v>7507.5</v>
      </c>
      <c r="U33" s="47">
        <f t="shared" si="4"/>
        <v>7425</v>
      </c>
      <c r="V33" s="47">
        <f t="shared" si="4"/>
        <v>7425</v>
      </c>
      <c r="W33" s="47">
        <f t="shared" si="4"/>
        <v>7342.5</v>
      </c>
      <c r="X33" s="47">
        <f t="shared" si="4"/>
        <v>7260</v>
      </c>
      <c r="Y33" s="47">
        <f t="shared" si="4"/>
        <v>7177.5</v>
      </c>
      <c r="Z33" s="47">
        <f t="shared" si="4"/>
        <v>7095</v>
      </c>
      <c r="AA33" s="47">
        <f t="shared" si="4"/>
        <v>7012.5</v>
      </c>
      <c r="AB33" s="47">
        <f t="shared" si="4"/>
        <v>7012.5</v>
      </c>
      <c r="AC33" s="47">
        <f t="shared" si="4"/>
        <v>6930</v>
      </c>
      <c r="AD33" s="47">
        <f t="shared" si="4"/>
        <v>6847.5</v>
      </c>
      <c r="AE33" s="47">
        <f t="shared" si="4"/>
        <v>6847.5</v>
      </c>
      <c r="AF33" s="47">
        <f t="shared" si="4"/>
        <v>6765</v>
      </c>
      <c r="AG33" s="47">
        <f t="shared" si="4"/>
        <v>6682.4999999999991</v>
      </c>
      <c r="AH33" s="47">
        <f t="shared" si="4"/>
        <v>6599.9999999999991</v>
      </c>
      <c r="AI33" s="47">
        <f t="shared" si="4"/>
        <v>6600</v>
      </c>
      <c r="AJ33" s="48">
        <f>AVERAGE(K33:AI33)</f>
        <v>7352.4</v>
      </c>
    </row>
    <row r="34" spans="9:36" x14ac:dyDescent="0.25">
      <c r="I34" s="40" t="s">
        <v>42</v>
      </c>
      <c r="J34"/>
      <c r="K34" s="48">
        <f>P3</f>
        <v>4125</v>
      </c>
      <c r="L34" s="48">
        <f>$K$34*(1-L31)</f>
        <v>4083.75</v>
      </c>
      <c r="M34" s="48">
        <f t="shared" ref="M34:AI34" si="5">$K$34*(1-M31)</f>
        <v>4042.5</v>
      </c>
      <c r="N34" s="48">
        <f t="shared" si="5"/>
        <v>4001.25</v>
      </c>
      <c r="O34" s="48">
        <f t="shared" si="5"/>
        <v>3960</v>
      </c>
      <c r="P34" s="48">
        <f t="shared" si="5"/>
        <v>3918.75</v>
      </c>
      <c r="Q34" s="48">
        <f t="shared" si="5"/>
        <v>3877.5</v>
      </c>
      <c r="R34" s="48">
        <f t="shared" si="5"/>
        <v>3836.2499999999995</v>
      </c>
      <c r="S34" s="48">
        <f t="shared" si="5"/>
        <v>3795</v>
      </c>
      <c r="T34" s="48">
        <f t="shared" si="5"/>
        <v>3753.75</v>
      </c>
      <c r="U34" s="48">
        <f t="shared" si="5"/>
        <v>3712.5</v>
      </c>
      <c r="V34" s="48">
        <f t="shared" si="5"/>
        <v>3712.5</v>
      </c>
      <c r="W34" s="48">
        <f t="shared" si="5"/>
        <v>3671.25</v>
      </c>
      <c r="X34" s="48">
        <f t="shared" si="5"/>
        <v>3630</v>
      </c>
      <c r="Y34" s="48">
        <f t="shared" si="5"/>
        <v>3588.75</v>
      </c>
      <c r="Z34" s="48">
        <f t="shared" si="5"/>
        <v>3547.5</v>
      </c>
      <c r="AA34" s="48">
        <f t="shared" si="5"/>
        <v>3506.25</v>
      </c>
      <c r="AB34" s="48">
        <f t="shared" si="5"/>
        <v>3506.25</v>
      </c>
      <c r="AC34" s="48">
        <f t="shared" si="5"/>
        <v>3465</v>
      </c>
      <c r="AD34" s="48">
        <f t="shared" si="5"/>
        <v>3423.75</v>
      </c>
      <c r="AE34" s="48">
        <f t="shared" si="5"/>
        <v>3423.75</v>
      </c>
      <c r="AF34" s="48">
        <f t="shared" si="5"/>
        <v>3382.5</v>
      </c>
      <c r="AG34" s="48">
        <f t="shared" si="5"/>
        <v>3341.2499999999995</v>
      </c>
      <c r="AH34" s="48">
        <f t="shared" si="5"/>
        <v>3299.9999999999995</v>
      </c>
      <c r="AI34" s="48">
        <f t="shared" si="5"/>
        <v>3300</v>
      </c>
      <c r="AJ34" s="48">
        <f t="shared" ref="AJ34:AJ35" si="6">AVERAGE(K34:AI34)</f>
        <v>3676.2</v>
      </c>
    </row>
    <row r="35" spans="9:36" x14ac:dyDescent="0.25">
      <c r="I35" s="49" t="s">
        <v>43</v>
      </c>
      <c r="J35" s="50"/>
      <c r="K35" s="51">
        <f>Q3</f>
        <v>4125</v>
      </c>
      <c r="L35" s="51">
        <f>$K$35*(1-L31)</f>
        <v>4083.75</v>
      </c>
      <c r="M35" s="51">
        <f t="shared" ref="M35:AI35" si="7">$K$35*(1-M31)</f>
        <v>4042.5</v>
      </c>
      <c r="N35" s="51">
        <f t="shared" si="7"/>
        <v>4001.25</v>
      </c>
      <c r="O35" s="51">
        <f t="shared" si="7"/>
        <v>3960</v>
      </c>
      <c r="P35" s="51">
        <f t="shared" si="7"/>
        <v>3918.75</v>
      </c>
      <c r="Q35" s="51">
        <f t="shared" si="7"/>
        <v>3877.5</v>
      </c>
      <c r="R35" s="51">
        <f t="shared" si="7"/>
        <v>3836.2499999999995</v>
      </c>
      <c r="S35" s="51">
        <f t="shared" si="7"/>
        <v>3795</v>
      </c>
      <c r="T35" s="51">
        <f t="shared" si="7"/>
        <v>3753.75</v>
      </c>
      <c r="U35" s="51">
        <f t="shared" si="7"/>
        <v>3712.5</v>
      </c>
      <c r="V35" s="51">
        <f t="shared" si="7"/>
        <v>3712.5</v>
      </c>
      <c r="W35" s="51">
        <f t="shared" si="7"/>
        <v>3671.25</v>
      </c>
      <c r="X35" s="51">
        <f t="shared" si="7"/>
        <v>3630</v>
      </c>
      <c r="Y35" s="51">
        <f t="shared" si="7"/>
        <v>3588.75</v>
      </c>
      <c r="Z35" s="51">
        <f t="shared" si="7"/>
        <v>3547.5</v>
      </c>
      <c r="AA35" s="51">
        <f t="shared" si="7"/>
        <v>3506.25</v>
      </c>
      <c r="AB35" s="51">
        <f t="shared" si="7"/>
        <v>3506.25</v>
      </c>
      <c r="AC35" s="51">
        <f t="shared" si="7"/>
        <v>3465</v>
      </c>
      <c r="AD35" s="51">
        <f t="shared" si="7"/>
        <v>3423.75</v>
      </c>
      <c r="AE35" s="51">
        <f t="shared" si="7"/>
        <v>3423.75</v>
      </c>
      <c r="AF35" s="51">
        <f t="shared" si="7"/>
        <v>3382.5</v>
      </c>
      <c r="AG35" s="51">
        <f t="shared" si="7"/>
        <v>3341.2499999999995</v>
      </c>
      <c r="AH35" s="51">
        <f t="shared" si="7"/>
        <v>3299.9999999999995</v>
      </c>
      <c r="AI35" s="51">
        <f t="shared" si="7"/>
        <v>3300</v>
      </c>
      <c r="AJ35" s="48">
        <f t="shared" si="6"/>
        <v>3676.2</v>
      </c>
    </row>
    <row r="36" spans="9:36" ht="14.45" x14ac:dyDescent="0.35">
      <c r="I36" s="40"/>
      <c r="J36"/>
    </row>
    <row r="37" spans="9:36" x14ac:dyDescent="0.25">
      <c r="I37" s="45" t="s">
        <v>44</v>
      </c>
      <c r="J37" s="46"/>
      <c r="K37" s="47">
        <f>(K34*($J$24+$J$25+K$23)*(1+$J$26))</f>
        <v>719.838075</v>
      </c>
      <c r="L37" s="47">
        <f t="shared" ref="L37:AI37" si="8">(L34*($J$24+$J$25+L$23)*(1+$J$26))</f>
        <v>712.63969425000005</v>
      </c>
      <c r="M37" s="47">
        <f t="shared" si="8"/>
        <v>705.44131349999998</v>
      </c>
      <c r="N37" s="47">
        <f t="shared" si="8"/>
        <v>698.24293275000002</v>
      </c>
      <c r="O37" s="47">
        <f t="shared" si="8"/>
        <v>691.04455200000007</v>
      </c>
      <c r="P37" s="47">
        <f t="shared" si="8"/>
        <v>683.84617125</v>
      </c>
      <c r="Q37" s="47">
        <f t="shared" si="8"/>
        <v>676.64779050000004</v>
      </c>
      <c r="R37" s="47">
        <f t="shared" si="8"/>
        <v>669.44940974999997</v>
      </c>
      <c r="S37" s="47">
        <f t="shared" si="8"/>
        <v>662.25102900000013</v>
      </c>
      <c r="T37" s="47">
        <f t="shared" si="8"/>
        <v>655.05264825000006</v>
      </c>
      <c r="U37" s="47">
        <f t="shared" si="8"/>
        <v>647.85426750000011</v>
      </c>
      <c r="V37" s="47">
        <f t="shared" si="8"/>
        <v>647.85426750000011</v>
      </c>
      <c r="W37" s="47">
        <f t="shared" si="8"/>
        <v>640.65588675000015</v>
      </c>
      <c r="X37" s="47">
        <f t="shared" si="8"/>
        <v>633.45750600000008</v>
      </c>
      <c r="Y37" s="47">
        <f t="shared" si="8"/>
        <v>626.25912525000001</v>
      </c>
      <c r="Z37" s="47">
        <f t="shared" si="8"/>
        <v>619.06074450000006</v>
      </c>
      <c r="AA37" s="47">
        <f t="shared" si="8"/>
        <v>611.8623637500001</v>
      </c>
      <c r="AB37" s="47">
        <f>(AB34*($J$24+$J$25+AB$23)*(1+$J$26))</f>
        <v>611.8623637500001</v>
      </c>
      <c r="AC37" s="47">
        <f t="shared" si="8"/>
        <v>604.66398300000003</v>
      </c>
      <c r="AD37" s="47">
        <f t="shared" si="8"/>
        <v>597.46560224999996</v>
      </c>
      <c r="AE37" s="47">
        <f t="shared" si="8"/>
        <v>597.46560224999996</v>
      </c>
      <c r="AF37" s="47">
        <f t="shared" si="8"/>
        <v>590.26722150000001</v>
      </c>
      <c r="AG37" s="47">
        <f t="shared" si="8"/>
        <v>583.06884074999994</v>
      </c>
      <c r="AH37" s="47">
        <f t="shared" si="8"/>
        <v>575.87045999999998</v>
      </c>
      <c r="AI37" s="47">
        <f t="shared" si="8"/>
        <v>575.87046000000009</v>
      </c>
    </row>
    <row r="38" spans="9:36" x14ac:dyDescent="0.25">
      <c r="I38" s="40" t="s">
        <v>45</v>
      </c>
      <c r="J38"/>
      <c r="K38" s="48">
        <f>(K35*(K$23+$J$25)*(1+$J$26))</f>
        <v>516.39472499999999</v>
      </c>
      <c r="L38" s="48">
        <f t="shared" ref="L38:AI38" si="9">(L35*(L$23+$J$25)*(1+$J$26))</f>
        <v>511.23077775000007</v>
      </c>
      <c r="M38" s="48">
        <f t="shared" si="9"/>
        <v>506.06683050000009</v>
      </c>
      <c r="N38" s="48">
        <f t="shared" si="9"/>
        <v>500.90288325</v>
      </c>
      <c r="O38" s="48">
        <f t="shared" si="9"/>
        <v>495.73893600000002</v>
      </c>
      <c r="P38" s="48">
        <f t="shared" si="9"/>
        <v>490.57498875000005</v>
      </c>
      <c r="Q38" s="48">
        <f t="shared" si="9"/>
        <v>485.41104150000001</v>
      </c>
      <c r="R38" s="48">
        <f t="shared" si="9"/>
        <v>480.24709424999998</v>
      </c>
      <c r="S38" s="48">
        <f t="shared" si="9"/>
        <v>475.08314700000005</v>
      </c>
      <c r="T38" s="48">
        <f t="shared" si="9"/>
        <v>469.91919975000008</v>
      </c>
      <c r="U38" s="48">
        <f t="shared" si="9"/>
        <v>464.75525250000004</v>
      </c>
      <c r="V38" s="48">
        <f t="shared" si="9"/>
        <v>464.75525250000004</v>
      </c>
      <c r="W38" s="48">
        <f t="shared" si="9"/>
        <v>459.59130525</v>
      </c>
      <c r="X38" s="48">
        <f t="shared" si="9"/>
        <v>454.42735800000003</v>
      </c>
      <c r="Y38" s="48">
        <f t="shared" si="9"/>
        <v>449.26341074999999</v>
      </c>
      <c r="Z38" s="48">
        <f t="shared" si="9"/>
        <v>444.09946350000001</v>
      </c>
      <c r="AA38" s="48">
        <f t="shared" si="9"/>
        <v>438.93551625000003</v>
      </c>
      <c r="AB38" s="48">
        <f t="shared" si="9"/>
        <v>438.93551625000003</v>
      </c>
      <c r="AC38" s="48">
        <f t="shared" si="9"/>
        <v>433.77156900000006</v>
      </c>
      <c r="AD38" s="48">
        <f t="shared" si="9"/>
        <v>428.60762175000002</v>
      </c>
      <c r="AE38" s="48">
        <f t="shared" si="9"/>
        <v>428.60762175000002</v>
      </c>
      <c r="AF38" s="48">
        <f t="shared" si="9"/>
        <v>423.44367450000004</v>
      </c>
      <c r="AG38" s="48">
        <f>(AG35*(AG$23+$J$25)*(1+$J$26))</f>
        <v>418.27972724999995</v>
      </c>
      <c r="AH38" s="48">
        <f t="shared" si="9"/>
        <v>413.11577999999997</v>
      </c>
      <c r="AI38" s="48">
        <f t="shared" si="9"/>
        <v>413.11577999999997</v>
      </c>
    </row>
    <row r="39" spans="9:36" x14ac:dyDescent="0.25">
      <c r="I39" s="49" t="s">
        <v>46</v>
      </c>
      <c r="J39" s="50"/>
      <c r="K39" s="51">
        <f>SUM(K37:K38)</f>
        <v>1236.2328</v>
      </c>
      <c r="L39" s="51">
        <f t="shared" ref="L39:AI39" si="10">SUM(L37:L38)</f>
        <v>1223.8704720000001</v>
      </c>
      <c r="M39" s="51">
        <f t="shared" si="10"/>
        <v>1211.5081440000001</v>
      </c>
      <c r="N39" s="51">
        <f t="shared" si="10"/>
        <v>1199.145816</v>
      </c>
      <c r="O39" s="51">
        <f t="shared" si="10"/>
        <v>1186.783488</v>
      </c>
      <c r="P39" s="51">
        <f t="shared" si="10"/>
        <v>1174.4211600000001</v>
      </c>
      <c r="Q39" s="51">
        <f t="shared" si="10"/>
        <v>1162.0588320000002</v>
      </c>
      <c r="R39" s="51">
        <f t="shared" si="10"/>
        <v>1149.696504</v>
      </c>
      <c r="S39" s="51">
        <f t="shared" si="10"/>
        <v>1137.3341760000003</v>
      </c>
      <c r="T39" s="51">
        <f t="shared" si="10"/>
        <v>1124.9718480000001</v>
      </c>
      <c r="U39" s="51">
        <f t="shared" si="10"/>
        <v>1112.6095200000002</v>
      </c>
      <c r="V39" s="51">
        <f t="shared" si="10"/>
        <v>1112.6095200000002</v>
      </c>
      <c r="W39" s="51">
        <f t="shared" si="10"/>
        <v>1100.2471920000003</v>
      </c>
      <c r="X39" s="51">
        <f t="shared" si="10"/>
        <v>1087.8848640000001</v>
      </c>
      <c r="Y39" s="51">
        <f t="shared" si="10"/>
        <v>1075.5225359999999</v>
      </c>
      <c r="Z39" s="51">
        <f t="shared" si="10"/>
        <v>1063.160208</v>
      </c>
      <c r="AA39" s="51">
        <f t="shared" si="10"/>
        <v>1050.7978800000001</v>
      </c>
      <c r="AB39" s="51">
        <f>SUM(AB37:AB38)</f>
        <v>1050.7978800000001</v>
      </c>
      <c r="AC39" s="51">
        <f>SUM(AC37:AC38)</f>
        <v>1038.4355520000001</v>
      </c>
      <c r="AD39" s="51">
        <f t="shared" si="10"/>
        <v>1026.073224</v>
      </c>
      <c r="AE39" s="51">
        <f t="shared" si="10"/>
        <v>1026.073224</v>
      </c>
      <c r="AF39" s="51">
        <f t="shared" si="10"/>
        <v>1013.710896</v>
      </c>
      <c r="AG39" s="51">
        <f t="shared" si="10"/>
        <v>1001.3485679999999</v>
      </c>
      <c r="AH39" s="51">
        <f t="shared" si="10"/>
        <v>988.98623999999995</v>
      </c>
      <c r="AI39" s="51">
        <f t="shared" si="10"/>
        <v>988.98624000000007</v>
      </c>
    </row>
    <row r="40" spans="9:36" ht="14.45" x14ac:dyDescent="0.35">
      <c r="I40" s="40"/>
      <c r="J40"/>
    </row>
    <row r="41" spans="9:36" x14ac:dyDescent="0.25">
      <c r="I41" s="52" t="s">
        <v>47</v>
      </c>
      <c r="J41" s="53"/>
      <c r="K41" s="54">
        <f>AVERAGE(K39:AI39)</f>
        <v>1101.7306713600001</v>
      </c>
    </row>
    <row r="42" spans="9:36" x14ac:dyDescent="0.25">
      <c r="I42" s="40"/>
      <c r="J42"/>
      <c r="L42" s="55">
        <v>12</v>
      </c>
      <c r="M42" s="56" t="s">
        <v>48</v>
      </c>
    </row>
    <row r="43" spans="9:36" x14ac:dyDescent="0.25">
      <c r="I43" s="45" t="s">
        <v>49</v>
      </c>
      <c r="J43" s="46"/>
      <c r="K43" s="47">
        <f>AVERAGE(K33:AI33)</f>
        <v>7352.4</v>
      </c>
      <c r="L43" s="47">
        <f>K43/$L$42</f>
        <v>612.69999999999993</v>
      </c>
    </row>
    <row r="44" spans="9:36" x14ac:dyDescent="0.25">
      <c r="I44" s="40" t="s">
        <v>50</v>
      </c>
      <c r="J44"/>
      <c r="K44" s="48">
        <f>AVERAGE(K34:AI34)</f>
        <v>3676.2</v>
      </c>
      <c r="L44" s="48">
        <f t="shared" ref="L44:L45" si="11">K44/$L$42</f>
        <v>306.34999999999997</v>
      </c>
    </row>
    <row r="45" spans="9:36" x14ac:dyDescent="0.25">
      <c r="I45" s="49" t="s">
        <v>51</v>
      </c>
      <c r="J45" s="50"/>
      <c r="K45" s="51">
        <f>AVERAGE(K35:AI35)</f>
        <v>3676.2</v>
      </c>
      <c r="L45" s="51">
        <f t="shared" si="11"/>
        <v>306.34999999999997</v>
      </c>
    </row>
    <row r="46" spans="9:36" ht="14.45" x14ac:dyDescent="0.35">
      <c r="I46" s="40"/>
      <c r="J46"/>
    </row>
    <row r="47" spans="9:36" x14ac:dyDescent="0.25">
      <c r="I47" s="40" t="s">
        <v>28</v>
      </c>
      <c r="J47"/>
      <c r="K47" s="48">
        <f>C15</f>
        <v>10380</v>
      </c>
    </row>
    <row r="48" spans="9:36" x14ac:dyDescent="0.25">
      <c r="I48" s="40" t="s">
        <v>29</v>
      </c>
      <c r="J48"/>
      <c r="K48" s="57">
        <f>K47/K41</f>
        <v>9.4215403726454348</v>
      </c>
    </row>
    <row r="49" spans="9:36" x14ac:dyDescent="0.25">
      <c r="J49"/>
      <c r="AJ49" t="s">
        <v>52</v>
      </c>
    </row>
    <row r="50" spans="9:36" x14ac:dyDescent="0.25">
      <c r="I50" s="55" t="s">
        <v>53</v>
      </c>
      <c r="J50">
        <f t="shared" ref="J50:AI50" si="12">J30</f>
        <v>0</v>
      </c>
      <c r="K50">
        <f t="shared" si="12"/>
        <v>1</v>
      </c>
      <c r="L50">
        <f t="shared" si="12"/>
        <v>2</v>
      </c>
      <c r="M50">
        <f t="shared" si="12"/>
        <v>3</v>
      </c>
      <c r="N50">
        <f t="shared" si="12"/>
        <v>4</v>
      </c>
      <c r="O50">
        <f t="shared" si="12"/>
        <v>5</v>
      </c>
      <c r="P50">
        <f t="shared" si="12"/>
        <v>6</v>
      </c>
      <c r="Q50">
        <f t="shared" si="12"/>
        <v>7</v>
      </c>
      <c r="R50">
        <f t="shared" si="12"/>
        <v>8</v>
      </c>
      <c r="S50">
        <f t="shared" si="12"/>
        <v>9</v>
      </c>
      <c r="T50">
        <f t="shared" si="12"/>
        <v>10</v>
      </c>
      <c r="U50">
        <f t="shared" si="12"/>
        <v>11</v>
      </c>
      <c r="V50">
        <f t="shared" si="12"/>
        <v>12</v>
      </c>
      <c r="W50">
        <f t="shared" si="12"/>
        <v>13</v>
      </c>
      <c r="X50">
        <f t="shared" si="12"/>
        <v>14</v>
      </c>
      <c r="Y50">
        <f t="shared" si="12"/>
        <v>15</v>
      </c>
      <c r="Z50">
        <f t="shared" si="12"/>
        <v>16</v>
      </c>
      <c r="AA50">
        <f t="shared" si="12"/>
        <v>17</v>
      </c>
      <c r="AB50">
        <f t="shared" si="12"/>
        <v>18</v>
      </c>
      <c r="AC50">
        <f t="shared" si="12"/>
        <v>19</v>
      </c>
      <c r="AD50">
        <f t="shared" si="12"/>
        <v>20</v>
      </c>
      <c r="AE50">
        <f t="shared" si="12"/>
        <v>21</v>
      </c>
      <c r="AF50">
        <f t="shared" si="12"/>
        <v>22</v>
      </c>
      <c r="AG50">
        <f t="shared" si="12"/>
        <v>23</v>
      </c>
      <c r="AH50">
        <f t="shared" si="12"/>
        <v>24</v>
      </c>
      <c r="AI50">
        <f t="shared" si="12"/>
        <v>25</v>
      </c>
    </row>
    <row r="51" spans="9:36" x14ac:dyDescent="0.25">
      <c r="I51" s="40" t="s">
        <v>54</v>
      </c>
      <c r="J51"/>
      <c r="K51" s="48">
        <f>-K47</f>
        <v>-10380</v>
      </c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>
        <f>SUM(K51:AI51)</f>
        <v>-10380</v>
      </c>
    </row>
    <row r="52" spans="9:36" x14ac:dyDescent="0.25">
      <c r="I52" s="40" t="s">
        <v>55</v>
      </c>
      <c r="J52"/>
      <c r="K52" s="48">
        <f t="shared" ref="K52:AI52" si="13">K39</f>
        <v>1236.2328</v>
      </c>
      <c r="L52" s="48">
        <f t="shared" si="13"/>
        <v>1223.8704720000001</v>
      </c>
      <c r="M52" s="48">
        <f t="shared" si="13"/>
        <v>1211.5081440000001</v>
      </c>
      <c r="N52" s="48">
        <f t="shared" si="13"/>
        <v>1199.145816</v>
      </c>
      <c r="O52" s="48">
        <f t="shared" si="13"/>
        <v>1186.783488</v>
      </c>
      <c r="P52" s="48">
        <f t="shared" si="13"/>
        <v>1174.4211600000001</v>
      </c>
      <c r="Q52" s="48">
        <f t="shared" si="13"/>
        <v>1162.0588320000002</v>
      </c>
      <c r="R52" s="48">
        <f t="shared" si="13"/>
        <v>1149.696504</v>
      </c>
      <c r="S52" s="48">
        <f t="shared" si="13"/>
        <v>1137.3341760000003</v>
      </c>
      <c r="T52" s="48">
        <f t="shared" si="13"/>
        <v>1124.9718480000001</v>
      </c>
      <c r="U52" s="48">
        <f t="shared" si="13"/>
        <v>1112.6095200000002</v>
      </c>
      <c r="V52" s="48">
        <f t="shared" si="13"/>
        <v>1112.6095200000002</v>
      </c>
      <c r="W52" s="48">
        <f t="shared" si="13"/>
        <v>1100.2471920000003</v>
      </c>
      <c r="X52" s="48">
        <f t="shared" si="13"/>
        <v>1087.8848640000001</v>
      </c>
      <c r="Y52" s="48">
        <f t="shared" si="13"/>
        <v>1075.5225359999999</v>
      </c>
      <c r="Z52" s="48">
        <f t="shared" si="13"/>
        <v>1063.160208</v>
      </c>
      <c r="AA52" s="48">
        <f t="shared" si="13"/>
        <v>1050.7978800000001</v>
      </c>
      <c r="AB52" s="48">
        <f t="shared" si="13"/>
        <v>1050.7978800000001</v>
      </c>
      <c r="AC52" s="48">
        <f t="shared" si="13"/>
        <v>1038.4355520000001</v>
      </c>
      <c r="AD52" s="48">
        <f t="shared" si="13"/>
        <v>1026.073224</v>
      </c>
      <c r="AE52" s="48">
        <f t="shared" si="13"/>
        <v>1026.073224</v>
      </c>
      <c r="AF52" s="48">
        <f t="shared" si="13"/>
        <v>1013.710896</v>
      </c>
      <c r="AG52" s="48">
        <f t="shared" si="13"/>
        <v>1001.3485679999999</v>
      </c>
      <c r="AH52" s="48">
        <f t="shared" si="13"/>
        <v>988.98623999999995</v>
      </c>
      <c r="AI52" s="48">
        <f t="shared" si="13"/>
        <v>988.98624000000007</v>
      </c>
      <c r="AJ52" s="48">
        <f>SUM(K52:AI52)</f>
        <v>27543.266783999999</v>
      </c>
    </row>
    <row r="53" spans="9:36" x14ac:dyDescent="0.25">
      <c r="I53" s="40" t="s">
        <v>53</v>
      </c>
      <c r="J53"/>
      <c r="K53" s="48">
        <f>K51+K52</f>
        <v>-9143.7672000000002</v>
      </c>
      <c r="L53" s="48">
        <f t="shared" ref="L53:AI53" si="14">L51+L52</f>
        <v>1223.8704720000001</v>
      </c>
      <c r="M53" s="48">
        <f t="shared" si="14"/>
        <v>1211.5081440000001</v>
      </c>
      <c r="N53" s="48">
        <f t="shared" si="14"/>
        <v>1199.145816</v>
      </c>
      <c r="O53" s="48">
        <f t="shared" si="14"/>
        <v>1186.783488</v>
      </c>
      <c r="P53" s="48">
        <f t="shared" si="14"/>
        <v>1174.4211600000001</v>
      </c>
      <c r="Q53" s="48">
        <f t="shared" si="14"/>
        <v>1162.0588320000002</v>
      </c>
      <c r="R53" s="48">
        <f t="shared" si="14"/>
        <v>1149.696504</v>
      </c>
      <c r="S53" s="48">
        <f t="shared" si="14"/>
        <v>1137.3341760000003</v>
      </c>
      <c r="T53" s="48">
        <f t="shared" si="14"/>
        <v>1124.9718480000001</v>
      </c>
      <c r="U53" s="48">
        <f t="shared" si="14"/>
        <v>1112.6095200000002</v>
      </c>
      <c r="V53" s="48">
        <f t="shared" si="14"/>
        <v>1112.6095200000002</v>
      </c>
      <c r="W53" s="48">
        <f t="shared" si="14"/>
        <v>1100.2471920000003</v>
      </c>
      <c r="X53" s="48">
        <f t="shared" si="14"/>
        <v>1087.8848640000001</v>
      </c>
      <c r="Y53" s="48">
        <f t="shared" si="14"/>
        <v>1075.5225359999999</v>
      </c>
      <c r="Z53" s="48">
        <f t="shared" si="14"/>
        <v>1063.160208</v>
      </c>
      <c r="AA53" s="48">
        <f t="shared" si="14"/>
        <v>1050.7978800000001</v>
      </c>
      <c r="AB53" s="48">
        <f t="shared" si="14"/>
        <v>1050.7978800000001</v>
      </c>
      <c r="AC53" s="48">
        <f t="shared" si="14"/>
        <v>1038.4355520000001</v>
      </c>
      <c r="AD53" s="48">
        <f t="shared" si="14"/>
        <v>1026.073224</v>
      </c>
      <c r="AE53" s="48">
        <f t="shared" si="14"/>
        <v>1026.073224</v>
      </c>
      <c r="AF53" s="48">
        <f t="shared" si="14"/>
        <v>1013.710896</v>
      </c>
      <c r="AG53" s="48">
        <f t="shared" si="14"/>
        <v>1001.3485679999999</v>
      </c>
      <c r="AH53" s="48">
        <f t="shared" si="14"/>
        <v>988.98623999999995</v>
      </c>
      <c r="AI53" s="48">
        <f t="shared" si="14"/>
        <v>988.98624000000007</v>
      </c>
      <c r="AJ53" s="48">
        <f>AJ51+AJ5</f>
        <v>-10380</v>
      </c>
    </row>
    <row r="54" spans="9:36" x14ac:dyDescent="0.25">
      <c r="I54" s="40"/>
      <c r="J54"/>
    </row>
    <row r="55" spans="9:36" x14ac:dyDescent="0.25">
      <c r="J55" t="s">
        <v>56</v>
      </c>
      <c r="K55" s="58">
        <f>IRR(K53:AI53)</f>
        <v>0.11641706295750209</v>
      </c>
    </row>
    <row r="56" spans="9:36" x14ac:dyDescent="0.25">
      <c r="I56" s="40"/>
      <c r="J56" s="40"/>
      <c r="K56" s="57"/>
      <c r="L56" s="40"/>
      <c r="M56" s="40"/>
    </row>
  </sheetData>
  <mergeCells count="2">
    <mergeCell ref="O1:Q1"/>
    <mergeCell ref="R1:R2"/>
  </mergeCells>
  <dataValidations count="2">
    <dataValidation type="list" allowBlank="1" showInputMessage="1" showErrorMessage="1" sqref="C7">
      <formula1>$T$2:$T$3</formula1>
    </dataValidation>
    <dataValidation type="list" allowBlank="1" showInputMessage="1" showErrorMessage="1" sqref="C4">
      <formula1>$H$2:$H$6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Kalkulators_atmaksāšanās</vt:lpstr>
    </vt:vector>
  </TitlesOfParts>
  <Company>Latvenergo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Laurinoviča</dc:creator>
  <cp:lastModifiedBy>Māra Keiša</cp:lastModifiedBy>
  <dcterms:created xsi:type="dcterms:W3CDTF">2022-01-19T10:51:29Z</dcterms:created>
  <dcterms:modified xsi:type="dcterms:W3CDTF">2022-02-04T09:15:48Z</dcterms:modified>
</cp:coreProperties>
</file>