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atbildes" sheetId="3" r:id="rId1"/>
    <sheet name="kalk MĢ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3" l="1"/>
  <c r="W45" i="3"/>
  <c r="B47" i="3"/>
  <c r="B48" i="3" s="1"/>
  <c r="B38" i="3"/>
  <c r="B39" i="3" s="1"/>
  <c r="W36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D16" i="3"/>
  <c r="E16" i="3"/>
  <c r="F16" i="3"/>
  <c r="F28" i="3" s="1"/>
  <c r="F29" i="3" s="1"/>
  <c r="G16" i="3"/>
  <c r="G28" i="3" s="1"/>
  <c r="G29" i="3" s="1"/>
  <c r="H16" i="3"/>
  <c r="I16" i="3"/>
  <c r="J16" i="3"/>
  <c r="K16" i="3"/>
  <c r="K28" i="3" s="1"/>
  <c r="K29" i="3" s="1"/>
  <c r="L16" i="3"/>
  <c r="L28" i="3" s="1"/>
  <c r="L29" i="3" s="1"/>
  <c r="M16" i="3"/>
  <c r="M28" i="3" s="1"/>
  <c r="M29" i="3" s="1"/>
  <c r="N16" i="3"/>
  <c r="N28" i="3" s="1"/>
  <c r="N29" i="3" s="1"/>
  <c r="O16" i="3"/>
  <c r="O28" i="3" s="1"/>
  <c r="O29" i="3" s="1"/>
  <c r="P16" i="3"/>
  <c r="Q16" i="3"/>
  <c r="R16" i="3"/>
  <c r="S16" i="3"/>
  <c r="S28" i="3" s="1"/>
  <c r="S29" i="3" s="1"/>
  <c r="T16" i="3"/>
  <c r="U16" i="3"/>
  <c r="V16" i="3"/>
  <c r="V28" i="3" s="1"/>
  <c r="V29" i="3" s="1"/>
  <c r="D17" i="3"/>
  <c r="D28" i="3" s="1"/>
  <c r="D29" i="3" s="1"/>
  <c r="E17" i="3"/>
  <c r="F17" i="3"/>
  <c r="G17" i="3"/>
  <c r="H17" i="3"/>
  <c r="H28" i="3" s="1"/>
  <c r="H29" i="3" s="1"/>
  <c r="I17" i="3"/>
  <c r="J17" i="3"/>
  <c r="K17" i="3"/>
  <c r="L17" i="3"/>
  <c r="M17" i="3"/>
  <c r="N17" i="3"/>
  <c r="O17" i="3"/>
  <c r="P17" i="3"/>
  <c r="P28" i="3" s="1"/>
  <c r="P29" i="3" s="1"/>
  <c r="Q17" i="3"/>
  <c r="R17" i="3"/>
  <c r="S17" i="3"/>
  <c r="T17" i="3"/>
  <c r="U17" i="3"/>
  <c r="V17" i="3"/>
  <c r="D18" i="3"/>
  <c r="E18" i="3"/>
  <c r="F18" i="3"/>
  <c r="G18" i="3"/>
  <c r="H18" i="3"/>
  <c r="I18" i="3"/>
  <c r="I28" i="3" s="1"/>
  <c r="I29" i="3" s="1"/>
  <c r="J18" i="3"/>
  <c r="K18" i="3"/>
  <c r="L18" i="3"/>
  <c r="M18" i="3"/>
  <c r="N18" i="3"/>
  <c r="O18" i="3"/>
  <c r="P18" i="3"/>
  <c r="Q18" i="3"/>
  <c r="Q28" i="3" s="1"/>
  <c r="Q29" i="3" s="1"/>
  <c r="R18" i="3"/>
  <c r="S18" i="3"/>
  <c r="T18" i="3"/>
  <c r="U18" i="3"/>
  <c r="V18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D20" i="3"/>
  <c r="E20" i="3"/>
  <c r="F20" i="3"/>
  <c r="G20" i="3"/>
  <c r="H20" i="3"/>
  <c r="I20" i="3"/>
  <c r="J20" i="3"/>
  <c r="J28" i="3" s="1"/>
  <c r="J29" i="3" s="1"/>
  <c r="K20" i="3"/>
  <c r="L20" i="3"/>
  <c r="M20" i="3"/>
  <c r="N20" i="3"/>
  <c r="O20" i="3"/>
  <c r="P20" i="3"/>
  <c r="Q20" i="3"/>
  <c r="R20" i="3"/>
  <c r="R28" i="3" s="1"/>
  <c r="R29" i="3" s="1"/>
  <c r="S20" i="3"/>
  <c r="T20" i="3"/>
  <c r="U20" i="3"/>
  <c r="V20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C17" i="3"/>
  <c r="C18" i="3"/>
  <c r="C19" i="3"/>
  <c r="C20" i="3"/>
  <c r="C21" i="3"/>
  <c r="C22" i="3"/>
  <c r="C23" i="3"/>
  <c r="C24" i="3"/>
  <c r="C25" i="3"/>
  <c r="C26" i="3"/>
  <c r="C27" i="3"/>
  <c r="C16" i="3"/>
  <c r="C28" i="3" s="1"/>
  <c r="C29" i="3" s="1"/>
  <c r="C15" i="3"/>
  <c r="B28" i="3"/>
  <c r="T28" i="3"/>
  <c r="T29" i="3" s="1"/>
  <c r="U28" i="3"/>
  <c r="U29" i="3" s="1"/>
  <c r="E28" i="3"/>
  <c r="E29" i="3" s="1"/>
  <c r="W13" i="3"/>
  <c r="W23" i="3" s="1"/>
  <c r="W20" i="3"/>
  <c r="W21" i="3"/>
  <c r="W22" i="3"/>
  <c r="W17" i="3"/>
  <c r="W26" i="3"/>
  <c r="W24" i="3"/>
  <c r="W25" i="3"/>
  <c r="W19" i="3"/>
  <c r="W27" i="3"/>
  <c r="C5" i="1"/>
  <c r="C17" i="1"/>
  <c r="C15" i="1"/>
  <c r="K47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K31" i="1"/>
  <c r="L29" i="1"/>
  <c r="L31" i="1"/>
  <c r="J27" i="1"/>
  <c r="J26" i="1"/>
  <c r="J25" i="1"/>
  <c r="J24" i="1"/>
  <c r="K23" i="1"/>
  <c r="O3" i="1"/>
  <c r="K6" i="1"/>
  <c r="K5" i="1"/>
  <c r="C6" i="1"/>
  <c r="N3" i="1"/>
  <c r="K4" i="1"/>
  <c r="R3" i="1"/>
  <c r="K3" i="1"/>
  <c r="K2" i="1"/>
  <c r="K37" i="1"/>
  <c r="P3" i="1"/>
  <c r="Q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N4" i="1"/>
  <c r="K51" i="1"/>
  <c r="O4" i="1"/>
  <c r="M29" i="1"/>
  <c r="N27" i="1"/>
  <c r="M31" i="1"/>
  <c r="N29" i="1"/>
  <c r="K34" i="1"/>
  <c r="P4" i="1"/>
  <c r="AJ51" i="1"/>
  <c r="AJ53" i="1"/>
  <c r="K35" i="1"/>
  <c r="K33" i="1"/>
  <c r="Q4" i="1"/>
  <c r="M34" i="1"/>
  <c r="L34" i="1"/>
  <c r="N31" i="1"/>
  <c r="N34" i="1"/>
  <c r="O29" i="1"/>
  <c r="N37" i="1"/>
  <c r="L37" i="1"/>
  <c r="M37" i="1"/>
  <c r="O31" i="1"/>
  <c r="O34" i="1"/>
  <c r="P29" i="1"/>
  <c r="O35" i="1"/>
  <c r="O38" i="1"/>
  <c r="K38" i="1"/>
  <c r="K39" i="1"/>
  <c r="N35" i="1"/>
  <c r="N38" i="1"/>
  <c r="M35" i="1"/>
  <c r="M38" i="1"/>
  <c r="L35" i="1"/>
  <c r="L38" i="1"/>
  <c r="L39" i="1"/>
  <c r="L52" i="1"/>
  <c r="L53" i="1"/>
  <c r="K52" i="1"/>
  <c r="L33" i="1"/>
  <c r="P31" i="1"/>
  <c r="Q29" i="1"/>
  <c r="O37" i="1"/>
  <c r="O39" i="1"/>
  <c r="O52" i="1"/>
  <c r="O53" i="1"/>
  <c r="O33" i="1"/>
  <c r="M39" i="1"/>
  <c r="M52" i="1"/>
  <c r="M53" i="1"/>
  <c r="N33" i="1"/>
  <c r="M33" i="1"/>
  <c r="N39" i="1"/>
  <c r="N52" i="1"/>
  <c r="N53" i="1"/>
  <c r="Q31" i="1"/>
  <c r="R29" i="1"/>
  <c r="P34" i="1"/>
  <c r="P35" i="1"/>
  <c r="K53" i="1"/>
  <c r="P38" i="1"/>
  <c r="P33" i="1"/>
  <c r="P37" i="1"/>
  <c r="R31" i="1"/>
  <c r="S29" i="1"/>
  <c r="Q34" i="1"/>
  <c r="Q35" i="1"/>
  <c r="Q38" i="1"/>
  <c r="P39" i="1"/>
  <c r="P52" i="1"/>
  <c r="R34" i="1"/>
  <c r="R35" i="1"/>
  <c r="R38" i="1"/>
  <c r="Q33" i="1"/>
  <c r="Q37" i="1"/>
  <c r="Q39" i="1"/>
  <c r="Q52" i="1"/>
  <c r="Q53" i="1"/>
  <c r="S31" i="1"/>
  <c r="T29" i="1"/>
  <c r="T31" i="1"/>
  <c r="U29" i="1"/>
  <c r="S34" i="1"/>
  <c r="S35" i="1"/>
  <c r="R33" i="1"/>
  <c r="R37" i="1"/>
  <c r="R39" i="1"/>
  <c r="R52" i="1"/>
  <c r="R53" i="1"/>
  <c r="P53" i="1"/>
  <c r="S33" i="1"/>
  <c r="S37" i="1"/>
  <c r="U31" i="1"/>
  <c r="V29" i="1"/>
  <c r="S38" i="1"/>
  <c r="T34" i="1"/>
  <c r="T35" i="1"/>
  <c r="T38" i="1"/>
  <c r="V31" i="1"/>
  <c r="W29" i="1"/>
  <c r="U34" i="1"/>
  <c r="U35" i="1"/>
  <c r="U38" i="1"/>
  <c r="S39" i="1"/>
  <c r="S52" i="1"/>
  <c r="T33" i="1"/>
  <c r="T37" i="1"/>
  <c r="T39" i="1"/>
  <c r="T52" i="1"/>
  <c r="T53" i="1"/>
  <c r="S53" i="1"/>
  <c r="U33" i="1"/>
  <c r="U37" i="1"/>
  <c r="U39" i="1"/>
  <c r="U52" i="1"/>
  <c r="U53" i="1"/>
  <c r="W31" i="1"/>
  <c r="X29" i="1"/>
  <c r="V34" i="1"/>
  <c r="V35" i="1"/>
  <c r="V38" i="1"/>
  <c r="V37" i="1"/>
  <c r="V39" i="1"/>
  <c r="V52" i="1"/>
  <c r="V33" i="1"/>
  <c r="W34" i="1"/>
  <c r="W35" i="1"/>
  <c r="W38" i="1"/>
  <c r="X31" i="1"/>
  <c r="Y29" i="1"/>
  <c r="Y31" i="1"/>
  <c r="Z29" i="1"/>
  <c r="W37" i="1"/>
  <c r="W39" i="1"/>
  <c r="W52" i="1"/>
  <c r="W53" i="1"/>
  <c r="W33" i="1"/>
  <c r="X34" i="1"/>
  <c r="X35" i="1"/>
  <c r="X38" i="1"/>
  <c r="V53" i="1"/>
  <c r="X33" i="1"/>
  <c r="X37" i="1"/>
  <c r="X39" i="1"/>
  <c r="X52" i="1"/>
  <c r="X53" i="1"/>
  <c r="Z31" i="1"/>
  <c r="AA29" i="1"/>
  <c r="Y34" i="1"/>
  <c r="Y35" i="1"/>
  <c r="Y38" i="1"/>
  <c r="Y33" i="1"/>
  <c r="Y37" i="1"/>
  <c r="Y39" i="1"/>
  <c r="Y52" i="1"/>
  <c r="Y53" i="1"/>
  <c r="AA31" i="1"/>
  <c r="AB29" i="1"/>
  <c r="Z34" i="1"/>
  <c r="Z35" i="1"/>
  <c r="Z38" i="1"/>
  <c r="Z33" i="1"/>
  <c r="Z37" i="1"/>
  <c r="Z39" i="1"/>
  <c r="Z52" i="1"/>
  <c r="Z53" i="1"/>
  <c r="AB31" i="1"/>
  <c r="AC29" i="1"/>
  <c r="AA34" i="1"/>
  <c r="AA35" i="1"/>
  <c r="AA38" i="1"/>
  <c r="AA33" i="1"/>
  <c r="AA37" i="1"/>
  <c r="AA39" i="1"/>
  <c r="AA52" i="1"/>
  <c r="AA53" i="1"/>
  <c r="AC31" i="1"/>
  <c r="AD29" i="1"/>
  <c r="AB34" i="1"/>
  <c r="AB35" i="1"/>
  <c r="AB38" i="1"/>
  <c r="AB33" i="1"/>
  <c r="AB37" i="1"/>
  <c r="AB39" i="1"/>
  <c r="AB52" i="1"/>
  <c r="AB53" i="1"/>
  <c r="AD31" i="1"/>
  <c r="AE29" i="1"/>
  <c r="AC34" i="1"/>
  <c r="AC35" i="1"/>
  <c r="AC38" i="1"/>
  <c r="AC33" i="1"/>
  <c r="AC37" i="1"/>
  <c r="AC39" i="1"/>
  <c r="AC52" i="1"/>
  <c r="AC53" i="1"/>
  <c r="AE31" i="1"/>
  <c r="AF29" i="1"/>
  <c r="AD34" i="1"/>
  <c r="AD35" i="1"/>
  <c r="AD38" i="1"/>
  <c r="AD37" i="1"/>
  <c r="AD39" i="1"/>
  <c r="AD52" i="1"/>
  <c r="AD53" i="1"/>
  <c r="AD33" i="1"/>
  <c r="AF31" i="1"/>
  <c r="AG29" i="1"/>
  <c r="AE34" i="1"/>
  <c r="AE35" i="1"/>
  <c r="AE38" i="1"/>
  <c r="AE37" i="1"/>
  <c r="AE39" i="1"/>
  <c r="AE52" i="1"/>
  <c r="AE53" i="1"/>
  <c r="AE33" i="1"/>
  <c r="AG31" i="1"/>
  <c r="AH29" i="1"/>
  <c r="AF34" i="1"/>
  <c r="AF35" i="1"/>
  <c r="AF38" i="1"/>
  <c r="AF33" i="1"/>
  <c r="AF37" i="1"/>
  <c r="AF39" i="1"/>
  <c r="AF52" i="1"/>
  <c r="AF53" i="1"/>
  <c r="AH31" i="1"/>
  <c r="AI29" i="1"/>
  <c r="AI31" i="1"/>
  <c r="AG34" i="1"/>
  <c r="AG35" i="1"/>
  <c r="AG38" i="1"/>
  <c r="AG33" i="1"/>
  <c r="AG37" i="1"/>
  <c r="AG39" i="1"/>
  <c r="AG52" i="1"/>
  <c r="AG53" i="1"/>
  <c r="AI34" i="1"/>
  <c r="AI35" i="1"/>
  <c r="AH34" i="1"/>
  <c r="AH35" i="1"/>
  <c r="AH38" i="1"/>
  <c r="AH33" i="1"/>
  <c r="AH37" i="1"/>
  <c r="AH39" i="1"/>
  <c r="AH52" i="1"/>
  <c r="AH53" i="1"/>
  <c r="AI38" i="1"/>
  <c r="AJ35" i="1"/>
  <c r="K45" i="1"/>
  <c r="L45" i="1"/>
  <c r="AI33" i="1"/>
  <c r="AI37" i="1"/>
  <c r="K44" i="1"/>
  <c r="L44" i="1"/>
  <c r="AJ34" i="1"/>
  <c r="AI39" i="1"/>
  <c r="AI52" i="1"/>
  <c r="AJ33" i="1"/>
  <c r="K43" i="1"/>
  <c r="L43" i="1"/>
  <c r="K41" i="1"/>
  <c r="K48" i="1"/>
  <c r="C18" i="1"/>
  <c r="AI53" i="1"/>
  <c r="K55" i="1"/>
  <c r="C19" i="1"/>
  <c r="AJ52" i="1"/>
  <c r="W16" i="3" l="1"/>
  <c r="W18" i="3"/>
  <c r="W28" i="3" l="1"/>
  <c r="W29" i="3" s="1"/>
</calcChain>
</file>

<file path=xl/sharedStrings.xml><?xml version="1.0" encoding="utf-8"?>
<sst xmlns="http://schemas.openxmlformats.org/spreadsheetml/2006/main" count="123" uniqueCount="106">
  <si>
    <t>Maināmie/aizpildāmie lauki</t>
  </si>
  <si>
    <t>Aprēķina detalizācija-&gt;</t>
  </si>
  <si>
    <t>Jauda, kW</t>
  </si>
  <si>
    <t>Komplekta veids</t>
  </si>
  <si>
    <t>MT cena, EUR ar PVN</t>
  </si>
  <si>
    <t>Ražošanas apjoms 1. gadā,kWh</t>
  </si>
  <si>
    <t>1.ražošanas gadā</t>
  </si>
  <si>
    <t>Patēriņš, kWh</t>
  </si>
  <si>
    <t>Saražotais, kWh</t>
  </si>
  <si>
    <t>Pašpatēriņa koeficients, %</t>
  </si>
  <si>
    <t>Mēnesis</t>
  </si>
  <si>
    <t>Kopā</t>
  </si>
  <si>
    <t>Pašpatēriņš</t>
  </si>
  <si>
    <t>Tīklā nodotais *</t>
  </si>
  <si>
    <t>Jā</t>
  </si>
  <si>
    <t>Nē</t>
  </si>
  <si>
    <t>Ievadīt klienta mēneša patēriņu, kWh</t>
  </si>
  <si>
    <t>Vidēji mēnesī</t>
  </si>
  <si>
    <t>Gada patēriņš, kWh</t>
  </si>
  <si>
    <t>Saules paneļu sistēma (izvēlēties)</t>
  </si>
  <si>
    <t>izvēlnes lauks</t>
  </si>
  <si>
    <t>Paneļu amortizācija</t>
  </si>
  <si>
    <t>Elektrības cena bez PVN, EUR/kWh:</t>
  </si>
  <si>
    <t>Inflācija elektrības cenai, gads pret gadu %</t>
  </si>
  <si>
    <t>aizpildāms, ja nepieciešams koriģēt prognozēto el.cenu 25 gadiem</t>
  </si>
  <si>
    <t>1 l.z. ST tarifa mainīgā daļa bez PVN, EUR/kWh</t>
  </si>
  <si>
    <t>OIK tarifa mainīgā daļa bez PVN, EUR/kWh</t>
  </si>
  <si>
    <t>PVN 21%</t>
  </si>
  <si>
    <t>Izvēlētā komplekta cena, EUR ar PVN</t>
  </si>
  <si>
    <t>Atmaksāšanās laiks, gadi</t>
  </si>
  <si>
    <t>IRR, %</t>
  </si>
  <si>
    <t>Pašpatēriņa koef., %</t>
  </si>
  <si>
    <t>Elektrības cena</t>
  </si>
  <si>
    <t>ST tarifs</t>
  </si>
  <si>
    <t>OIK</t>
  </si>
  <si>
    <t>PVN</t>
  </si>
  <si>
    <t>Elektrības cenas inflācija</t>
  </si>
  <si>
    <t>Vidējā elektrības cena 25 gados:</t>
  </si>
  <si>
    <t>Amortizācijas koeficients</t>
  </si>
  <si>
    <t>Vidēji</t>
  </si>
  <si>
    <t>Gads</t>
  </si>
  <si>
    <t>Ražošanas samazinājums, salīdzinot ar jaunu iekārtu (%)</t>
  </si>
  <si>
    <t>Pašpatēriņš, kWh</t>
  </si>
  <si>
    <t>Nodots tīklā, kWh</t>
  </si>
  <si>
    <t>Ieguvums no pašpatēriņa, EUR</t>
  </si>
  <si>
    <t>Ieguvums no nodošanas tīklā, EUR</t>
  </si>
  <si>
    <t>Ieguvums kopā, EUR</t>
  </si>
  <si>
    <t>Vidējais ieguvums gadā, EUR</t>
  </si>
  <si>
    <t>mēnešu skaits</t>
  </si>
  <si>
    <t>Vidēji saražotais, kWh/gadā</t>
  </si>
  <si>
    <t>Vidējais pašpatēriņš, kWh/gadā</t>
  </si>
  <si>
    <t>Vidēji nodotais tīklā, kWh/gadā</t>
  </si>
  <si>
    <t>KOPĀ</t>
  </si>
  <si>
    <t>Naudas plūsma</t>
  </si>
  <si>
    <t>Paneļu izmaksas</t>
  </si>
  <si>
    <t>Ieguvums no ražošanas</t>
  </si>
  <si>
    <t>IRR</t>
  </si>
  <si>
    <t>ja tiek ievadīts atbalsta apmērs, tad cenu aprēķina ar atbalsta daļu</t>
  </si>
  <si>
    <t>Atbalsta apmērs, EUR ar PVN</t>
  </si>
  <si>
    <t>Solārais komplekts patēriņam 1300kWh</t>
  </si>
  <si>
    <t>Solārais komplekts patēriņam 1000kWh</t>
  </si>
  <si>
    <t>Solārais komplekts patēriņam 750kWh</t>
  </si>
  <si>
    <t>Solārais komplekts patēriņam 450kWh</t>
  </si>
  <si>
    <t>Solārais komplekts patēriņam 200kWh</t>
  </si>
  <si>
    <t>tipiskā patēriņa klientiem 50%</t>
  </si>
  <si>
    <t>kl. patēriņš</t>
  </si>
  <si>
    <t>pedējo 12 mēn profilētā elektrības biržas cena ar maksu par tirdzniecības pakalpojumu</t>
  </si>
  <si>
    <t>Ražošanas apjoms 1. gadā, kWh</t>
  </si>
  <si>
    <t>Amortizācijas koeficients paneļiem</t>
  </si>
  <si>
    <t>Saražotais apjoms, kWh</t>
  </si>
  <si>
    <t>Vidēji gādā</t>
  </si>
  <si>
    <t>Janvāris</t>
  </si>
  <si>
    <t>Februāris</t>
  </si>
  <si>
    <t>Marts</t>
  </si>
  <si>
    <t>Aprīlis</t>
  </si>
  <si>
    <t>Maijs</t>
  </si>
  <si>
    <t>Jūnijs</t>
  </si>
  <si>
    <t>Jūlijs</t>
  </si>
  <si>
    <t>Augusts</t>
  </si>
  <si>
    <t>Septembris</t>
  </si>
  <si>
    <t>Oktobris</t>
  </si>
  <si>
    <t>Novembris</t>
  </si>
  <si>
    <t>Decembris</t>
  </si>
  <si>
    <t>Ražošanas apjoms no gada, %</t>
  </si>
  <si>
    <t>Ieguvums no pašpatēriņa par ST izmaksām, EUR ar PVN</t>
  </si>
  <si>
    <t>EUR ar PVN</t>
  </si>
  <si>
    <t>Ieguvums no pašpatēriņa par OIK izmaksām, EUR ar PVN</t>
  </si>
  <si>
    <t>!!!Aprēķinos tiek ņemta vērā arī paneļu amortizācija laika periodā</t>
  </si>
  <si>
    <t xml:space="preserve">Tālāk aprēķini balstīti uz 6kW komplekta un klienta, kura patēriņš ir 9000 kW (ap 750kWh) gadā. </t>
  </si>
  <si>
    <t>!!!Aprēķinos izmantota OIK tarifa mainīgā daļa ar PVN, 0.00237 EUR/kWh Pašpatēriņš, kuru klients izmanto uzreiz, nenododot elektroenerģiju tīklā - 50%</t>
  </si>
  <si>
    <t>Pamatinformācija</t>
  </si>
  <si>
    <t>7.Saules paneļu ģenerētās elektroenerģijas ikgadējais apjoms (sadalījumā pa mēnešiem) vismaz pirmajiem 20 gadiem.</t>
  </si>
  <si>
    <t>8.Ņemot vērā izmantoto sadales tarifa struktūru, uzstādot saules paneļus (ar augstāk minētajiem pieņēmumiem) ikgadējās  prognozētās “ieekonomētās” sadales tarifa izmaksas.</t>
  </si>
  <si>
    <t>9.Ikgadējās OIK izmaksas (euro), kuras nebūs jāsedz mājsaimniecībai pateicoties saules paneļu mikroģenerācijai.</t>
  </si>
  <si>
    <t xml:space="preserve">PME </t>
  </si>
  <si>
    <t>ēku skaits</t>
  </si>
  <si>
    <t>saražotais apjoms, kWh</t>
  </si>
  <si>
    <t>Kopā 1 ēkai</t>
  </si>
  <si>
    <t>Kopā 900 ēkām</t>
  </si>
  <si>
    <t>!!!Aprēķinos izmantota ST tarifa mainīgā daļa ar PVN, 0.04932 EUR/kWh . Pašpatēriņš, kuru klients izmanto uzreiz, nenododot elektroenerģiju tīklā - 50%</t>
  </si>
  <si>
    <t xml:space="preserve">Vidēji gadā ieekonomētas ST izmaksas 1 ēkai: </t>
  </si>
  <si>
    <t xml:space="preserve">Vidēji gadā ieekonomētas ST izmaksas 900 ēkām: </t>
  </si>
  <si>
    <t xml:space="preserve">Vidēji gadā ieekonomētas OIK izmaksas 1 ēkai: </t>
  </si>
  <si>
    <t xml:space="preserve">Vidēji gadā ieekonomētas OIK izmaksas 900 ēkām: </t>
  </si>
  <si>
    <t>Ar 3 000 eiro atbalstu un 2,7 milj, eiro finansējumu, 900 ēkām tiktu uzstādīti saules paneļi.</t>
  </si>
  <si>
    <r>
      <t xml:space="preserve">Privātmāju programmai pieejamais finansējums 3 269 229 </t>
    </r>
    <r>
      <rPr>
        <i/>
        <sz val="11"/>
        <color theme="1"/>
        <rFont val="Calibri"/>
        <family val="2"/>
        <charset val="186"/>
        <scheme val="minor"/>
      </rPr>
      <t>euro</t>
    </r>
    <r>
      <rPr>
        <sz val="11"/>
        <color theme="1"/>
        <rFont val="Calibri"/>
        <family val="2"/>
        <charset val="186"/>
        <scheme val="minor"/>
      </rPr>
      <t xml:space="preserve"> apmērā, no kuriem </t>
    </r>
    <r>
      <rPr>
        <b/>
        <sz val="11"/>
        <color theme="1"/>
        <rFont val="Calibri"/>
        <family val="2"/>
        <charset val="186"/>
        <scheme val="minor"/>
      </rPr>
      <t xml:space="preserve">2 700 000 </t>
    </r>
    <r>
      <rPr>
        <b/>
        <i/>
        <sz val="11"/>
        <color theme="1"/>
        <rFont val="Calibri"/>
        <family val="2"/>
        <charset val="186"/>
        <scheme val="minor"/>
      </rPr>
      <t xml:space="preserve">euro </t>
    </r>
    <r>
      <rPr>
        <b/>
        <sz val="11"/>
        <color theme="1"/>
        <rFont val="Calibri"/>
        <family val="2"/>
        <charset val="186"/>
        <scheme val="minor"/>
      </rPr>
      <t>tieši atbalsta piešķiršanai</t>
    </r>
    <r>
      <rPr>
        <sz val="11"/>
        <color theme="1"/>
        <rFont val="Calibri"/>
        <family val="2"/>
        <charset val="186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</si>
</sst>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#,##0.00000"/>
    <numFmt numFmtId="165" formatCode="#,##0.0000"/>
    <numFmt numFmtId="166" formatCode="#,##0.0"/>
    <numFmt numFmtId="167" formatCode="0.0%"/>
    <numFmt numFmtId="168" formatCode="0.00000"/>
    <numFmt numFmtId="169" formatCode="0.0"/>
    <numFmt numFmtId="170" formatCode="_-* #,##0_-;\-* #,##0_-;_-* &quot;-&quot;??_-;_-@_-"/>
  </numFmts>
  <fonts count="1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color rgb="FFFF0000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i/>
      <sz val="9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i/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8"/>
      <name val="Tahoma"/>
      <family val="2"/>
      <charset val="186"/>
    </font>
    <font>
      <sz val="8"/>
      <color theme="1"/>
      <name val="Tahoma"/>
      <family val="2"/>
      <charset val="186"/>
    </font>
    <font>
      <i/>
      <sz val="11"/>
      <color theme="1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2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0" fillId="2" borderId="0" xfId="0" applyFill="1"/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9" fontId="0" fillId="0" borderId="0" xfId="0" applyNumberFormat="1"/>
    <xf numFmtId="0" fontId="0" fillId="0" borderId="6" xfId="0" applyBorder="1"/>
    <xf numFmtId="0" fontId="0" fillId="0" borderId="6" xfId="0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" fontId="3" fillId="0" borderId="6" xfId="0" applyNumberFormat="1" applyFont="1" applyBorder="1" applyAlignment="1">
      <alignment horizontal="center" vertical="center"/>
    </xf>
    <xf numFmtId="9" fontId="3" fillId="0" borderId="6" xfId="1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3" fontId="6" fillId="2" borderId="6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/>
    <xf numFmtId="3" fontId="6" fillId="0" borderId="6" xfId="0" applyNumberFormat="1" applyFont="1" applyBorder="1" applyAlignment="1">
      <alignment horizontal="center" vertical="center"/>
    </xf>
    <xf numFmtId="4" fontId="6" fillId="2" borderId="6" xfId="0" applyNumberFormat="1" applyFont="1" applyFill="1" applyBorder="1" applyAlignment="1">
      <alignment horizontal="center" vertical="center"/>
    </xf>
    <xf numFmtId="0" fontId="8" fillId="0" borderId="0" xfId="0" applyFont="1"/>
    <xf numFmtId="0" fontId="0" fillId="0" borderId="0" xfId="0" applyAlignment="1">
      <alignment horizontal="center"/>
    </xf>
    <xf numFmtId="164" fontId="6" fillId="2" borderId="6" xfId="0" applyNumberFormat="1" applyFont="1" applyFill="1" applyBorder="1" applyAlignment="1">
      <alignment horizontal="center" vertical="center"/>
    </xf>
    <xf numFmtId="9" fontId="6" fillId="2" borderId="6" xfId="1" applyFont="1" applyFill="1" applyBorder="1" applyAlignment="1">
      <alignment horizontal="center" vertical="center"/>
    </xf>
    <xf numFmtId="9" fontId="6" fillId="0" borderId="6" xfId="1" applyFont="1" applyBorder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7" fontId="6" fillId="0" borderId="6" xfId="1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1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68" fontId="10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9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/>
    </xf>
    <xf numFmtId="167" fontId="10" fillId="0" borderId="0" xfId="1" applyNumberFormat="1" applyFont="1" applyFill="1" applyAlignment="1">
      <alignment horizontal="center" vertical="center"/>
    </xf>
    <xf numFmtId="0" fontId="11" fillId="0" borderId="0" xfId="0" applyFont="1" applyAlignment="1">
      <alignment horizontal="right"/>
    </xf>
    <xf numFmtId="168" fontId="11" fillId="0" borderId="0" xfId="0" applyNumberFormat="1" applyFont="1"/>
    <xf numFmtId="0" fontId="0" fillId="0" borderId="0" xfId="0" applyAlignment="1">
      <alignment horizontal="right" vertical="center"/>
    </xf>
    <xf numFmtId="167" fontId="13" fillId="0" borderId="0" xfId="2" applyNumberFormat="1" applyFont="1"/>
    <xf numFmtId="0" fontId="14" fillId="0" borderId="4" xfId="0" applyFont="1" applyBorder="1"/>
    <xf numFmtId="167" fontId="0" fillId="0" borderId="0" xfId="1" applyNumberFormat="1" applyFont="1" applyFill="1"/>
    <xf numFmtId="9" fontId="0" fillId="0" borderId="0" xfId="1" applyFont="1" applyFill="1"/>
    <xf numFmtId="0" fontId="0" fillId="0" borderId="11" xfId="0" applyBorder="1" applyAlignment="1">
      <alignment horizontal="right" vertical="center"/>
    </xf>
    <xf numFmtId="0" fontId="0" fillId="0" borderId="11" xfId="0" applyBorder="1"/>
    <xf numFmtId="2" fontId="0" fillId="0" borderId="11" xfId="0" applyNumberFormat="1" applyBorder="1"/>
    <xf numFmtId="2" fontId="0" fillId="0" borderId="0" xfId="0" applyNumberFormat="1"/>
    <xf numFmtId="0" fontId="0" fillId="0" borderId="4" xfId="0" applyBorder="1" applyAlignment="1">
      <alignment horizontal="right" vertical="center"/>
    </xf>
    <xf numFmtId="0" fontId="0" fillId="0" borderId="4" xfId="0" applyBorder="1"/>
    <xf numFmtId="2" fontId="0" fillId="0" borderId="4" xfId="0" applyNumberFormat="1" applyBorder="1"/>
    <xf numFmtId="0" fontId="0" fillId="0" borderId="12" xfId="0" applyBorder="1" applyAlignment="1">
      <alignment horizontal="right" vertical="center"/>
    </xf>
    <xf numFmtId="0" fontId="0" fillId="0" borderId="12" xfId="0" applyBorder="1"/>
    <xf numFmtId="2" fontId="0" fillId="0" borderId="12" xfId="0" applyNumberForma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9" fontId="0" fillId="0" borderId="0" xfId="0" applyNumberFormat="1"/>
    <xf numFmtId="10" fontId="0" fillId="0" borderId="0" xfId="0" applyNumberFormat="1"/>
    <xf numFmtId="3" fontId="6" fillId="0" borderId="6" xfId="0" applyNumberFormat="1" applyFont="1" applyFill="1" applyBorder="1" applyAlignment="1">
      <alignment horizontal="center" vertical="center"/>
    </xf>
    <xf numFmtId="9" fontId="0" fillId="0" borderId="0" xfId="1" applyFont="1" applyAlignment="1">
      <alignment horizontal="center"/>
    </xf>
    <xf numFmtId="0" fontId="0" fillId="0" borderId="11" xfId="0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9" fontId="7" fillId="0" borderId="13" xfId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9" fontId="5" fillId="0" borderId="7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  <xf numFmtId="1" fontId="0" fillId="0" borderId="14" xfId="0" applyNumberFormat="1" applyBorder="1" applyAlignment="1">
      <alignment horizontal="center"/>
    </xf>
    <xf numFmtId="9" fontId="2" fillId="0" borderId="0" xfId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1" fontId="2" fillId="0" borderId="14" xfId="0" applyNumberFormat="1" applyFont="1" applyBorder="1" applyAlignment="1">
      <alignment horizontal="center"/>
    </xf>
    <xf numFmtId="0" fontId="15" fillId="0" borderId="0" xfId="0" applyFont="1"/>
    <xf numFmtId="0" fontId="0" fillId="0" borderId="11" xfId="0" applyBorder="1" applyAlignment="1">
      <alignment horizontal="right" vertical="center" wrapText="1"/>
    </xf>
    <xf numFmtId="1" fontId="0" fillId="0" borderId="11" xfId="0" applyNumberForma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2" fontId="2" fillId="0" borderId="0" xfId="0" applyNumberFormat="1" applyFont="1"/>
    <xf numFmtId="0" fontId="2" fillId="4" borderId="0" xfId="0" applyFont="1" applyFill="1"/>
    <xf numFmtId="0" fontId="0" fillId="4" borderId="0" xfId="0" applyFill="1"/>
    <xf numFmtId="0" fontId="11" fillId="0" borderId="0" xfId="0" applyFont="1"/>
    <xf numFmtId="170" fontId="0" fillId="0" borderId="0" xfId="3" applyNumberFormat="1" applyFont="1"/>
    <xf numFmtId="0" fontId="0" fillId="5" borderId="0" xfId="0" applyFill="1" applyAlignment="1">
      <alignment horizontal="left" vertical="center" indent="1"/>
    </xf>
    <xf numFmtId="0" fontId="0" fillId="5" borderId="0" xfId="0" applyFill="1"/>
    <xf numFmtId="0" fontId="2" fillId="5" borderId="0" xfId="0" applyFont="1" applyFill="1"/>
    <xf numFmtId="0" fontId="2" fillId="6" borderId="0" xfId="0" applyFont="1" applyFill="1"/>
    <xf numFmtId="0" fontId="0" fillId="5" borderId="0" xfId="0" applyFill="1" applyAlignment="1">
      <alignment horizontal="center"/>
    </xf>
    <xf numFmtId="1" fontId="0" fillId="0" borderId="15" xfId="0" applyNumberFormat="1" applyFill="1" applyBorder="1" applyAlignment="1">
      <alignment horizontal="center"/>
    </xf>
    <xf numFmtId="1" fontId="2" fillId="0" borderId="15" xfId="0" applyNumberFormat="1" applyFont="1" applyFill="1" applyBorder="1" applyAlignment="1">
      <alignment horizontal="center"/>
    </xf>
    <xf numFmtId="0" fontId="0" fillId="7" borderId="0" xfId="0" applyFill="1"/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Normal_Dcf calculation temp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9"/>
  <sheetViews>
    <sheetView tabSelected="1" zoomScale="90" zoomScaleNormal="90" workbookViewId="0">
      <selection activeCell="W28" sqref="W28"/>
    </sheetView>
  </sheetViews>
  <sheetFormatPr defaultRowHeight="15" x14ac:dyDescent="0.25"/>
  <cols>
    <col min="1" max="1" width="46.5703125" customWidth="1"/>
    <col min="2" max="2" width="17" customWidth="1"/>
    <col min="3" max="3" width="13.7109375" customWidth="1"/>
    <col min="4" max="4" width="19.140625" customWidth="1"/>
    <col min="5" max="5" width="15.7109375" customWidth="1"/>
    <col min="6" max="6" width="12.28515625" customWidth="1"/>
    <col min="23" max="23" width="11.28515625" customWidth="1"/>
    <col min="26" max="26" width="9.5703125" customWidth="1"/>
    <col min="27" max="27" width="22.140625" customWidth="1"/>
  </cols>
  <sheetData>
    <row r="1" spans="1:27" x14ac:dyDescent="0.25">
      <c r="A1" s="86" t="s">
        <v>90</v>
      </c>
    </row>
    <row r="2" spans="1:27" s="84" customFormat="1" x14ac:dyDescent="0.25">
      <c r="A2" s="83" t="s">
        <v>105</v>
      </c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</row>
    <row r="3" spans="1:27" x14ac:dyDescent="0.25">
      <c r="A3" s="85" t="s">
        <v>104</v>
      </c>
      <c r="B3" s="84"/>
      <c r="C3" s="84"/>
      <c r="D3" s="84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</row>
    <row r="7" spans="1:27" x14ac:dyDescent="0.25">
      <c r="A7" s="81" t="s">
        <v>88</v>
      </c>
    </row>
    <row r="9" spans="1:27" x14ac:dyDescent="0.25">
      <c r="A9" s="79" t="s">
        <v>91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</row>
    <row r="11" spans="1:27" s="60" customFormat="1" x14ac:dyDescent="0.25">
      <c r="A11" s="60" t="s">
        <v>68</v>
      </c>
      <c r="C11" s="60">
        <v>0</v>
      </c>
      <c r="D11" s="60">
        <v>0.01</v>
      </c>
      <c r="E11" s="60">
        <v>0.02</v>
      </c>
      <c r="F11" s="60">
        <v>0.03</v>
      </c>
      <c r="G11" s="60">
        <v>0.04</v>
      </c>
      <c r="H11" s="60">
        <v>0.05</v>
      </c>
      <c r="I11" s="60">
        <v>6.0000000000000005E-2</v>
      </c>
      <c r="J11" s="60">
        <v>7.0000000000000007E-2</v>
      </c>
      <c r="K11" s="60">
        <v>0.08</v>
      </c>
      <c r="L11" s="60">
        <v>0.09</v>
      </c>
      <c r="M11" s="60">
        <v>9.9999999999999992E-2</v>
      </c>
      <c r="N11" s="60">
        <v>9.9999999999999992E-2</v>
      </c>
      <c r="O11" s="60">
        <v>0.10999999999999999</v>
      </c>
      <c r="P11" s="60">
        <v>0.11999999999999998</v>
      </c>
      <c r="Q11" s="60">
        <v>0.12999999999999998</v>
      </c>
      <c r="R11" s="60">
        <v>0.13999999999999999</v>
      </c>
      <c r="S11" s="60">
        <v>0.15</v>
      </c>
      <c r="T11" s="60">
        <v>0.15</v>
      </c>
      <c r="U11" s="60">
        <v>0.16</v>
      </c>
      <c r="V11" s="60">
        <v>0.17</v>
      </c>
      <c r="W11" s="69" t="s">
        <v>70</v>
      </c>
      <c r="Z11" s="60" t="s">
        <v>94</v>
      </c>
    </row>
    <row r="12" spans="1:27" s="22" customFormat="1" x14ac:dyDescent="0.25">
      <c r="A12" s="22" t="s">
        <v>40</v>
      </c>
      <c r="C12" s="22">
        <v>1</v>
      </c>
      <c r="D12" s="22">
        <v>2</v>
      </c>
      <c r="E12" s="22">
        <v>3</v>
      </c>
      <c r="F12" s="22">
        <v>4</v>
      </c>
      <c r="G12" s="22">
        <v>5</v>
      </c>
      <c r="H12" s="22">
        <v>6</v>
      </c>
      <c r="I12" s="22">
        <v>7</v>
      </c>
      <c r="J12" s="22">
        <v>8</v>
      </c>
      <c r="K12" s="22">
        <v>9</v>
      </c>
      <c r="L12" s="22">
        <v>10</v>
      </c>
      <c r="M12" s="22">
        <v>11</v>
      </c>
      <c r="N12" s="22">
        <v>12</v>
      </c>
      <c r="O12" s="22">
        <v>13</v>
      </c>
      <c r="P12" s="22">
        <v>14</v>
      </c>
      <c r="Q12" s="22">
        <v>15</v>
      </c>
      <c r="R12" s="22">
        <v>16</v>
      </c>
      <c r="S12" s="22">
        <v>17</v>
      </c>
      <c r="T12" s="22">
        <v>18</v>
      </c>
      <c r="U12" s="22">
        <v>19</v>
      </c>
      <c r="V12" s="22">
        <v>20</v>
      </c>
      <c r="W12" s="70"/>
      <c r="Z12" s="87" t="s">
        <v>95</v>
      </c>
      <c r="AA12" s="87" t="s">
        <v>96</v>
      </c>
    </row>
    <row r="13" spans="1:27" s="22" customFormat="1" x14ac:dyDescent="0.25">
      <c r="A13" s="61" t="s">
        <v>69</v>
      </c>
      <c r="B13" s="61"/>
      <c r="C13" s="61">
        <v>6000</v>
      </c>
      <c r="D13" s="61">
        <v>5940</v>
      </c>
      <c r="E13" s="61">
        <v>5880</v>
      </c>
      <c r="F13" s="61">
        <v>5820</v>
      </c>
      <c r="G13" s="61">
        <v>5760</v>
      </c>
      <c r="H13" s="61">
        <v>5700</v>
      </c>
      <c r="I13" s="61">
        <v>5640</v>
      </c>
      <c r="J13" s="61">
        <v>5580</v>
      </c>
      <c r="K13" s="61">
        <v>5520</v>
      </c>
      <c r="L13" s="61">
        <v>5460</v>
      </c>
      <c r="M13" s="61">
        <v>5400</v>
      </c>
      <c r="N13" s="61">
        <v>5400</v>
      </c>
      <c r="O13" s="61">
        <v>5340</v>
      </c>
      <c r="P13" s="61">
        <v>5280</v>
      </c>
      <c r="Q13" s="61">
        <v>5220</v>
      </c>
      <c r="R13" s="61">
        <v>5160</v>
      </c>
      <c r="S13" s="61">
        <v>5100</v>
      </c>
      <c r="T13" s="61">
        <v>5100</v>
      </c>
      <c r="U13" s="61">
        <v>5040</v>
      </c>
      <c r="V13" s="61">
        <v>4980</v>
      </c>
      <c r="W13" s="71">
        <f>AVERAGE(C13:V13)</f>
        <v>5466</v>
      </c>
      <c r="Z13" s="87">
        <v>900</v>
      </c>
      <c r="AA13" s="87">
        <f>Z13*W13</f>
        <v>4919400</v>
      </c>
    </row>
    <row r="14" spans="1:27" ht="14.45" x14ac:dyDescent="0.35">
      <c r="W14" s="2"/>
    </row>
    <row r="15" spans="1:27" ht="25.5" x14ac:dyDescent="0.25">
      <c r="A15" s="8" t="s">
        <v>10</v>
      </c>
      <c r="B15" s="64" t="s">
        <v>83</v>
      </c>
      <c r="C15" s="67">
        <f>C12</f>
        <v>1</v>
      </c>
      <c r="D15" s="67">
        <f t="shared" ref="D15:V15" si="0">D12</f>
        <v>2</v>
      </c>
      <c r="E15" s="67">
        <f t="shared" si="0"/>
        <v>3</v>
      </c>
      <c r="F15" s="67">
        <f t="shared" si="0"/>
        <v>4</v>
      </c>
      <c r="G15" s="67">
        <f t="shared" si="0"/>
        <v>5</v>
      </c>
      <c r="H15" s="67">
        <f t="shared" si="0"/>
        <v>6</v>
      </c>
      <c r="I15" s="67">
        <f t="shared" si="0"/>
        <v>7</v>
      </c>
      <c r="J15" s="67">
        <f t="shared" si="0"/>
        <v>8</v>
      </c>
      <c r="K15" s="67">
        <f t="shared" si="0"/>
        <v>9</v>
      </c>
      <c r="L15" s="67">
        <f t="shared" si="0"/>
        <v>10</v>
      </c>
      <c r="M15" s="67">
        <f t="shared" si="0"/>
        <v>11</v>
      </c>
      <c r="N15" s="67">
        <f t="shared" si="0"/>
        <v>12</v>
      </c>
      <c r="O15" s="67">
        <f t="shared" si="0"/>
        <v>13</v>
      </c>
      <c r="P15" s="67">
        <f t="shared" si="0"/>
        <v>14</v>
      </c>
      <c r="Q15" s="67">
        <f t="shared" si="0"/>
        <v>15</v>
      </c>
      <c r="R15" s="67">
        <f t="shared" si="0"/>
        <v>16</v>
      </c>
      <c r="S15" s="67">
        <f t="shared" si="0"/>
        <v>17</v>
      </c>
      <c r="T15" s="67">
        <f t="shared" si="0"/>
        <v>18</v>
      </c>
      <c r="U15" s="67">
        <f t="shared" si="0"/>
        <v>19</v>
      </c>
      <c r="V15" s="67">
        <f t="shared" si="0"/>
        <v>20</v>
      </c>
      <c r="W15" s="69" t="s">
        <v>70</v>
      </c>
    </row>
    <row r="16" spans="1:27" x14ac:dyDescent="0.25">
      <c r="A16" s="62" t="s">
        <v>71</v>
      </c>
      <c r="B16" s="63">
        <v>1.1570376850234727E-2</v>
      </c>
      <c r="C16" s="66">
        <f>C$13*$B16</f>
        <v>69.422261101408367</v>
      </c>
      <c r="D16" s="66">
        <f t="shared" ref="D16:W27" si="1">D$13*$B16</f>
        <v>68.728038490394283</v>
      </c>
      <c r="E16" s="66">
        <f t="shared" si="1"/>
        <v>68.033815879380199</v>
      </c>
      <c r="F16" s="66">
        <f t="shared" si="1"/>
        <v>67.339593268366116</v>
      </c>
      <c r="G16" s="66">
        <f t="shared" si="1"/>
        <v>66.645370657352032</v>
      </c>
      <c r="H16" s="66">
        <f t="shared" si="1"/>
        <v>65.951148046337948</v>
      </c>
      <c r="I16" s="66">
        <f t="shared" si="1"/>
        <v>65.256925435323865</v>
      </c>
      <c r="J16" s="66">
        <f t="shared" si="1"/>
        <v>64.562702824309781</v>
      </c>
      <c r="K16" s="66">
        <f t="shared" si="1"/>
        <v>63.86848021329569</v>
      </c>
      <c r="L16" s="66">
        <f t="shared" si="1"/>
        <v>63.174257602281607</v>
      </c>
      <c r="M16" s="66">
        <f t="shared" si="1"/>
        <v>62.480034991267523</v>
      </c>
      <c r="N16" s="66">
        <f t="shared" si="1"/>
        <v>62.480034991267523</v>
      </c>
      <c r="O16" s="66">
        <f t="shared" si="1"/>
        <v>61.785812380253439</v>
      </c>
      <c r="P16" s="66">
        <f t="shared" si="1"/>
        <v>61.091589769239356</v>
      </c>
      <c r="Q16" s="66">
        <f t="shared" si="1"/>
        <v>60.397367158225272</v>
      </c>
      <c r="R16" s="66">
        <f t="shared" si="1"/>
        <v>59.703144547211188</v>
      </c>
      <c r="S16" s="66">
        <f t="shared" si="1"/>
        <v>59.008921936197105</v>
      </c>
      <c r="T16" s="66">
        <f t="shared" si="1"/>
        <v>59.008921936197105</v>
      </c>
      <c r="U16" s="66">
        <f t="shared" si="1"/>
        <v>58.314699325183021</v>
      </c>
      <c r="V16" s="66">
        <f t="shared" si="1"/>
        <v>57.620476714168937</v>
      </c>
      <c r="W16" s="72">
        <f t="shared" si="1"/>
        <v>63.243679863383015</v>
      </c>
    </row>
    <row r="17" spans="1:23" x14ac:dyDescent="0.25">
      <c r="A17" s="62" t="s">
        <v>72</v>
      </c>
      <c r="B17" s="63">
        <v>3.3013781639959758E-2</v>
      </c>
      <c r="C17" s="66">
        <f t="shared" ref="C17:R27" si="2">C$13*$B17</f>
        <v>198.08268983975856</v>
      </c>
      <c r="D17" s="66">
        <f t="shared" si="2"/>
        <v>196.10186294136096</v>
      </c>
      <c r="E17" s="66">
        <f t="shared" si="2"/>
        <v>194.12103604296337</v>
      </c>
      <c r="F17" s="66">
        <f t="shared" si="2"/>
        <v>192.1402091445658</v>
      </c>
      <c r="G17" s="66">
        <f t="shared" si="2"/>
        <v>190.15938224616821</v>
      </c>
      <c r="H17" s="66">
        <f t="shared" si="2"/>
        <v>188.17855534777061</v>
      </c>
      <c r="I17" s="66">
        <f t="shared" si="2"/>
        <v>186.19772844937305</v>
      </c>
      <c r="J17" s="66">
        <f t="shared" si="2"/>
        <v>184.21690155097545</v>
      </c>
      <c r="K17" s="66">
        <f t="shared" si="2"/>
        <v>182.23607465257786</v>
      </c>
      <c r="L17" s="66">
        <f t="shared" si="2"/>
        <v>180.25524775418029</v>
      </c>
      <c r="M17" s="66">
        <f t="shared" si="2"/>
        <v>178.27442085578269</v>
      </c>
      <c r="N17" s="66">
        <f t="shared" si="2"/>
        <v>178.27442085578269</v>
      </c>
      <c r="O17" s="66">
        <f t="shared" si="2"/>
        <v>176.2935939573851</v>
      </c>
      <c r="P17" s="66">
        <f t="shared" si="2"/>
        <v>174.31276705898753</v>
      </c>
      <c r="Q17" s="66">
        <f t="shared" si="2"/>
        <v>172.33194016058994</v>
      </c>
      <c r="R17" s="66">
        <f t="shared" si="2"/>
        <v>170.35111326219234</v>
      </c>
      <c r="S17" s="66">
        <f t="shared" si="1"/>
        <v>168.37028636379478</v>
      </c>
      <c r="T17" s="66">
        <f t="shared" si="1"/>
        <v>168.37028636379478</v>
      </c>
      <c r="U17" s="66">
        <f t="shared" si="1"/>
        <v>166.38945946539718</v>
      </c>
      <c r="V17" s="66">
        <f t="shared" si="1"/>
        <v>164.40863256699959</v>
      </c>
      <c r="W17" s="72">
        <f t="shared" si="1"/>
        <v>180.45333044402003</v>
      </c>
    </row>
    <row r="18" spans="1:23" ht="14.45" x14ac:dyDescent="0.35">
      <c r="A18" s="62" t="s">
        <v>73</v>
      </c>
      <c r="B18" s="63">
        <v>9.490077975489182E-2</v>
      </c>
      <c r="C18" s="66">
        <f t="shared" si="2"/>
        <v>569.40467852935092</v>
      </c>
      <c r="D18" s="66">
        <f t="shared" si="1"/>
        <v>563.71063174405742</v>
      </c>
      <c r="E18" s="66">
        <f t="shared" si="1"/>
        <v>558.01658495876393</v>
      </c>
      <c r="F18" s="66">
        <f t="shared" si="1"/>
        <v>552.32253817347043</v>
      </c>
      <c r="G18" s="66">
        <f t="shared" si="1"/>
        <v>546.62849138817694</v>
      </c>
      <c r="H18" s="66">
        <f t="shared" si="1"/>
        <v>540.93444460288333</v>
      </c>
      <c r="I18" s="66">
        <f t="shared" si="1"/>
        <v>535.24039781758984</v>
      </c>
      <c r="J18" s="66">
        <f t="shared" si="1"/>
        <v>529.54635103229634</v>
      </c>
      <c r="K18" s="66">
        <f t="shared" si="1"/>
        <v>523.85230424700285</v>
      </c>
      <c r="L18" s="66">
        <f t="shared" si="1"/>
        <v>518.15825746170935</v>
      </c>
      <c r="M18" s="66">
        <f t="shared" si="1"/>
        <v>512.46421067641586</v>
      </c>
      <c r="N18" s="66">
        <f t="shared" si="1"/>
        <v>512.46421067641586</v>
      </c>
      <c r="O18" s="66">
        <f t="shared" si="1"/>
        <v>506.77016389112231</v>
      </c>
      <c r="P18" s="66">
        <f t="shared" si="1"/>
        <v>501.07611710582881</v>
      </c>
      <c r="Q18" s="66">
        <f t="shared" si="1"/>
        <v>495.38207032053532</v>
      </c>
      <c r="R18" s="66">
        <f t="shared" si="1"/>
        <v>489.68802353524177</v>
      </c>
      <c r="S18" s="66">
        <f t="shared" si="1"/>
        <v>483.99397674994827</v>
      </c>
      <c r="T18" s="66">
        <f t="shared" si="1"/>
        <v>483.99397674994827</v>
      </c>
      <c r="U18" s="66">
        <f t="shared" si="1"/>
        <v>478.29992996465478</v>
      </c>
      <c r="V18" s="66">
        <f t="shared" si="1"/>
        <v>472.60588317936129</v>
      </c>
      <c r="W18" s="72">
        <f t="shared" si="1"/>
        <v>518.72766214023864</v>
      </c>
    </row>
    <row r="19" spans="1:23" x14ac:dyDescent="0.25">
      <c r="A19" s="62" t="s">
        <v>74</v>
      </c>
      <c r="B19" s="63">
        <v>0.13176547933640301</v>
      </c>
      <c r="C19" s="66">
        <f t="shared" si="2"/>
        <v>790.592876018418</v>
      </c>
      <c r="D19" s="66">
        <f t="shared" si="1"/>
        <v>782.68694725823389</v>
      </c>
      <c r="E19" s="66">
        <f t="shared" si="1"/>
        <v>774.78101849804966</v>
      </c>
      <c r="F19" s="66">
        <f t="shared" si="1"/>
        <v>766.87508973786555</v>
      </c>
      <c r="G19" s="66">
        <f t="shared" si="1"/>
        <v>758.96916097768133</v>
      </c>
      <c r="H19" s="66">
        <f t="shared" si="1"/>
        <v>751.0632322174971</v>
      </c>
      <c r="I19" s="66">
        <f t="shared" si="1"/>
        <v>743.15730345731299</v>
      </c>
      <c r="J19" s="66">
        <f t="shared" si="1"/>
        <v>735.25137469712877</v>
      </c>
      <c r="K19" s="66">
        <f t="shared" si="1"/>
        <v>727.34544593694466</v>
      </c>
      <c r="L19" s="66">
        <f t="shared" si="1"/>
        <v>719.43951717676043</v>
      </c>
      <c r="M19" s="66">
        <f t="shared" si="1"/>
        <v>711.53358841657621</v>
      </c>
      <c r="N19" s="66">
        <f t="shared" si="1"/>
        <v>711.53358841657621</v>
      </c>
      <c r="O19" s="66">
        <f t="shared" si="1"/>
        <v>703.6276596563921</v>
      </c>
      <c r="P19" s="66">
        <f t="shared" si="1"/>
        <v>695.72173089620787</v>
      </c>
      <c r="Q19" s="66">
        <f t="shared" si="1"/>
        <v>687.81580213602365</v>
      </c>
      <c r="R19" s="66">
        <f t="shared" si="1"/>
        <v>679.90987337583954</v>
      </c>
      <c r="S19" s="66">
        <f t="shared" si="1"/>
        <v>672.00394461565531</v>
      </c>
      <c r="T19" s="66">
        <f t="shared" si="1"/>
        <v>672.00394461565531</v>
      </c>
      <c r="U19" s="66">
        <f t="shared" si="1"/>
        <v>664.0980158554712</v>
      </c>
      <c r="V19" s="66">
        <f t="shared" si="1"/>
        <v>656.19208709528698</v>
      </c>
      <c r="W19" s="72">
        <f t="shared" si="1"/>
        <v>720.23011005277885</v>
      </c>
    </row>
    <row r="20" spans="1:23" ht="14.45" x14ac:dyDescent="0.35">
      <c r="A20" s="62" t="s">
        <v>75</v>
      </c>
      <c r="B20" s="63">
        <v>0.15387571264121033</v>
      </c>
      <c r="C20" s="66">
        <f t="shared" si="2"/>
        <v>923.25427584726197</v>
      </c>
      <c r="D20" s="66">
        <f t="shared" si="1"/>
        <v>914.02173308878935</v>
      </c>
      <c r="E20" s="66">
        <f t="shared" si="1"/>
        <v>904.78919033031673</v>
      </c>
      <c r="F20" s="66">
        <f t="shared" si="1"/>
        <v>895.55664757184411</v>
      </c>
      <c r="G20" s="66">
        <f t="shared" si="1"/>
        <v>886.32410481337149</v>
      </c>
      <c r="H20" s="66">
        <f t="shared" si="1"/>
        <v>877.09156205489887</v>
      </c>
      <c r="I20" s="66">
        <f t="shared" si="1"/>
        <v>867.85901929642625</v>
      </c>
      <c r="J20" s="66">
        <f t="shared" si="1"/>
        <v>858.62647653795364</v>
      </c>
      <c r="K20" s="66">
        <f t="shared" si="1"/>
        <v>849.39393377948102</v>
      </c>
      <c r="L20" s="66">
        <f t="shared" si="1"/>
        <v>840.1613910210084</v>
      </c>
      <c r="M20" s="66">
        <f t="shared" si="1"/>
        <v>830.92884826253578</v>
      </c>
      <c r="N20" s="66">
        <f t="shared" si="1"/>
        <v>830.92884826253578</v>
      </c>
      <c r="O20" s="66">
        <f t="shared" si="1"/>
        <v>821.69630550406316</v>
      </c>
      <c r="P20" s="66">
        <f t="shared" si="1"/>
        <v>812.46376274559054</v>
      </c>
      <c r="Q20" s="66">
        <f t="shared" si="1"/>
        <v>803.23121998711792</v>
      </c>
      <c r="R20" s="66">
        <f t="shared" si="1"/>
        <v>793.99867722864531</v>
      </c>
      <c r="S20" s="66">
        <f t="shared" si="1"/>
        <v>784.76613447017269</v>
      </c>
      <c r="T20" s="66">
        <f t="shared" si="1"/>
        <v>784.76613447017269</v>
      </c>
      <c r="U20" s="66">
        <f t="shared" si="1"/>
        <v>775.53359171170007</v>
      </c>
      <c r="V20" s="66">
        <f t="shared" si="1"/>
        <v>766.30104895322745</v>
      </c>
      <c r="W20" s="72">
        <f t="shared" si="1"/>
        <v>841.08464529685568</v>
      </c>
    </row>
    <row r="21" spans="1:23" x14ac:dyDescent="0.25">
      <c r="A21" s="62" t="s">
        <v>76</v>
      </c>
      <c r="B21" s="63">
        <v>0.1431198711506752</v>
      </c>
      <c r="C21" s="66">
        <f t="shared" si="2"/>
        <v>858.7192269040512</v>
      </c>
      <c r="D21" s="66">
        <f t="shared" si="1"/>
        <v>850.13203463501077</v>
      </c>
      <c r="E21" s="66">
        <f t="shared" si="1"/>
        <v>841.54484236597023</v>
      </c>
      <c r="F21" s="66">
        <f t="shared" si="1"/>
        <v>832.95765009692968</v>
      </c>
      <c r="G21" s="66">
        <f t="shared" si="1"/>
        <v>824.37045782788914</v>
      </c>
      <c r="H21" s="66">
        <f t="shared" si="1"/>
        <v>815.78326555884871</v>
      </c>
      <c r="I21" s="66">
        <f t="shared" si="1"/>
        <v>807.19607328980817</v>
      </c>
      <c r="J21" s="66">
        <f t="shared" si="1"/>
        <v>798.60888102076763</v>
      </c>
      <c r="K21" s="66">
        <f t="shared" si="1"/>
        <v>790.02168875172708</v>
      </c>
      <c r="L21" s="66">
        <f t="shared" si="1"/>
        <v>781.43449648268665</v>
      </c>
      <c r="M21" s="66">
        <f t="shared" si="1"/>
        <v>772.84730421364611</v>
      </c>
      <c r="N21" s="66">
        <f t="shared" si="1"/>
        <v>772.84730421364611</v>
      </c>
      <c r="O21" s="66">
        <f t="shared" si="1"/>
        <v>764.26011194460557</v>
      </c>
      <c r="P21" s="66">
        <f t="shared" si="1"/>
        <v>755.67291967556503</v>
      </c>
      <c r="Q21" s="66">
        <f t="shared" si="1"/>
        <v>747.0857274065246</v>
      </c>
      <c r="R21" s="66">
        <f t="shared" si="1"/>
        <v>738.49853513748405</v>
      </c>
      <c r="S21" s="66">
        <f t="shared" si="1"/>
        <v>729.91134286844351</v>
      </c>
      <c r="T21" s="66">
        <f t="shared" si="1"/>
        <v>729.91134286844351</v>
      </c>
      <c r="U21" s="66">
        <f t="shared" si="1"/>
        <v>721.32415059940308</v>
      </c>
      <c r="V21" s="66">
        <f t="shared" si="1"/>
        <v>712.73695833036254</v>
      </c>
      <c r="W21" s="72">
        <f t="shared" si="1"/>
        <v>782.29321570959064</v>
      </c>
    </row>
    <row r="22" spans="1:23" x14ac:dyDescent="0.25">
      <c r="A22" s="62" t="s">
        <v>77</v>
      </c>
      <c r="B22" s="63">
        <v>0.13343543017941514</v>
      </c>
      <c r="C22" s="66">
        <f t="shared" si="2"/>
        <v>800.61258107649087</v>
      </c>
      <c r="D22" s="66">
        <f t="shared" si="1"/>
        <v>792.60645526572591</v>
      </c>
      <c r="E22" s="66">
        <f t="shared" si="1"/>
        <v>784.60032945496107</v>
      </c>
      <c r="F22" s="66">
        <f t="shared" si="1"/>
        <v>776.59420364419611</v>
      </c>
      <c r="G22" s="66">
        <f t="shared" si="1"/>
        <v>768.58807783343127</v>
      </c>
      <c r="H22" s="66">
        <f t="shared" si="1"/>
        <v>760.58195202266631</v>
      </c>
      <c r="I22" s="66">
        <f t="shared" si="1"/>
        <v>752.57582621190136</v>
      </c>
      <c r="J22" s="66">
        <f t="shared" si="1"/>
        <v>744.56970040113652</v>
      </c>
      <c r="K22" s="66">
        <f t="shared" si="1"/>
        <v>736.56357459037156</v>
      </c>
      <c r="L22" s="66">
        <f t="shared" si="1"/>
        <v>728.55744877960672</v>
      </c>
      <c r="M22" s="66">
        <f t="shared" si="1"/>
        <v>720.55132296884176</v>
      </c>
      <c r="N22" s="66">
        <f t="shared" si="1"/>
        <v>720.55132296884176</v>
      </c>
      <c r="O22" s="66">
        <f t="shared" si="1"/>
        <v>712.54519715807692</v>
      </c>
      <c r="P22" s="66">
        <f t="shared" si="1"/>
        <v>704.53907134731196</v>
      </c>
      <c r="Q22" s="66">
        <f t="shared" si="1"/>
        <v>696.532945536547</v>
      </c>
      <c r="R22" s="66">
        <f t="shared" si="1"/>
        <v>688.52681972578216</v>
      </c>
      <c r="S22" s="66">
        <f t="shared" si="1"/>
        <v>680.5206939150172</v>
      </c>
      <c r="T22" s="66">
        <f t="shared" si="1"/>
        <v>680.5206939150172</v>
      </c>
      <c r="U22" s="66">
        <f t="shared" si="1"/>
        <v>672.51456810425236</v>
      </c>
      <c r="V22" s="66">
        <f t="shared" si="1"/>
        <v>664.50844229348741</v>
      </c>
      <c r="W22" s="72">
        <f t="shared" si="1"/>
        <v>729.35806136068322</v>
      </c>
    </row>
    <row r="23" spans="1:23" ht="14.45" x14ac:dyDescent="0.35">
      <c r="A23" s="62" t="s">
        <v>78</v>
      </c>
      <c r="B23" s="63">
        <v>0.13240176911934437</v>
      </c>
      <c r="C23" s="66">
        <f t="shared" si="2"/>
        <v>794.41061471606622</v>
      </c>
      <c r="D23" s="66">
        <f t="shared" si="1"/>
        <v>786.46650856890551</v>
      </c>
      <c r="E23" s="66">
        <f t="shared" si="1"/>
        <v>778.52240242174491</v>
      </c>
      <c r="F23" s="66">
        <f t="shared" si="1"/>
        <v>770.5782962745842</v>
      </c>
      <c r="G23" s="66">
        <f t="shared" si="1"/>
        <v>762.63419012742361</v>
      </c>
      <c r="H23" s="66">
        <f t="shared" si="1"/>
        <v>754.6900839802629</v>
      </c>
      <c r="I23" s="66">
        <f t="shared" si="1"/>
        <v>746.7459778331023</v>
      </c>
      <c r="J23" s="66">
        <f t="shared" si="1"/>
        <v>738.80187168594159</v>
      </c>
      <c r="K23" s="66">
        <f t="shared" si="1"/>
        <v>730.85776553878088</v>
      </c>
      <c r="L23" s="66">
        <f t="shared" si="1"/>
        <v>722.91365939162029</v>
      </c>
      <c r="M23" s="66">
        <f t="shared" si="1"/>
        <v>714.96955324445958</v>
      </c>
      <c r="N23" s="66">
        <f t="shared" si="1"/>
        <v>714.96955324445958</v>
      </c>
      <c r="O23" s="66">
        <f t="shared" si="1"/>
        <v>707.02544709729898</v>
      </c>
      <c r="P23" s="66">
        <f t="shared" si="1"/>
        <v>699.08134095013827</v>
      </c>
      <c r="Q23" s="66">
        <f t="shared" si="1"/>
        <v>691.13723480297756</v>
      </c>
      <c r="R23" s="66">
        <f t="shared" si="1"/>
        <v>683.19312865581696</v>
      </c>
      <c r="S23" s="66">
        <f t="shared" si="1"/>
        <v>675.24902250865625</v>
      </c>
      <c r="T23" s="66">
        <f t="shared" si="1"/>
        <v>675.24902250865625</v>
      </c>
      <c r="U23" s="66">
        <f t="shared" si="1"/>
        <v>667.30491636149566</v>
      </c>
      <c r="V23" s="66">
        <f t="shared" si="1"/>
        <v>659.36081021433495</v>
      </c>
      <c r="W23" s="72">
        <f t="shared" si="1"/>
        <v>723.70807000633636</v>
      </c>
    </row>
    <row r="24" spans="1:23" ht="14.45" x14ac:dyDescent="0.35">
      <c r="A24" s="62" t="s">
        <v>79</v>
      </c>
      <c r="B24" s="63">
        <v>9.7273349447908372E-2</v>
      </c>
      <c r="C24" s="66">
        <f t="shared" si="2"/>
        <v>583.64009668745018</v>
      </c>
      <c r="D24" s="66">
        <f t="shared" si="1"/>
        <v>577.80369572057577</v>
      </c>
      <c r="E24" s="66">
        <f t="shared" si="1"/>
        <v>571.96729475370125</v>
      </c>
      <c r="F24" s="66">
        <f t="shared" si="1"/>
        <v>566.13089378682673</v>
      </c>
      <c r="G24" s="66">
        <f t="shared" si="1"/>
        <v>560.29449281995221</v>
      </c>
      <c r="H24" s="66">
        <f t="shared" si="1"/>
        <v>554.45809185307769</v>
      </c>
      <c r="I24" s="66">
        <f t="shared" si="1"/>
        <v>548.62169088620317</v>
      </c>
      <c r="J24" s="66">
        <f t="shared" si="1"/>
        <v>542.78528991932876</v>
      </c>
      <c r="K24" s="66">
        <f t="shared" si="1"/>
        <v>536.94888895245424</v>
      </c>
      <c r="L24" s="66">
        <f t="shared" si="1"/>
        <v>531.11248798557972</v>
      </c>
      <c r="M24" s="66">
        <f t="shared" si="1"/>
        <v>525.2760870187052</v>
      </c>
      <c r="N24" s="66">
        <f t="shared" si="1"/>
        <v>525.2760870187052</v>
      </c>
      <c r="O24" s="66">
        <f t="shared" si="1"/>
        <v>519.43968605183068</v>
      </c>
      <c r="P24" s="66">
        <f t="shared" si="1"/>
        <v>513.60328508495616</v>
      </c>
      <c r="Q24" s="66">
        <f t="shared" si="1"/>
        <v>507.76688411808169</v>
      </c>
      <c r="R24" s="66">
        <f t="shared" si="1"/>
        <v>501.93048315120723</v>
      </c>
      <c r="S24" s="66">
        <f t="shared" si="1"/>
        <v>496.09408218433271</v>
      </c>
      <c r="T24" s="66">
        <f t="shared" si="1"/>
        <v>496.09408218433271</v>
      </c>
      <c r="U24" s="66">
        <f t="shared" si="1"/>
        <v>490.25768121745818</v>
      </c>
      <c r="V24" s="66">
        <f t="shared" si="1"/>
        <v>484.42128025058372</v>
      </c>
      <c r="W24" s="72">
        <f t="shared" si="1"/>
        <v>531.69612808226714</v>
      </c>
    </row>
    <row r="25" spans="1:23" ht="14.45" x14ac:dyDescent="0.35">
      <c r="A25" s="62" t="s">
        <v>80</v>
      </c>
      <c r="B25" s="63">
        <v>4.4489011804507129E-2</v>
      </c>
      <c r="C25" s="66">
        <f t="shared" si="2"/>
        <v>266.93407082704277</v>
      </c>
      <c r="D25" s="66">
        <f t="shared" si="1"/>
        <v>264.26473011877238</v>
      </c>
      <c r="E25" s="66">
        <f t="shared" si="1"/>
        <v>261.59538941050192</v>
      </c>
      <c r="F25" s="66">
        <f t="shared" si="1"/>
        <v>258.92604870223147</v>
      </c>
      <c r="G25" s="66">
        <f t="shared" si="1"/>
        <v>256.25670799396107</v>
      </c>
      <c r="H25" s="66">
        <f t="shared" si="1"/>
        <v>253.58736728569065</v>
      </c>
      <c r="I25" s="66">
        <f t="shared" si="1"/>
        <v>250.91802657742022</v>
      </c>
      <c r="J25" s="66">
        <f t="shared" si="1"/>
        <v>248.2486858691498</v>
      </c>
      <c r="K25" s="66">
        <f t="shared" si="1"/>
        <v>245.57934516087934</v>
      </c>
      <c r="L25" s="66">
        <f t="shared" si="1"/>
        <v>242.91000445260892</v>
      </c>
      <c r="M25" s="66">
        <f t="shared" si="1"/>
        <v>240.24066374433849</v>
      </c>
      <c r="N25" s="66">
        <f t="shared" si="1"/>
        <v>240.24066374433849</v>
      </c>
      <c r="O25" s="66">
        <f t="shared" si="1"/>
        <v>237.57132303606807</v>
      </c>
      <c r="P25" s="66">
        <f t="shared" si="1"/>
        <v>234.90198232779764</v>
      </c>
      <c r="Q25" s="66">
        <f t="shared" si="1"/>
        <v>232.23264161952721</v>
      </c>
      <c r="R25" s="66">
        <f t="shared" si="1"/>
        <v>229.56330091125679</v>
      </c>
      <c r="S25" s="66">
        <f t="shared" si="1"/>
        <v>226.89396020298636</v>
      </c>
      <c r="T25" s="66">
        <f t="shared" si="1"/>
        <v>226.89396020298636</v>
      </c>
      <c r="U25" s="66">
        <f t="shared" si="1"/>
        <v>224.22461949471594</v>
      </c>
      <c r="V25" s="66">
        <f t="shared" si="1"/>
        <v>221.55527878644551</v>
      </c>
      <c r="W25" s="72">
        <f t="shared" si="1"/>
        <v>243.17693852343598</v>
      </c>
    </row>
    <row r="26" spans="1:23" ht="14.45" x14ac:dyDescent="0.35">
      <c r="A26" s="62" t="s">
        <v>81</v>
      </c>
      <c r="B26" s="63">
        <v>1.7710000654390892E-2</v>
      </c>
      <c r="C26" s="66">
        <f t="shared" si="2"/>
        <v>106.26000392634535</v>
      </c>
      <c r="D26" s="66">
        <f t="shared" si="1"/>
        <v>105.1974038870819</v>
      </c>
      <c r="E26" s="66">
        <f t="shared" si="1"/>
        <v>104.13480384781845</v>
      </c>
      <c r="F26" s="66">
        <f t="shared" si="1"/>
        <v>103.07220380855499</v>
      </c>
      <c r="G26" s="66">
        <f t="shared" si="1"/>
        <v>102.00960376929154</v>
      </c>
      <c r="H26" s="66">
        <f t="shared" si="1"/>
        <v>100.94700373002809</v>
      </c>
      <c r="I26" s="66">
        <f t="shared" si="1"/>
        <v>99.884403690764628</v>
      </c>
      <c r="J26" s="66">
        <f t="shared" si="1"/>
        <v>98.821803651501185</v>
      </c>
      <c r="K26" s="66">
        <f t="shared" si="1"/>
        <v>97.759203612237727</v>
      </c>
      <c r="L26" s="66">
        <f t="shared" si="1"/>
        <v>96.696603572974269</v>
      </c>
      <c r="M26" s="66">
        <f t="shared" si="1"/>
        <v>95.634003533710825</v>
      </c>
      <c r="N26" s="66">
        <f t="shared" si="1"/>
        <v>95.634003533710825</v>
      </c>
      <c r="O26" s="66">
        <f t="shared" si="1"/>
        <v>94.571403494447367</v>
      </c>
      <c r="P26" s="66">
        <f t="shared" si="1"/>
        <v>93.508803455183909</v>
      </c>
      <c r="Q26" s="66">
        <f t="shared" si="1"/>
        <v>92.446203415920451</v>
      </c>
      <c r="R26" s="66">
        <f t="shared" si="1"/>
        <v>91.383603376657007</v>
      </c>
      <c r="S26" s="66">
        <f t="shared" si="1"/>
        <v>90.321003337393549</v>
      </c>
      <c r="T26" s="66">
        <f t="shared" si="1"/>
        <v>90.321003337393549</v>
      </c>
      <c r="U26" s="66">
        <f t="shared" si="1"/>
        <v>89.258403298130091</v>
      </c>
      <c r="V26" s="66">
        <f t="shared" si="1"/>
        <v>88.195803258866647</v>
      </c>
      <c r="W26" s="72">
        <f t="shared" si="1"/>
        <v>96.80286357690062</v>
      </c>
    </row>
    <row r="27" spans="1:23" ht="14.45" x14ac:dyDescent="0.35">
      <c r="A27" s="62" t="s">
        <v>82</v>
      </c>
      <c r="B27" s="63">
        <v>6.4444374210590816E-3</v>
      </c>
      <c r="C27" s="66">
        <f t="shared" si="2"/>
        <v>38.666624526354489</v>
      </c>
      <c r="D27" s="66">
        <f t="shared" si="1"/>
        <v>38.279958281090941</v>
      </c>
      <c r="E27" s="66">
        <f t="shared" si="1"/>
        <v>37.8932920358274</v>
      </c>
      <c r="F27" s="66">
        <f t="shared" si="1"/>
        <v>37.506625790563852</v>
      </c>
      <c r="G27" s="66">
        <f t="shared" si="1"/>
        <v>37.119959545300311</v>
      </c>
      <c r="H27" s="66">
        <f t="shared" si="1"/>
        <v>36.733293300036763</v>
      </c>
      <c r="I27" s="66">
        <f t="shared" si="1"/>
        <v>36.346627054773222</v>
      </c>
      <c r="J27" s="66">
        <f t="shared" si="1"/>
        <v>35.959960809509674</v>
      </c>
      <c r="K27" s="66">
        <f t="shared" si="1"/>
        <v>35.573294564246133</v>
      </c>
      <c r="L27" s="66">
        <f t="shared" si="1"/>
        <v>35.186628318982585</v>
      </c>
      <c r="M27" s="66">
        <f t="shared" si="1"/>
        <v>34.799962073719044</v>
      </c>
      <c r="N27" s="66">
        <f t="shared" si="1"/>
        <v>34.799962073719044</v>
      </c>
      <c r="O27" s="66">
        <f t="shared" si="1"/>
        <v>34.413295828455496</v>
      </c>
      <c r="P27" s="66">
        <f t="shared" si="1"/>
        <v>34.026629583191948</v>
      </c>
      <c r="Q27" s="66">
        <f t="shared" si="1"/>
        <v>33.639963337928407</v>
      </c>
      <c r="R27" s="66">
        <f t="shared" si="1"/>
        <v>33.253297092664859</v>
      </c>
      <c r="S27" s="66">
        <f t="shared" si="1"/>
        <v>32.866630847401318</v>
      </c>
      <c r="T27" s="66">
        <f t="shared" si="1"/>
        <v>32.866630847401318</v>
      </c>
      <c r="U27" s="66">
        <f t="shared" si="1"/>
        <v>32.47996460213777</v>
      </c>
      <c r="V27" s="66">
        <f t="shared" si="1"/>
        <v>32.093298356874229</v>
      </c>
      <c r="W27" s="72">
        <f t="shared" si="1"/>
        <v>35.225294943508942</v>
      </c>
    </row>
    <row r="28" spans="1:23" x14ac:dyDescent="0.25">
      <c r="A28" s="11" t="s">
        <v>97</v>
      </c>
      <c r="B28" s="65">
        <f>SUM(B16:B27)</f>
        <v>0.99999999999999978</v>
      </c>
      <c r="C28" s="68">
        <f>SUM(C16:C27)</f>
        <v>5999.9999999999982</v>
      </c>
      <c r="D28" s="68">
        <f t="shared" ref="D28:W28" si="3">SUM(D16:D27)</f>
        <v>5940</v>
      </c>
      <c r="E28" s="68">
        <f t="shared" si="3"/>
        <v>5879.9999999999991</v>
      </c>
      <c r="F28" s="68">
        <f t="shared" si="3"/>
        <v>5819.9999999999991</v>
      </c>
      <c r="G28" s="68">
        <f t="shared" si="3"/>
        <v>5759.9999999999991</v>
      </c>
      <c r="H28" s="68">
        <f t="shared" si="3"/>
        <v>5699.9999999999982</v>
      </c>
      <c r="I28" s="68">
        <f t="shared" si="3"/>
        <v>5640</v>
      </c>
      <c r="J28" s="68">
        <f t="shared" si="3"/>
        <v>5579.9999999999982</v>
      </c>
      <c r="K28" s="68">
        <f t="shared" si="3"/>
        <v>5519.9999999999991</v>
      </c>
      <c r="L28" s="68">
        <f t="shared" si="3"/>
        <v>5459.9999999999991</v>
      </c>
      <c r="M28" s="68">
        <f t="shared" si="3"/>
        <v>5399.9999999999982</v>
      </c>
      <c r="N28" s="68">
        <f t="shared" si="3"/>
        <v>5399.9999999999982</v>
      </c>
      <c r="O28" s="68">
        <f t="shared" si="3"/>
        <v>5339.9999999999991</v>
      </c>
      <c r="P28" s="68">
        <f t="shared" si="3"/>
        <v>5279.9999999999982</v>
      </c>
      <c r="Q28" s="68">
        <f t="shared" si="3"/>
        <v>5220</v>
      </c>
      <c r="R28" s="68">
        <f t="shared" si="3"/>
        <v>5160</v>
      </c>
      <c r="S28" s="68">
        <f t="shared" si="3"/>
        <v>5099.9999999999982</v>
      </c>
      <c r="T28" s="68">
        <f t="shared" si="3"/>
        <v>5099.9999999999982</v>
      </c>
      <c r="U28" s="68">
        <f t="shared" si="3"/>
        <v>5039.9999999999991</v>
      </c>
      <c r="V28" s="68">
        <f t="shared" si="3"/>
        <v>4979.9999999999991</v>
      </c>
      <c r="W28" s="73">
        <f t="shared" si="3"/>
        <v>5465.9999999999982</v>
      </c>
    </row>
    <row r="29" spans="1:23" x14ac:dyDescent="0.25">
      <c r="A29" s="11" t="s">
        <v>98</v>
      </c>
      <c r="C29" s="88">
        <f>C28*900</f>
        <v>5399999.9999999981</v>
      </c>
      <c r="D29" s="88">
        <f t="shared" ref="D29:W29" si="4">D28*900</f>
        <v>5346000</v>
      </c>
      <c r="E29" s="88">
        <f t="shared" si="4"/>
        <v>5291999.9999999991</v>
      </c>
      <c r="F29" s="88">
        <f t="shared" si="4"/>
        <v>5237999.9999999991</v>
      </c>
      <c r="G29" s="88">
        <f t="shared" si="4"/>
        <v>5183999.9999999991</v>
      </c>
      <c r="H29" s="88">
        <f t="shared" si="4"/>
        <v>5129999.9999999981</v>
      </c>
      <c r="I29" s="88">
        <f t="shared" si="4"/>
        <v>5076000</v>
      </c>
      <c r="J29" s="88">
        <f t="shared" si="4"/>
        <v>5021999.9999999981</v>
      </c>
      <c r="K29" s="88">
        <f t="shared" si="4"/>
        <v>4967999.9999999991</v>
      </c>
      <c r="L29" s="88">
        <f t="shared" si="4"/>
        <v>4913999.9999999991</v>
      </c>
      <c r="M29" s="88">
        <f t="shared" si="4"/>
        <v>4859999.9999999981</v>
      </c>
      <c r="N29" s="88">
        <f t="shared" si="4"/>
        <v>4859999.9999999981</v>
      </c>
      <c r="O29" s="88">
        <f t="shared" si="4"/>
        <v>4805999.9999999991</v>
      </c>
      <c r="P29" s="88">
        <f t="shared" si="4"/>
        <v>4751999.9999999981</v>
      </c>
      <c r="Q29" s="88">
        <f t="shared" si="4"/>
        <v>4698000</v>
      </c>
      <c r="R29" s="88">
        <f t="shared" si="4"/>
        <v>4644000</v>
      </c>
      <c r="S29" s="88">
        <f t="shared" si="4"/>
        <v>4589999.9999999981</v>
      </c>
      <c r="T29" s="88">
        <f t="shared" si="4"/>
        <v>4589999.9999999981</v>
      </c>
      <c r="U29" s="88">
        <f t="shared" si="4"/>
        <v>4535999.9999999991</v>
      </c>
      <c r="V29" s="88">
        <f t="shared" si="4"/>
        <v>4481999.9999999991</v>
      </c>
      <c r="W29" s="89">
        <f t="shared" si="4"/>
        <v>4919399.9999999981</v>
      </c>
    </row>
    <row r="31" spans="1:23" x14ac:dyDescent="0.25">
      <c r="A31" s="74" t="s">
        <v>87</v>
      </c>
    </row>
    <row r="33" spans="1:23" x14ac:dyDescent="0.25">
      <c r="A33" s="79" t="s">
        <v>92</v>
      </c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</row>
    <row r="35" spans="1:23" s="22" customFormat="1" ht="14.45" x14ac:dyDescent="0.35">
      <c r="A35" s="22" t="s">
        <v>40</v>
      </c>
      <c r="C35" s="22">
        <v>1</v>
      </c>
      <c r="D35" s="22">
        <v>2</v>
      </c>
      <c r="E35" s="22">
        <v>3</v>
      </c>
      <c r="F35" s="22">
        <v>4</v>
      </c>
      <c r="G35" s="22">
        <v>5</v>
      </c>
      <c r="H35" s="22">
        <v>6</v>
      </c>
      <c r="I35" s="22">
        <v>7</v>
      </c>
      <c r="J35" s="22">
        <v>8</v>
      </c>
      <c r="K35" s="22">
        <v>9</v>
      </c>
      <c r="L35" s="22">
        <v>10</v>
      </c>
      <c r="M35" s="22">
        <v>11</v>
      </c>
      <c r="N35" s="22">
        <v>12</v>
      </c>
      <c r="O35" s="22">
        <v>13</v>
      </c>
      <c r="P35" s="22">
        <v>14</v>
      </c>
      <c r="Q35" s="22">
        <v>15</v>
      </c>
      <c r="R35" s="22">
        <v>16</v>
      </c>
      <c r="S35" s="22">
        <v>17</v>
      </c>
      <c r="T35" s="22">
        <v>18</v>
      </c>
      <c r="U35" s="22">
        <v>19</v>
      </c>
      <c r="V35" s="22">
        <v>20</v>
      </c>
      <c r="W35" s="70"/>
    </row>
    <row r="36" spans="1:23" s="22" customFormat="1" ht="30" x14ac:dyDescent="0.25">
      <c r="A36" s="75" t="s">
        <v>84</v>
      </c>
      <c r="B36" s="61"/>
      <c r="C36" s="76">
        <v>147.95879999999997</v>
      </c>
      <c r="D36" s="76">
        <v>146.47921199999999</v>
      </c>
      <c r="E36" s="76">
        <v>144.99962399999998</v>
      </c>
      <c r="F36" s="76">
        <v>143.520036</v>
      </c>
      <c r="G36" s="76">
        <v>142.04044799999997</v>
      </c>
      <c r="H36" s="76">
        <v>140.56085999999999</v>
      </c>
      <c r="I36" s="76">
        <v>139.08127199999998</v>
      </c>
      <c r="J36" s="76">
        <v>137.60168400000001</v>
      </c>
      <c r="K36" s="76">
        <v>136.122096</v>
      </c>
      <c r="L36" s="76">
        <v>134.64250799999999</v>
      </c>
      <c r="M36" s="76">
        <v>133.16291999999999</v>
      </c>
      <c r="N36" s="76">
        <v>133.16291999999999</v>
      </c>
      <c r="O36" s="76">
        <v>131.68333200000001</v>
      </c>
      <c r="P36" s="76">
        <v>130.203744</v>
      </c>
      <c r="Q36" s="76">
        <v>128.72415599999999</v>
      </c>
      <c r="R36" s="76">
        <v>127.24456799999999</v>
      </c>
      <c r="S36" s="76">
        <v>125.76497999999998</v>
      </c>
      <c r="T36" s="76">
        <v>125.76497999999998</v>
      </c>
      <c r="U36" s="76">
        <v>124.28539199999999</v>
      </c>
      <c r="V36" s="76">
        <v>122.80580399999998</v>
      </c>
      <c r="W36" s="77">
        <f>AVERAGE(C36:V36)</f>
        <v>134.79046679999999</v>
      </c>
    </row>
    <row r="38" spans="1:23" x14ac:dyDescent="0.25">
      <c r="A38" s="2" t="s">
        <v>100</v>
      </c>
      <c r="B38" s="78">
        <f>W36</f>
        <v>134.79046679999999</v>
      </c>
      <c r="C38" s="2" t="s">
        <v>85</v>
      </c>
      <c r="D38" s="82"/>
    </row>
    <row r="39" spans="1:23" x14ac:dyDescent="0.25">
      <c r="A39" s="2" t="s">
        <v>101</v>
      </c>
      <c r="B39" s="78">
        <f>B38*900</f>
        <v>121311.42012</v>
      </c>
      <c r="C39" s="2" t="s">
        <v>85</v>
      </c>
    </row>
    <row r="40" spans="1:23" x14ac:dyDescent="0.25">
      <c r="A40" s="74" t="s">
        <v>99</v>
      </c>
    </row>
    <row r="42" spans="1:23" x14ac:dyDescent="0.25">
      <c r="A42" s="79" t="s">
        <v>93</v>
      </c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</row>
    <row r="44" spans="1:23" s="22" customFormat="1" ht="14.45" x14ac:dyDescent="0.35">
      <c r="A44" s="22" t="s">
        <v>40</v>
      </c>
      <c r="C44" s="22">
        <v>1</v>
      </c>
      <c r="D44" s="22">
        <v>2</v>
      </c>
      <c r="E44" s="22">
        <v>3</v>
      </c>
      <c r="F44" s="22">
        <v>4</v>
      </c>
      <c r="G44" s="22">
        <v>5</v>
      </c>
      <c r="H44" s="22">
        <v>6</v>
      </c>
      <c r="I44" s="22">
        <v>7</v>
      </c>
      <c r="J44" s="22">
        <v>8</v>
      </c>
      <c r="K44" s="22">
        <v>9</v>
      </c>
      <c r="L44" s="22">
        <v>10</v>
      </c>
      <c r="M44" s="22">
        <v>11</v>
      </c>
      <c r="N44" s="22">
        <v>12</v>
      </c>
      <c r="O44" s="22">
        <v>13</v>
      </c>
      <c r="P44" s="22">
        <v>14</v>
      </c>
      <c r="Q44" s="22">
        <v>15</v>
      </c>
      <c r="R44" s="22">
        <v>16</v>
      </c>
      <c r="S44" s="22">
        <v>17</v>
      </c>
      <c r="T44" s="22">
        <v>18</v>
      </c>
      <c r="U44" s="22">
        <v>19</v>
      </c>
      <c r="V44" s="22">
        <v>20</v>
      </c>
      <c r="W44" s="70"/>
    </row>
    <row r="45" spans="1:23" s="22" customFormat="1" ht="30" x14ac:dyDescent="0.25">
      <c r="A45" s="75" t="s">
        <v>86</v>
      </c>
      <c r="B45" s="61"/>
      <c r="C45" s="76">
        <v>14.2296</v>
      </c>
      <c r="D45" s="76">
        <v>14.087304</v>
      </c>
      <c r="E45" s="76">
        <v>13.945007999999998</v>
      </c>
      <c r="F45" s="76">
        <v>13.802712</v>
      </c>
      <c r="G45" s="76">
        <v>13.660416</v>
      </c>
      <c r="H45" s="76">
        <v>13.518119999999998</v>
      </c>
      <c r="I45" s="76">
        <v>13.375823999999998</v>
      </c>
      <c r="J45" s="76">
        <v>13.233528</v>
      </c>
      <c r="K45" s="76">
        <v>13.091232</v>
      </c>
      <c r="L45" s="76">
        <v>12.948935999999998</v>
      </c>
      <c r="M45" s="76">
        <v>12.80664</v>
      </c>
      <c r="N45" s="76">
        <v>12.80664</v>
      </c>
      <c r="O45" s="76">
        <v>12.664344</v>
      </c>
      <c r="P45" s="76">
        <v>12.522047999999998</v>
      </c>
      <c r="Q45" s="76">
        <v>12.379751999999998</v>
      </c>
      <c r="R45" s="76">
        <v>12.237456</v>
      </c>
      <c r="S45" s="76">
        <v>12.09516</v>
      </c>
      <c r="T45" s="76">
        <v>12.09516</v>
      </c>
      <c r="U45" s="76">
        <v>11.952863999999998</v>
      </c>
      <c r="V45" s="76">
        <v>11.810568</v>
      </c>
      <c r="W45" s="77">
        <f>AVERAGE(C45:V45)</f>
        <v>12.9631656</v>
      </c>
    </row>
    <row r="47" spans="1:23" x14ac:dyDescent="0.25">
      <c r="A47" s="2" t="s">
        <v>102</v>
      </c>
      <c r="B47" s="78">
        <f>W45</f>
        <v>12.9631656</v>
      </c>
      <c r="C47" s="2" t="s">
        <v>85</v>
      </c>
    </row>
    <row r="48" spans="1:23" x14ac:dyDescent="0.25">
      <c r="A48" s="2" t="s">
        <v>103</v>
      </c>
      <c r="B48" s="78">
        <f>B47*900</f>
        <v>11666.849039999999</v>
      </c>
      <c r="C48" s="2" t="s">
        <v>85</v>
      </c>
    </row>
    <row r="49" spans="1:1" x14ac:dyDescent="0.25">
      <c r="A49" s="74" t="s">
        <v>89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56"/>
  <sheetViews>
    <sheetView topLeftCell="B1" zoomScale="90" zoomScaleNormal="90" workbookViewId="0">
      <selection activeCell="C9" sqref="C9"/>
    </sheetView>
  </sheetViews>
  <sheetFormatPr defaultRowHeight="15" outlineLevelCol="1" x14ac:dyDescent="0.25"/>
  <cols>
    <col min="2" max="2" width="38" bestFit="1" customWidth="1"/>
    <col min="3" max="3" width="37.5703125" customWidth="1"/>
    <col min="4" max="4" width="28.28515625" customWidth="1"/>
    <col min="5" max="6" width="14.7109375" customWidth="1"/>
    <col min="7" max="7" width="8.85546875" hidden="1" customWidth="1" outlineLevel="1"/>
    <col min="8" max="8" width="36" hidden="1" customWidth="1" outlineLevel="1"/>
    <col min="9" max="9" width="18.7109375" hidden="1" customWidth="1" outlineLevel="1"/>
    <col min="10" max="10" width="18.5703125" style="22" hidden="1" customWidth="1" outlineLevel="1"/>
    <col min="11" max="11" width="22.5703125" hidden="1" customWidth="1" outlineLevel="1"/>
    <col min="12" max="12" width="8.85546875" hidden="1" customWidth="1" outlineLevel="1"/>
    <col min="13" max="14" width="12.28515625" hidden="1" customWidth="1" outlineLevel="1"/>
    <col min="15" max="15" width="8.85546875" hidden="1" customWidth="1" outlineLevel="1"/>
    <col min="16" max="16" width="11.42578125" hidden="1" customWidth="1" outlineLevel="1"/>
    <col min="17" max="17" width="13.28515625" hidden="1" customWidth="1" outlineLevel="1"/>
    <col min="18" max="18" width="11.28515625" hidden="1" customWidth="1" outlineLevel="1"/>
    <col min="19" max="21" width="8.85546875" hidden="1" customWidth="1" outlineLevel="1"/>
    <col min="22" max="22" width="14.85546875" hidden="1" customWidth="1" outlineLevel="1"/>
    <col min="23" max="23" width="12.28515625" hidden="1" customWidth="1" outlineLevel="1"/>
    <col min="24" max="24" width="14.7109375" hidden="1" customWidth="1" outlineLevel="1"/>
    <col min="25" max="25" width="14.85546875" hidden="1" customWidth="1" outlineLevel="1"/>
    <col min="26" max="26" width="13.7109375" hidden="1" customWidth="1" outlineLevel="1"/>
    <col min="27" max="35" width="8.85546875" hidden="1" customWidth="1" outlineLevel="1"/>
    <col min="36" max="36" width="12.5703125" hidden="1" customWidth="1" outlineLevel="1"/>
    <col min="37" max="37" width="8.85546875" hidden="1" customWidth="1" outlineLevel="1"/>
    <col min="38" max="38" width="8.85546875" collapsed="1"/>
  </cols>
  <sheetData>
    <row r="1" spans="2:20" x14ac:dyDescent="0.25">
      <c r="B1" s="1" t="s">
        <v>0</v>
      </c>
      <c r="E1" s="2" t="s">
        <v>1</v>
      </c>
      <c r="F1" s="2"/>
      <c r="G1" s="3" t="s">
        <v>2</v>
      </c>
      <c r="H1" s="3" t="s">
        <v>3</v>
      </c>
      <c r="I1" s="3" t="s">
        <v>65</v>
      </c>
      <c r="J1" s="3" t="s">
        <v>4</v>
      </c>
      <c r="K1" s="3" t="s">
        <v>5</v>
      </c>
      <c r="M1" s="4" t="s">
        <v>6</v>
      </c>
      <c r="N1" s="3" t="s">
        <v>7</v>
      </c>
      <c r="O1" s="91" t="s">
        <v>8</v>
      </c>
      <c r="P1" s="92"/>
      <c r="Q1" s="93"/>
      <c r="R1" s="94" t="s">
        <v>9</v>
      </c>
    </row>
    <row r="2" spans="2:20" x14ac:dyDescent="0.25">
      <c r="E2" s="5"/>
      <c r="G2" s="6">
        <v>1.8</v>
      </c>
      <c r="H2" s="6" t="s">
        <v>63</v>
      </c>
      <c r="I2" s="6">
        <v>200</v>
      </c>
      <c r="J2" s="6">
        <v>3820</v>
      </c>
      <c r="K2" s="7">
        <f>G2*1000</f>
        <v>1800</v>
      </c>
      <c r="M2" s="8" t="s">
        <v>10</v>
      </c>
      <c r="N2" s="3" t="s">
        <v>11</v>
      </c>
      <c r="O2" s="9" t="s">
        <v>11</v>
      </c>
      <c r="P2" s="9" t="s">
        <v>12</v>
      </c>
      <c r="Q2" s="9" t="s">
        <v>13</v>
      </c>
      <c r="R2" s="95"/>
      <c r="T2" s="10" t="s">
        <v>14</v>
      </c>
    </row>
    <row r="3" spans="2:20" x14ac:dyDescent="0.25">
      <c r="E3" s="5"/>
      <c r="G3" s="6">
        <v>3.75</v>
      </c>
      <c r="H3" s="6" t="s">
        <v>62</v>
      </c>
      <c r="I3" s="6">
        <v>450</v>
      </c>
      <c r="J3" s="6">
        <v>6130</v>
      </c>
      <c r="K3" s="7">
        <f>G3*1000</f>
        <v>3750</v>
      </c>
      <c r="M3" s="11" t="s">
        <v>11</v>
      </c>
      <c r="N3" s="12">
        <f>C6</f>
        <v>9000</v>
      </c>
      <c r="O3" s="12">
        <f>C17</f>
        <v>6000</v>
      </c>
      <c r="P3" s="12">
        <f>O3*R3</f>
        <v>3000</v>
      </c>
      <c r="Q3" s="12">
        <f>IF(O3&gt;N3,N3-P3,O3-P3)</f>
        <v>3000</v>
      </c>
      <c r="R3" s="13">
        <f>C22</f>
        <v>0.5</v>
      </c>
      <c r="T3" s="10" t="s">
        <v>15</v>
      </c>
    </row>
    <row r="4" spans="2:20" x14ac:dyDescent="0.25">
      <c r="B4" s="14" t="s">
        <v>19</v>
      </c>
      <c r="C4" s="20" t="s">
        <v>61</v>
      </c>
      <c r="D4" s="21" t="s">
        <v>20</v>
      </c>
      <c r="E4" s="5"/>
      <c r="G4" s="6">
        <v>6</v>
      </c>
      <c r="H4" s="6" t="s">
        <v>61</v>
      </c>
      <c r="I4" s="6">
        <v>750</v>
      </c>
      <c r="J4" s="6">
        <v>8170</v>
      </c>
      <c r="K4" s="7">
        <f>G4*1000</f>
        <v>6000</v>
      </c>
      <c r="M4" s="16" t="s">
        <v>17</v>
      </c>
      <c r="N4" s="17">
        <f>N3/12</f>
        <v>750</v>
      </c>
      <c r="O4" s="17">
        <f t="shared" ref="O4:Q4" si="0">O3/12</f>
        <v>500</v>
      </c>
      <c r="P4" s="17">
        <f t="shared" si="0"/>
        <v>250</v>
      </c>
      <c r="Q4" s="17">
        <f t="shared" si="0"/>
        <v>250</v>
      </c>
      <c r="R4" s="18"/>
    </row>
    <row r="5" spans="2:20" x14ac:dyDescent="0.25">
      <c r="B5" s="14" t="s">
        <v>16</v>
      </c>
      <c r="C5" s="59">
        <f>VLOOKUP(C4,$H$1:$I$6,2,FALSE)</f>
        <v>750</v>
      </c>
      <c r="E5" s="5"/>
      <c r="G5" s="6">
        <v>8.25</v>
      </c>
      <c r="H5" s="6" t="s">
        <v>60</v>
      </c>
      <c r="I5" s="6">
        <v>1000</v>
      </c>
      <c r="J5" s="6">
        <v>10380</v>
      </c>
      <c r="K5" s="7">
        <f>G5*1000</f>
        <v>8250</v>
      </c>
    </row>
    <row r="6" spans="2:20" x14ac:dyDescent="0.25">
      <c r="B6" s="14" t="s">
        <v>18</v>
      </c>
      <c r="C6" s="19">
        <f>C5*12</f>
        <v>9000</v>
      </c>
      <c r="E6" s="5"/>
      <c r="G6" s="6">
        <v>10.5</v>
      </c>
      <c r="H6" s="6" t="s">
        <v>59</v>
      </c>
      <c r="I6" s="6">
        <v>1300</v>
      </c>
      <c r="J6" s="6">
        <v>12100</v>
      </c>
      <c r="K6" s="7">
        <f>G6*1000</f>
        <v>10500</v>
      </c>
    </row>
    <row r="7" spans="2:20" x14ac:dyDescent="0.25">
      <c r="B7" s="14" t="s">
        <v>21</v>
      </c>
      <c r="C7" s="20" t="s">
        <v>14</v>
      </c>
      <c r="D7" s="21" t="s">
        <v>20</v>
      </c>
      <c r="E7" s="5"/>
    </row>
    <row r="8" spans="2:20" ht="14.45" x14ac:dyDescent="0.35">
      <c r="E8" s="5"/>
    </row>
    <row r="9" spans="2:20" x14ac:dyDescent="0.25">
      <c r="B9" s="14" t="s">
        <v>22</v>
      </c>
      <c r="C9" s="23">
        <v>0.10150000000000001</v>
      </c>
      <c r="D9" s="21" t="s">
        <v>66</v>
      </c>
      <c r="E9" s="5"/>
    </row>
    <row r="10" spans="2:20" x14ac:dyDescent="0.25">
      <c r="B10" s="14" t="s">
        <v>23</v>
      </c>
      <c r="C10" s="24">
        <v>0</v>
      </c>
      <c r="D10" s="21" t="s">
        <v>24</v>
      </c>
      <c r="E10" s="5"/>
    </row>
    <row r="11" spans="2:20" x14ac:dyDescent="0.25">
      <c r="B11" s="14" t="s">
        <v>25</v>
      </c>
      <c r="C11" s="23">
        <v>4.0759999999999998E-2</v>
      </c>
      <c r="E11" s="5"/>
    </row>
    <row r="12" spans="2:20" x14ac:dyDescent="0.25">
      <c r="B12" s="14" t="s">
        <v>26</v>
      </c>
      <c r="C12" s="23">
        <v>1.9599999999999999E-3</v>
      </c>
      <c r="E12" s="5"/>
    </row>
    <row r="13" spans="2:20" ht="14.45" x14ac:dyDescent="0.35">
      <c r="B13" s="14" t="s">
        <v>27</v>
      </c>
      <c r="C13" s="25">
        <v>0.21</v>
      </c>
      <c r="E13" s="5"/>
    </row>
    <row r="14" spans="2:20" ht="14.45" x14ac:dyDescent="0.35">
      <c r="E14" s="5"/>
    </row>
    <row r="15" spans="2:20" x14ac:dyDescent="0.25">
      <c r="B15" s="14" t="s">
        <v>28</v>
      </c>
      <c r="C15" s="19">
        <f>VLOOKUP(C4,$H$2:$J$15,3,FALSE)-C16</f>
        <v>8170</v>
      </c>
      <c r="D15" s="21" t="s">
        <v>57</v>
      </c>
      <c r="E15" s="5"/>
    </row>
    <row r="16" spans="2:20" x14ac:dyDescent="0.25">
      <c r="B16" s="14" t="s">
        <v>58</v>
      </c>
      <c r="C16" s="15"/>
      <c r="D16" s="26"/>
      <c r="E16" s="5"/>
    </row>
    <row r="17" spans="2:36" x14ac:dyDescent="0.25">
      <c r="B17" s="14" t="s">
        <v>67</v>
      </c>
      <c r="C17" s="19">
        <f>VLOOKUP(C4,$H$2:$K$15,4,FALSE)</f>
        <v>6000</v>
      </c>
      <c r="D17" s="26"/>
      <c r="E17" s="27"/>
      <c r="F17" s="26"/>
    </row>
    <row r="18" spans="2:36" x14ac:dyDescent="0.25">
      <c r="B18" s="14" t="s">
        <v>29</v>
      </c>
      <c r="C18" s="28">
        <f>K48</f>
        <v>10.196457529981277</v>
      </c>
      <c r="D18" s="26"/>
      <c r="E18" s="26"/>
      <c r="F18" s="26"/>
    </row>
    <row r="19" spans="2:36" ht="14.45" x14ac:dyDescent="0.35">
      <c r="B19" s="14" t="s">
        <v>30</v>
      </c>
      <c r="C19" s="29">
        <f>K55</f>
        <v>0.10341925640360605</v>
      </c>
      <c r="D19" s="26"/>
      <c r="E19" s="26"/>
      <c r="F19" s="26"/>
    </row>
    <row r="22" spans="2:36" x14ac:dyDescent="0.25">
      <c r="B22" s="14" t="s">
        <v>31</v>
      </c>
      <c r="C22" s="24">
        <v>0.5</v>
      </c>
      <c r="D22" s="21" t="s">
        <v>64</v>
      </c>
      <c r="J22"/>
      <c r="K22">
        <v>1</v>
      </c>
      <c r="L22">
        <v>2</v>
      </c>
      <c r="M22">
        <v>3</v>
      </c>
      <c r="N22">
        <v>4</v>
      </c>
      <c r="O22">
        <v>5</v>
      </c>
      <c r="P22">
        <v>6</v>
      </c>
      <c r="Q22">
        <v>7</v>
      </c>
      <c r="R22">
        <v>8</v>
      </c>
      <c r="S22">
        <v>9</v>
      </c>
      <c r="T22">
        <v>10</v>
      </c>
      <c r="U22">
        <v>11</v>
      </c>
      <c r="V22">
        <v>12</v>
      </c>
      <c r="W22">
        <v>13</v>
      </c>
      <c r="X22">
        <v>14</v>
      </c>
      <c r="Y22">
        <v>15</v>
      </c>
      <c r="Z22">
        <v>16</v>
      </c>
      <c r="AA22">
        <v>17</v>
      </c>
      <c r="AB22">
        <v>18</v>
      </c>
      <c r="AC22">
        <v>19</v>
      </c>
      <c r="AD22">
        <v>20</v>
      </c>
      <c r="AE22">
        <v>21</v>
      </c>
      <c r="AF22">
        <v>22</v>
      </c>
      <c r="AG22">
        <v>23</v>
      </c>
      <c r="AH22">
        <v>24</v>
      </c>
      <c r="AI22">
        <v>25</v>
      </c>
    </row>
    <row r="23" spans="2:36" x14ac:dyDescent="0.25">
      <c r="I23" s="30" t="s">
        <v>32</v>
      </c>
      <c r="J23"/>
      <c r="K23" s="31">
        <f>C9</f>
        <v>0.10150000000000001</v>
      </c>
      <c r="L23" s="32">
        <f>K23*(1+$J$27)</f>
        <v>0.10150000000000001</v>
      </c>
      <c r="M23" s="32">
        <f>L23*(1+$J$27)</f>
        <v>0.10150000000000001</v>
      </c>
      <c r="N23" s="32">
        <f t="shared" ref="N23:AI23" si="1">M23*(1+$J$27)</f>
        <v>0.10150000000000001</v>
      </c>
      <c r="O23" s="32">
        <f t="shared" si="1"/>
        <v>0.10150000000000001</v>
      </c>
      <c r="P23" s="32">
        <f t="shared" si="1"/>
        <v>0.10150000000000001</v>
      </c>
      <c r="Q23" s="32">
        <f t="shared" si="1"/>
        <v>0.10150000000000001</v>
      </c>
      <c r="R23" s="32">
        <f t="shared" si="1"/>
        <v>0.10150000000000001</v>
      </c>
      <c r="S23" s="32">
        <f t="shared" si="1"/>
        <v>0.10150000000000001</v>
      </c>
      <c r="T23" s="32">
        <f t="shared" si="1"/>
        <v>0.10150000000000001</v>
      </c>
      <c r="U23" s="32">
        <f t="shared" si="1"/>
        <v>0.10150000000000001</v>
      </c>
      <c r="V23" s="32">
        <f t="shared" si="1"/>
        <v>0.10150000000000001</v>
      </c>
      <c r="W23" s="32">
        <f t="shared" si="1"/>
        <v>0.10150000000000001</v>
      </c>
      <c r="X23" s="32">
        <f t="shared" si="1"/>
        <v>0.10150000000000001</v>
      </c>
      <c r="Y23" s="32">
        <f t="shared" si="1"/>
        <v>0.10150000000000001</v>
      </c>
      <c r="Z23" s="32">
        <f t="shared" si="1"/>
        <v>0.10150000000000001</v>
      </c>
      <c r="AA23" s="32">
        <f t="shared" si="1"/>
        <v>0.10150000000000001</v>
      </c>
      <c r="AB23" s="32">
        <f t="shared" si="1"/>
        <v>0.10150000000000001</v>
      </c>
      <c r="AC23" s="32">
        <f t="shared" si="1"/>
        <v>0.10150000000000001</v>
      </c>
      <c r="AD23" s="32">
        <f t="shared" si="1"/>
        <v>0.10150000000000001</v>
      </c>
      <c r="AE23" s="32">
        <f t="shared" si="1"/>
        <v>0.10150000000000001</v>
      </c>
      <c r="AF23" s="32">
        <f t="shared" si="1"/>
        <v>0.10150000000000001</v>
      </c>
      <c r="AG23" s="32">
        <f t="shared" si="1"/>
        <v>0.10150000000000001</v>
      </c>
      <c r="AH23" s="32">
        <f t="shared" si="1"/>
        <v>0.10150000000000001</v>
      </c>
      <c r="AI23" s="32">
        <f t="shared" si="1"/>
        <v>0.10150000000000001</v>
      </c>
    </row>
    <row r="24" spans="2:36" ht="14.45" x14ac:dyDescent="0.35">
      <c r="I24" s="30" t="s">
        <v>33</v>
      </c>
      <c r="J24" s="33">
        <f>C11</f>
        <v>4.0759999999999998E-2</v>
      </c>
    </row>
    <row r="25" spans="2:36" ht="14.45" x14ac:dyDescent="0.35">
      <c r="I25" s="30" t="s">
        <v>34</v>
      </c>
      <c r="J25" s="34">
        <f>C12</f>
        <v>1.9599999999999999E-3</v>
      </c>
    </row>
    <row r="26" spans="2:36" ht="14.45" x14ac:dyDescent="0.35">
      <c r="I26" s="30" t="s">
        <v>35</v>
      </c>
      <c r="J26" s="35">
        <f>C13</f>
        <v>0.21</v>
      </c>
    </row>
    <row r="27" spans="2:36" x14ac:dyDescent="0.25">
      <c r="I27" s="36" t="s">
        <v>36</v>
      </c>
      <c r="J27" s="37">
        <f>C10</f>
        <v>0</v>
      </c>
      <c r="M27" s="38" t="s">
        <v>37</v>
      </c>
      <c r="N27" s="39">
        <f>AVERAGE(K23:AI23)</f>
        <v>0.10150000000000001</v>
      </c>
    </row>
    <row r="28" spans="2:36" ht="14.45" x14ac:dyDescent="0.35">
      <c r="J28"/>
    </row>
    <row r="29" spans="2:36" x14ac:dyDescent="0.25">
      <c r="I29" s="40" t="s">
        <v>38</v>
      </c>
      <c r="J29" s="41"/>
      <c r="K29" s="41">
        <v>0</v>
      </c>
      <c r="L29" s="41">
        <f t="shared" ref="L29:U29" si="2">IF(K29=20%,20%,IF($C$7=$T$2,K29+1%,0%))</f>
        <v>0.01</v>
      </c>
      <c r="M29" s="41">
        <f t="shared" si="2"/>
        <v>0.02</v>
      </c>
      <c r="N29" s="41">
        <f t="shared" si="2"/>
        <v>0.03</v>
      </c>
      <c r="O29" s="41">
        <f t="shared" si="2"/>
        <v>0.04</v>
      </c>
      <c r="P29" s="41">
        <f t="shared" si="2"/>
        <v>0.05</v>
      </c>
      <c r="Q29" s="41">
        <f t="shared" si="2"/>
        <v>6.0000000000000005E-2</v>
      </c>
      <c r="R29" s="41">
        <f t="shared" si="2"/>
        <v>7.0000000000000007E-2</v>
      </c>
      <c r="S29" s="41">
        <f t="shared" si="2"/>
        <v>0.08</v>
      </c>
      <c r="T29" s="41">
        <f t="shared" si="2"/>
        <v>0.09</v>
      </c>
      <c r="U29" s="41">
        <f t="shared" si="2"/>
        <v>9.9999999999999992E-2</v>
      </c>
      <c r="V29" s="41">
        <f>IF(U29=20%,20%,IF($C$7=$T$2,U29+0%,0%))</f>
        <v>9.9999999999999992E-2</v>
      </c>
      <c r="W29" s="41">
        <f>IF(V29=20%,20%,IF($C$7=$T$2,V29+1%,0%))</f>
        <v>0.10999999999999999</v>
      </c>
      <c r="X29" s="41">
        <f>IF(W29=20%,20%,IF($C$7=$T$2,W29+1%,0%))</f>
        <v>0.11999999999999998</v>
      </c>
      <c r="Y29" s="41">
        <f>IF(X29=20%,20%,IF($C$7=$T$2,X29+1%,0%))</f>
        <v>0.12999999999999998</v>
      </c>
      <c r="Z29" s="41">
        <f>IF(Y29=20%,20%,IF($C$7=$T$2,Y29+1%,0%))</f>
        <v>0.13999999999999999</v>
      </c>
      <c r="AA29" s="41">
        <f>IF(Z29=20%,20%,IF($C$7=$T$2,Z29+1%,0%))</f>
        <v>0.15</v>
      </c>
      <c r="AB29" s="41">
        <f>IF(AA29=20%,20%,IF($C$7=$T$2,AA29+0%,0%))</f>
        <v>0.15</v>
      </c>
      <c r="AC29" s="41">
        <f>IF(AB29=20%,20%,IF($C$7=$T$2,AB29+1%,0%))</f>
        <v>0.16</v>
      </c>
      <c r="AD29" s="41">
        <f>IF(AC29=20%,20%,IF($C$7=$T$2,AC29+1%,0%))</f>
        <v>0.17</v>
      </c>
      <c r="AE29" s="41">
        <f>IF(AD29=20%,20%,IF($C$7=$T$2,AD29+0%,0%))</f>
        <v>0.17</v>
      </c>
      <c r="AF29" s="41">
        <f>IF(AE29=20%,20%,IF($C$7=$T$2,AE29+1%,0%))</f>
        <v>0.18000000000000002</v>
      </c>
      <c r="AG29" s="41">
        <f>IF(AF29=20%,20%,IF($C$7=$T$2,AF29+1%,0%))</f>
        <v>0.19000000000000003</v>
      </c>
      <c r="AH29" s="41">
        <f>IF(AG29=20%,20%,IF($C$7=$T$2,AG29+1%,0%))</f>
        <v>0.20000000000000004</v>
      </c>
      <c r="AI29" s="41">
        <f>IF(AH29=20%,20%,IF($C$7=$T$2,AH29+1%,0%))</f>
        <v>0.2</v>
      </c>
      <c r="AJ29" t="s">
        <v>39</v>
      </c>
    </row>
    <row r="30" spans="2:36" ht="14.45" x14ac:dyDescent="0.35">
      <c r="I30" s="40" t="s">
        <v>40</v>
      </c>
      <c r="J30" s="42">
        <v>0</v>
      </c>
      <c r="K30" s="42">
        <v>1</v>
      </c>
      <c r="L30" s="42">
        <v>2</v>
      </c>
      <c r="M30" s="42">
        <v>3</v>
      </c>
      <c r="N30" s="42">
        <v>4</v>
      </c>
      <c r="O30" s="42">
        <v>5</v>
      </c>
      <c r="P30" s="42">
        <v>6</v>
      </c>
      <c r="Q30" s="42">
        <v>7</v>
      </c>
      <c r="R30" s="42">
        <v>8</v>
      </c>
      <c r="S30" s="42">
        <v>9</v>
      </c>
      <c r="T30" s="42">
        <v>10</v>
      </c>
      <c r="U30" s="42">
        <v>11</v>
      </c>
      <c r="V30" s="42">
        <v>12</v>
      </c>
      <c r="W30" s="42">
        <v>13</v>
      </c>
      <c r="X30" s="42">
        <v>14</v>
      </c>
      <c r="Y30" s="42">
        <v>15</v>
      </c>
      <c r="Z30" s="42">
        <v>16</v>
      </c>
      <c r="AA30" s="42">
        <v>17</v>
      </c>
      <c r="AB30" s="42">
        <v>18</v>
      </c>
      <c r="AC30" s="42">
        <v>19</v>
      </c>
      <c r="AD30" s="42">
        <v>20</v>
      </c>
      <c r="AE30" s="42">
        <v>21</v>
      </c>
      <c r="AF30" s="42">
        <v>22</v>
      </c>
      <c r="AG30" s="42">
        <v>23</v>
      </c>
      <c r="AH30" s="42">
        <v>24</v>
      </c>
      <c r="AI30" s="42">
        <v>25</v>
      </c>
    </row>
    <row r="31" spans="2:36" x14ac:dyDescent="0.25">
      <c r="I31" s="40" t="s">
        <v>41</v>
      </c>
      <c r="J31" s="43"/>
      <c r="K31" s="44">
        <f>K29</f>
        <v>0</v>
      </c>
      <c r="L31" s="44">
        <f t="shared" ref="L31:AI31" si="3">L29</f>
        <v>0.01</v>
      </c>
      <c r="M31" s="44">
        <f t="shared" si="3"/>
        <v>0.02</v>
      </c>
      <c r="N31" s="44">
        <f t="shared" si="3"/>
        <v>0.03</v>
      </c>
      <c r="O31" s="44">
        <f t="shared" si="3"/>
        <v>0.04</v>
      </c>
      <c r="P31" s="44">
        <f t="shared" si="3"/>
        <v>0.05</v>
      </c>
      <c r="Q31" s="44">
        <f t="shared" si="3"/>
        <v>6.0000000000000005E-2</v>
      </c>
      <c r="R31" s="44">
        <f t="shared" si="3"/>
        <v>7.0000000000000007E-2</v>
      </c>
      <c r="S31" s="44">
        <f t="shared" si="3"/>
        <v>0.08</v>
      </c>
      <c r="T31" s="44">
        <f t="shared" si="3"/>
        <v>0.09</v>
      </c>
      <c r="U31" s="44">
        <f t="shared" si="3"/>
        <v>9.9999999999999992E-2</v>
      </c>
      <c r="V31" s="44">
        <f t="shared" si="3"/>
        <v>9.9999999999999992E-2</v>
      </c>
      <c r="W31" s="44">
        <f t="shared" si="3"/>
        <v>0.10999999999999999</v>
      </c>
      <c r="X31" s="44">
        <f t="shared" si="3"/>
        <v>0.11999999999999998</v>
      </c>
      <c r="Y31" s="44">
        <f t="shared" si="3"/>
        <v>0.12999999999999998</v>
      </c>
      <c r="Z31" s="44">
        <f t="shared" si="3"/>
        <v>0.13999999999999999</v>
      </c>
      <c r="AA31" s="44">
        <f t="shared" si="3"/>
        <v>0.15</v>
      </c>
      <c r="AB31" s="44">
        <f t="shared" si="3"/>
        <v>0.15</v>
      </c>
      <c r="AC31" s="44">
        <f t="shared" si="3"/>
        <v>0.16</v>
      </c>
      <c r="AD31" s="44">
        <f t="shared" si="3"/>
        <v>0.17</v>
      </c>
      <c r="AE31" s="44">
        <f t="shared" si="3"/>
        <v>0.17</v>
      </c>
      <c r="AF31" s="44">
        <f t="shared" si="3"/>
        <v>0.18000000000000002</v>
      </c>
      <c r="AG31" s="44">
        <f t="shared" si="3"/>
        <v>0.19000000000000003</v>
      </c>
      <c r="AH31" s="44">
        <f t="shared" si="3"/>
        <v>0.20000000000000004</v>
      </c>
      <c r="AI31" s="44">
        <f t="shared" si="3"/>
        <v>0.2</v>
      </c>
    </row>
    <row r="32" spans="2:36" ht="14.45" x14ac:dyDescent="0.35">
      <c r="I32" s="40"/>
      <c r="J32"/>
    </row>
    <row r="33" spans="9:36" x14ac:dyDescent="0.25">
      <c r="I33" s="45" t="s">
        <v>7</v>
      </c>
      <c r="J33" s="46"/>
      <c r="K33" s="47">
        <f>SUM(K34:K35)</f>
        <v>6000</v>
      </c>
      <c r="L33" s="47">
        <f t="shared" ref="L33:AI33" si="4">SUM(L34:L35)</f>
        <v>5940</v>
      </c>
      <c r="M33" s="47">
        <f t="shared" si="4"/>
        <v>5880</v>
      </c>
      <c r="N33" s="47">
        <f t="shared" si="4"/>
        <v>5820</v>
      </c>
      <c r="O33" s="47">
        <f t="shared" si="4"/>
        <v>5760</v>
      </c>
      <c r="P33" s="47">
        <f t="shared" si="4"/>
        <v>5700</v>
      </c>
      <c r="Q33" s="47">
        <f t="shared" si="4"/>
        <v>5640</v>
      </c>
      <c r="R33" s="47">
        <f t="shared" si="4"/>
        <v>5580</v>
      </c>
      <c r="S33" s="47">
        <f t="shared" si="4"/>
        <v>5520</v>
      </c>
      <c r="T33" s="47">
        <f t="shared" si="4"/>
        <v>5460</v>
      </c>
      <c r="U33" s="47">
        <f t="shared" si="4"/>
        <v>5400</v>
      </c>
      <c r="V33" s="47">
        <f t="shared" si="4"/>
        <v>5400</v>
      </c>
      <c r="W33" s="47">
        <f t="shared" si="4"/>
        <v>5340</v>
      </c>
      <c r="X33" s="47">
        <f t="shared" si="4"/>
        <v>5280</v>
      </c>
      <c r="Y33" s="47">
        <f t="shared" si="4"/>
        <v>5220</v>
      </c>
      <c r="Z33" s="47">
        <f t="shared" si="4"/>
        <v>5160</v>
      </c>
      <c r="AA33" s="47">
        <f t="shared" si="4"/>
        <v>5100</v>
      </c>
      <c r="AB33" s="47">
        <f t="shared" si="4"/>
        <v>5100</v>
      </c>
      <c r="AC33" s="47">
        <f t="shared" si="4"/>
        <v>5040</v>
      </c>
      <c r="AD33" s="47">
        <f t="shared" si="4"/>
        <v>4980</v>
      </c>
      <c r="AE33" s="47">
        <f t="shared" si="4"/>
        <v>4980</v>
      </c>
      <c r="AF33" s="47">
        <f t="shared" si="4"/>
        <v>4920</v>
      </c>
      <c r="AG33" s="47">
        <f t="shared" si="4"/>
        <v>4860</v>
      </c>
      <c r="AH33" s="47">
        <f t="shared" si="4"/>
        <v>4800</v>
      </c>
      <c r="AI33" s="47">
        <f t="shared" si="4"/>
        <v>4800</v>
      </c>
      <c r="AJ33" s="48">
        <f>AVERAGE(K33:AI33)</f>
        <v>5347.2</v>
      </c>
    </row>
    <row r="34" spans="9:36" x14ac:dyDescent="0.25">
      <c r="I34" s="40" t="s">
        <v>42</v>
      </c>
      <c r="J34"/>
      <c r="K34" s="48">
        <f>P3</f>
        <v>3000</v>
      </c>
      <c r="L34" s="48">
        <f>$K$34*(1-L31)</f>
        <v>2970</v>
      </c>
      <c r="M34" s="48">
        <f t="shared" ref="M34:AI34" si="5">$K$34*(1-M31)</f>
        <v>2940</v>
      </c>
      <c r="N34" s="48">
        <f t="shared" si="5"/>
        <v>2910</v>
      </c>
      <c r="O34" s="48">
        <f t="shared" si="5"/>
        <v>2880</v>
      </c>
      <c r="P34" s="48">
        <f t="shared" si="5"/>
        <v>2850</v>
      </c>
      <c r="Q34" s="48">
        <f t="shared" si="5"/>
        <v>2820</v>
      </c>
      <c r="R34" s="48">
        <f t="shared" si="5"/>
        <v>2790</v>
      </c>
      <c r="S34" s="48">
        <f t="shared" si="5"/>
        <v>2760</v>
      </c>
      <c r="T34" s="48">
        <f t="shared" si="5"/>
        <v>2730</v>
      </c>
      <c r="U34" s="48">
        <f t="shared" si="5"/>
        <v>2700</v>
      </c>
      <c r="V34" s="48">
        <f t="shared" si="5"/>
        <v>2700</v>
      </c>
      <c r="W34" s="48">
        <f t="shared" si="5"/>
        <v>2670</v>
      </c>
      <c r="X34" s="48">
        <f t="shared" si="5"/>
        <v>2640</v>
      </c>
      <c r="Y34" s="48">
        <f t="shared" si="5"/>
        <v>2610</v>
      </c>
      <c r="Z34" s="48">
        <f t="shared" si="5"/>
        <v>2580</v>
      </c>
      <c r="AA34" s="48">
        <f t="shared" si="5"/>
        <v>2550</v>
      </c>
      <c r="AB34" s="48">
        <f t="shared" si="5"/>
        <v>2550</v>
      </c>
      <c r="AC34" s="48">
        <f t="shared" si="5"/>
        <v>2520</v>
      </c>
      <c r="AD34" s="48">
        <f t="shared" si="5"/>
        <v>2490</v>
      </c>
      <c r="AE34" s="48">
        <f t="shared" si="5"/>
        <v>2490</v>
      </c>
      <c r="AF34" s="48">
        <f t="shared" si="5"/>
        <v>2460</v>
      </c>
      <c r="AG34" s="48">
        <f t="shared" si="5"/>
        <v>2430</v>
      </c>
      <c r="AH34" s="48">
        <f t="shared" si="5"/>
        <v>2400</v>
      </c>
      <c r="AI34" s="48">
        <f t="shared" si="5"/>
        <v>2400</v>
      </c>
      <c r="AJ34" s="48">
        <f t="shared" ref="AJ34:AJ35" si="6">AVERAGE(K34:AI34)</f>
        <v>2673.6</v>
      </c>
    </row>
    <row r="35" spans="9:36" x14ac:dyDescent="0.25">
      <c r="I35" s="49" t="s">
        <v>43</v>
      </c>
      <c r="J35" s="50"/>
      <c r="K35" s="51">
        <f>Q3</f>
        <v>3000</v>
      </c>
      <c r="L35" s="51">
        <f>$K$35*(1-L31)</f>
        <v>2970</v>
      </c>
      <c r="M35" s="51">
        <f t="shared" ref="M35:AI35" si="7">$K$35*(1-M31)</f>
        <v>2940</v>
      </c>
      <c r="N35" s="51">
        <f t="shared" si="7"/>
        <v>2910</v>
      </c>
      <c r="O35" s="51">
        <f t="shared" si="7"/>
        <v>2880</v>
      </c>
      <c r="P35" s="51">
        <f t="shared" si="7"/>
        <v>2850</v>
      </c>
      <c r="Q35" s="51">
        <f t="shared" si="7"/>
        <v>2820</v>
      </c>
      <c r="R35" s="51">
        <f t="shared" si="7"/>
        <v>2790</v>
      </c>
      <c r="S35" s="51">
        <f t="shared" si="7"/>
        <v>2760</v>
      </c>
      <c r="T35" s="51">
        <f t="shared" si="7"/>
        <v>2730</v>
      </c>
      <c r="U35" s="51">
        <f t="shared" si="7"/>
        <v>2700</v>
      </c>
      <c r="V35" s="51">
        <f t="shared" si="7"/>
        <v>2700</v>
      </c>
      <c r="W35" s="51">
        <f t="shared" si="7"/>
        <v>2670</v>
      </c>
      <c r="X35" s="51">
        <f t="shared" si="7"/>
        <v>2640</v>
      </c>
      <c r="Y35" s="51">
        <f t="shared" si="7"/>
        <v>2610</v>
      </c>
      <c r="Z35" s="51">
        <f t="shared" si="7"/>
        <v>2580</v>
      </c>
      <c r="AA35" s="51">
        <f t="shared" si="7"/>
        <v>2550</v>
      </c>
      <c r="AB35" s="51">
        <f t="shared" si="7"/>
        <v>2550</v>
      </c>
      <c r="AC35" s="51">
        <f t="shared" si="7"/>
        <v>2520</v>
      </c>
      <c r="AD35" s="51">
        <f t="shared" si="7"/>
        <v>2490</v>
      </c>
      <c r="AE35" s="51">
        <f t="shared" si="7"/>
        <v>2490</v>
      </c>
      <c r="AF35" s="51">
        <f t="shared" si="7"/>
        <v>2460</v>
      </c>
      <c r="AG35" s="51">
        <f t="shared" si="7"/>
        <v>2430</v>
      </c>
      <c r="AH35" s="51">
        <f t="shared" si="7"/>
        <v>2400</v>
      </c>
      <c r="AI35" s="51">
        <f t="shared" si="7"/>
        <v>2400</v>
      </c>
      <c r="AJ35" s="48">
        <f t="shared" si="6"/>
        <v>2673.6</v>
      </c>
    </row>
    <row r="36" spans="9:36" x14ac:dyDescent="0.25">
      <c r="I36" s="40"/>
      <c r="J36"/>
    </row>
    <row r="37" spans="9:36" x14ac:dyDescent="0.25">
      <c r="I37" s="45" t="s">
        <v>44</v>
      </c>
      <c r="J37" s="46"/>
      <c r="K37" s="47">
        <f>(K34*($J$24+$J$25+K$23)*(1+$J$26))</f>
        <v>523.51859999999999</v>
      </c>
      <c r="L37" s="47">
        <f t="shared" ref="L37:AI37" si="8">(L34*($J$24+$J$25+L$23)*(1+$J$26))</f>
        <v>518.28341399999999</v>
      </c>
      <c r="M37" s="47">
        <f t="shared" si="8"/>
        <v>513.04822800000011</v>
      </c>
      <c r="N37" s="47">
        <f t="shared" si="8"/>
        <v>507.81304200000005</v>
      </c>
      <c r="O37" s="47">
        <f t="shared" si="8"/>
        <v>502.577856</v>
      </c>
      <c r="P37" s="47">
        <f t="shared" si="8"/>
        <v>497.34267000000006</v>
      </c>
      <c r="Q37" s="47">
        <f t="shared" si="8"/>
        <v>492.10748400000006</v>
      </c>
      <c r="R37" s="47">
        <f t="shared" si="8"/>
        <v>486.872298</v>
      </c>
      <c r="S37" s="47">
        <f t="shared" si="8"/>
        <v>481.637112</v>
      </c>
      <c r="T37" s="47">
        <f t="shared" si="8"/>
        <v>476.40192600000006</v>
      </c>
      <c r="U37" s="47">
        <f t="shared" si="8"/>
        <v>471.16674000000006</v>
      </c>
      <c r="V37" s="47">
        <f t="shared" si="8"/>
        <v>471.16674000000006</v>
      </c>
      <c r="W37" s="47">
        <f t="shared" si="8"/>
        <v>465.93155400000001</v>
      </c>
      <c r="X37" s="47">
        <f t="shared" si="8"/>
        <v>460.69636800000001</v>
      </c>
      <c r="Y37" s="47">
        <f t="shared" si="8"/>
        <v>455.46118200000006</v>
      </c>
      <c r="Z37" s="47">
        <f t="shared" si="8"/>
        <v>450.22599600000007</v>
      </c>
      <c r="AA37" s="47">
        <f t="shared" si="8"/>
        <v>444.99081000000001</v>
      </c>
      <c r="AB37" s="47">
        <f>(AB34*($J$24+$J$25+AB$23)*(1+$J$26))</f>
        <v>444.99081000000001</v>
      </c>
      <c r="AC37" s="47">
        <f t="shared" si="8"/>
        <v>439.75562400000001</v>
      </c>
      <c r="AD37" s="47">
        <f t="shared" si="8"/>
        <v>434.52043800000007</v>
      </c>
      <c r="AE37" s="47">
        <f t="shared" si="8"/>
        <v>434.52043800000007</v>
      </c>
      <c r="AF37" s="47">
        <f t="shared" si="8"/>
        <v>429.28525200000001</v>
      </c>
      <c r="AG37" s="47">
        <f t="shared" si="8"/>
        <v>424.05006600000002</v>
      </c>
      <c r="AH37" s="47">
        <f t="shared" si="8"/>
        <v>418.81488000000002</v>
      </c>
      <c r="AI37" s="47">
        <f t="shared" si="8"/>
        <v>418.81488000000002</v>
      </c>
    </row>
    <row r="38" spans="9:36" x14ac:dyDescent="0.25">
      <c r="I38" s="40" t="s">
        <v>45</v>
      </c>
      <c r="J38"/>
      <c r="K38" s="48">
        <f>(K35*(K$23+$J$25)*(1+$J$26))</f>
        <v>375.55980000000005</v>
      </c>
      <c r="L38" s="48">
        <f t="shared" ref="L38:AI38" si="9">(L35*(L$23+$J$25)*(1+$J$26))</f>
        <v>371.80420200000003</v>
      </c>
      <c r="M38" s="48">
        <f t="shared" si="9"/>
        <v>368.04860400000001</v>
      </c>
      <c r="N38" s="48">
        <f t="shared" si="9"/>
        <v>364.29300599999999</v>
      </c>
      <c r="O38" s="48">
        <f t="shared" si="9"/>
        <v>360.53740800000003</v>
      </c>
      <c r="P38" s="48">
        <f t="shared" si="9"/>
        <v>356.78181000000006</v>
      </c>
      <c r="Q38" s="48">
        <f t="shared" si="9"/>
        <v>353.02621199999999</v>
      </c>
      <c r="R38" s="48">
        <f t="shared" si="9"/>
        <v>349.27061400000002</v>
      </c>
      <c r="S38" s="48">
        <f t="shared" si="9"/>
        <v>345.51501600000006</v>
      </c>
      <c r="T38" s="48">
        <f t="shared" si="9"/>
        <v>341.75941800000004</v>
      </c>
      <c r="U38" s="48">
        <f t="shared" si="9"/>
        <v>338.00382000000002</v>
      </c>
      <c r="V38" s="48">
        <f t="shared" si="9"/>
        <v>338.00382000000002</v>
      </c>
      <c r="W38" s="48">
        <f t="shared" si="9"/>
        <v>334.248222</v>
      </c>
      <c r="X38" s="48">
        <f t="shared" si="9"/>
        <v>330.49262400000003</v>
      </c>
      <c r="Y38" s="48">
        <f t="shared" si="9"/>
        <v>326.73702600000007</v>
      </c>
      <c r="Z38" s="48">
        <f t="shared" si="9"/>
        <v>322.98142799999999</v>
      </c>
      <c r="AA38" s="48">
        <f t="shared" si="9"/>
        <v>319.22583000000003</v>
      </c>
      <c r="AB38" s="48">
        <f t="shared" si="9"/>
        <v>319.22583000000003</v>
      </c>
      <c r="AC38" s="48">
        <f t="shared" si="9"/>
        <v>315.47023200000001</v>
      </c>
      <c r="AD38" s="48">
        <f t="shared" si="9"/>
        <v>311.71463399999999</v>
      </c>
      <c r="AE38" s="48">
        <f t="shared" si="9"/>
        <v>311.71463399999999</v>
      </c>
      <c r="AF38" s="48">
        <f t="shared" si="9"/>
        <v>307.95903600000003</v>
      </c>
      <c r="AG38" s="48">
        <f>(AG35*(AG$23+$J$25)*(1+$J$26))</f>
        <v>304.20343800000006</v>
      </c>
      <c r="AH38" s="48">
        <f t="shared" si="9"/>
        <v>300.44784000000004</v>
      </c>
      <c r="AI38" s="48">
        <f t="shared" si="9"/>
        <v>300.44784000000004</v>
      </c>
    </row>
    <row r="39" spans="9:36" x14ac:dyDescent="0.25">
      <c r="I39" s="49" t="s">
        <v>46</v>
      </c>
      <c r="J39" s="50"/>
      <c r="K39" s="51">
        <f>SUM(K37:K38)</f>
        <v>899.0784000000001</v>
      </c>
      <c r="L39" s="51">
        <f t="shared" ref="L39:AI39" si="10">SUM(L37:L38)</f>
        <v>890.08761600000003</v>
      </c>
      <c r="M39" s="51">
        <f t="shared" si="10"/>
        <v>881.09683200000018</v>
      </c>
      <c r="N39" s="51">
        <f t="shared" si="10"/>
        <v>872.1060480000001</v>
      </c>
      <c r="O39" s="51">
        <f t="shared" si="10"/>
        <v>863.11526400000002</v>
      </c>
      <c r="P39" s="51">
        <f t="shared" si="10"/>
        <v>854.12448000000018</v>
      </c>
      <c r="Q39" s="51">
        <f t="shared" si="10"/>
        <v>845.1336960000001</v>
      </c>
      <c r="R39" s="51">
        <f t="shared" si="10"/>
        <v>836.14291200000002</v>
      </c>
      <c r="S39" s="51">
        <f t="shared" si="10"/>
        <v>827.15212800000006</v>
      </c>
      <c r="T39" s="51">
        <f t="shared" si="10"/>
        <v>818.1613440000001</v>
      </c>
      <c r="U39" s="51">
        <f t="shared" si="10"/>
        <v>809.17056000000002</v>
      </c>
      <c r="V39" s="51">
        <f t="shared" si="10"/>
        <v>809.17056000000002</v>
      </c>
      <c r="W39" s="51">
        <f t="shared" si="10"/>
        <v>800.17977599999995</v>
      </c>
      <c r="X39" s="51">
        <f t="shared" si="10"/>
        <v>791.1889920000001</v>
      </c>
      <c r="Y39" s="51">
        <f t="shared" si="10"/>
        <v>782.19820800000014</v>
      </c>
      <c r="Z39" s="51">
        <f t="shared" si="10"/>
        <v>773.20742400000006</v>
      </c>
      <c r="AA39" s="51">
        <f t="shared" si="10"/>
        <v>764.2166400000001</v>
      </c>
      <c r="AB39" s="51">
        <f>SUM(AB37:AB38)</f>
        <v>764.2166400000001</v>
      </c>
      <c r="AC39" s="51">
        <f>SUM(AC37:AC38)</f>
        <v>755.22585600000002</v>
      </c>
      <c r="AD39" s="51">
        <f t="shared" si="10"/>
        <v>746.23507200000006</v>
      </c>
      <c r="AE39" s="51">
        <f t="shared" si="10"/>
        <v>746.23507200000006</v>
      </c>
      <c r="AF39" s="51">
        <f t="shared" si="10"/>
        <v>737.2442880000001</v>
      </c>
      <c r="AG39" s="51">
        <f t="shared" si="10"/>
        <v>728.25350400000002</v>
      </c>
      <c r="AH39" s="51">
        <f t="shared" si="10"/>
        <v>719.26272000000006</v>
      </c>
      <c r="AI39" s="51">
        <f t="shared" si="10"/>
        <v>719.26272000000006</v>
      </c>
    </row>
    <row r="40" spans="9:36" x14ac:dyDescent="0.25">
      <c r="I40" s="40"/>
      <c r="J40"/>
    </row>
    <row r="41" spans="9:36" x14ac:dyDescent="0.25">
      <c r="I41" s="52" t="s">
        <v>47</v>
      </c>
      <c r="J41" s="53"/>
      <c r="K41" s="54">
        <f>AVERAGE(K39:AI39)</f>
        <v>801.25867008</v>
      </c>
    </row>
    <row r="42" spans="9:36" x14ac:dyDescent="0.25">
      <c r="I42" s="40"/>
      <c r="J42"/>
      <c r="L42" s="55">
        <v>12</v>
      </c>
      <c r="M42" s="56" t="s">
        <v>48</v>
      </c>
    </row>
    <row r="43" spans="9:36" x14ac:dyDescent="0.25">
      <c r="I43" s="45" t="s">
        <v>49</v>
      </c>
      <c r="J43" s="46"/>
      <c r="K43" s="47">
        <f>AVERAGE(K33:AI33)</f>
        <v>5347.2</v>
      </c>
      <c r="L43" s="47">
        <f>K43/$L$42</f>
        <v>445.59999999999997</v>
      </c>
    </row>
    <row r="44" spans="9:36" x14ac:dyDescent="0.25">
      <c r="I44" s="40" t="s">
        <v>50</v>
      </c>
      <c r="J44"/>
      <c r="K44" s="48">
        <f>AVERAGE(K34:AI34)</f>
        <v>2673.6</v>
      </c>
      <c r="L44" s="48">
        <f t="shared" ref="L44:L45" si="11">K44/$L$42</f>
        <v>222.79999999999998</v>
      </c>
    </row>
    <row r="45" spans="9:36" x14ac:dyDescent="0.25">
      <c r="I45" s="49" t="s">
        <v>51</v>
      </c>
      <c r="J45" s="50"/>
      <c r="K45" s="51">
        <f>AVERAGE(K35:AI35)</f>
        <v>2673.6</v>
      </c>
      <c r="L45" s="51">
        <f t="shared" si="11"/>
        <v>222.79999999999998</v>
      </c>
    </row>
    <row r="46" spans="9:36" x14ac:dyDescent="0.25">
      <c r="I46" s="40"/>
      <c r="J46"/>
    </row>
    <row r="47" spans="9:36" x14ac:dyDescent="0.25">
      <c r="I47" s="40" t="s">
        <v>28</v>
      </c>
      <c r="J47"/>
      <c r="K47" s="48">
        <f>C15</f>
        <v>8170</v>
      </c>
    </row>
    <row r="48" spans="9:36" x14ac:dyDescent="0.25">
      <c r="I48" s="40" t="s">
        <v>29</v>
      </c>
      <c r="J48"/>
      <c r="K48" s="57">
        <f>K47/K41</f>
        <v>10.196457529981277</v>
      </c>
    </row>
    <row r="49" spans="9:36" x14ac:dyDescent="0.25">
      <c r="J49"/>
      <c r="AJ49" t="s">
        <v>52</v>
      </c>
    </row>
    <row r="50" spans="9:36" x14ac:dyDescent="0.25">
      <c r="I50" s="55" t="s">
        <v>53</v>
      </c>
      <c r="J50">
        <f t="shared" ref="J50:AI50" si="12">J30</f>
        <v>0</v>
      </c>
      <c r="K50">
        <f t="shared" si="12"/>
        <v>1</v>
      </c>
      <c r="L50">
        <f t="shared" si="12"/>
        <v>2</v>
      </c>
      <c r="M50">
        <f t="shared" si="12"/>
        <v>3</v>
      </c>
      <c r="N50">
        <f t="shared" si="12"/>
        <v>4</v>
      </c>
      <c r="O50">
        <f t="shared" si="12"/>
        <v>5</v>
      </c>
      <c r="P50">
        <f t="shared" si="12"/>
        <v>6</v>
      </c>
      <c r="Q50">
        <f t="shared" si="12"/>
        <v>7</v>
      </c>
      <c r="R50">
        <f t="shared" si="12"/>
        <v>8</v>
      </c>
      <c r="S50">
        <f t="shared" si="12"/>
        <v>9</v>
      </c>
      <c r="T50">
        <f t="shared" si="12"/>
        <v>10</v>
      </c>
      <c r="U50">
        <f t="shared" si="12"/>
        <v>11</v>
      </c>
      <c r="V50">
        <f t="shared" si="12"/>
        <v>12</v>
      </c>
      <c r="W50">
        <f t="shared" si="12"/>
        <v>13</v>
      </c>
      <c r="X50">
        <f t="shared" si="12"/>
        <v>14</v>
      </c>
      <c r="Y50">
        <f t="shared" si="12"/>
        <v>15</v>
      </c>
      <c r="Z50">
        <f t="shared" si="12"/>
        <v>16</v>
      </c>
      <c r="AA50">
        <f t="shared" si="12"/>
        <v>17</v>
      </c>
      <c r="AB50">
        <f t="shared" si="12"/>
        <v>18</v>
      </c>
      <c r="AC50">
        <f t="shared" si="12"/>
        <v>19</v>
      </c>
      <c r="AD50">
        <f t="shared" si="12"/>
        <v>20</v>
      </c>
      <c r="AE50">
        <f t="shared" si="12"/>
        <v>21</v>
      </c>
      <c r="AF50">
        <f t="shared" si="12"/>
        <v>22</v>
      </c>
      <c r="AG50">
        <f t="shared" si="12"/>
        <v>23</v>
      </c>
      <c r="AH50">
        <f t="shared" si="12"/>
        <v>24</v>
      </c>
      <c r="AI50">
        <f t="shared" si="12"/>
        <v>25</v>
      </c>
    </row>
    <row r="51" spans="9:36" x14ac:dyDescent="0.25">
      <c r="I51" s="40" t="s">
        <v>54</v>
      </c>
      <c r="J51"/>
      <c r="K51" s="48">
        <f>-K47</f>
        <v>-8170</v>
      </c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>
        <f>SUM(K51:AI51)</f>
        <v>-8170</v>
      </c>
    </row>
    <row r="52" spans="9:36" x14ac:dyDescent="0.25">
      <c r="I52" s="40" t="s">
        <v>55</v>
      </c>
      <c r="J52"/>
      <c r="K52" s="48">
        <f t="shared" ref="K52:AI52" si="13">K39</f>
        <v>899.0784000000001</v>
      </c>
      <c r="L52" s="48">
        <f t="shared" si="13"/>
        <v>890.08761600000003</v>
      </c>
      <c r="M52" s="48">
        <f t="shared" si="13"/>
        <v>881.09683200000018</v>
      </c>
      <c r="N52" s="48">
        <f t="shared" si="13"/>
        <v>872.1060480000001</v>
      </c>
      <c r="O52" s="48">
        <f t="shared" si="13"/>
        <v>863.11526400000002</v>
      </c>
      <c r="P52" s="48">
        <f t="shared" si="13"/>
        <v>854.12448000000018</v>
      </c>
      <c r="Q52" s="48">
        <f t="shared" si="13"/>
        <v>845.1336960000001</v>
      </c>
      <c r="R52" s="48">
        <f t="shared" si="13"/>
        <v>836.14291200000002</v>
      </c>
      <c r="S52" s="48">
        <f t="shared" si="13"/>
        <v>827.15212800000006</v>
      </c>
      <c r="T52" s="48">
        <f t="shared" si="13"/>
        <v>818.1613440000001</v>
      </c>
      <c r="U52" s="48">
        <f t="shared" si="13"/>
        <v>809.17056000000002</v>
      </c>
      <c r="V52" s="48">
        <f t="shared" si="13"/>
        <v>809.17056000000002</v>
      </c>
      <c r="W52" s="48">
        <f t="shared" si="13"/>
        <v>800.17977599999995</v>
      </c>
      <c r="X52" s="48">
        <f t="shared" si="13"/>
        <v>791.1889920000001</v>
      </c>
      <c r="Y52" s="48">
        <f t="shared" si="13"/>
        <v>782.19820800000014</v>
      </c>
      <c r="Z52" s="48">
        <f t="shared" si="13"/>
        <v>773.20742400000006</v>
      </c>
      <c r="AA52" s="48">
        <f t="shared" si="13"/>
        <v>764.2166400000001</v>
      </c>
      <c r="AB52" s="48">
        <f t="shared" si="13"/>
        <v>764.2166400000001</v>
      </c>
      <c r="AC52" s="48">
        <f t="shared" si="13"/>
        <v>755.22585600000002</v>
      </c>
      <c r="AD52" s="48">
        <f t="shared" si="13"/>
        <v>746.23507200000006</v>
      </c>
      <c r="AE52" s="48">
        <f t="shared" si="13"/>
        <v>746.23507200000006</v>
      </c>
      <c r="AF52" s="48">
        <f t="shared" si="13"/>
        <v>737.2442880000001</v>
      </c>
      <c r="AG52" s="48">
        <f t="shared" si="13"/>
        <v>728.25350400000002</v>
      </c>
      <c r="AH52" s="48">
        <f t="shared" si="13"/>
        <v>719.26272000000006</v>
      </c>
      <c r="AI52" s="48">
        <f t="shared" si="13"/>
        <v>719.26272000000006</v>
      </c>
      <c r="AJ52" s="48">
        <f>SUM(K52:AI52)</f>
        <v>20031.466752</v>
      </c>
    </row>
    <row r="53" spans="9:36" x14ac:dyDescent="0.25">
      <c r="I53" s="40" t="s">
        <v>53</v>
      </c>
      <c r="J53"/>
      <c r="K53" s="48">
        <f>K51+K52</f>
        <v>-7270.9215999999997</v>
      </c>
      <c r="L53" s="48">
        <f t="shared" ref="L53:AI53" si="14">L51+L52</f>
        <v>890.08761600000003</v>
      </c>
      <c r="M53" s="48">
        <f t="shared" si="14"/>
        <v>881.09683200000018</v>
      </c>
      <c r="N53" s="48">
        <f t="shared" si="14"/>
        <v>872.1060480000001</v>
      </c>
      <c r="O53" s="48">
        <f t="shared" si="14"/>
        <v>863.11526400000002</v>
      </c>
      <c r="P53" s="48">
        <f t="shared" si="14"/>
        <v>854.12448000000018</v>
      </c>
      <c r="Q53" s="48">
        <f t="shared" si="14"/>
        <v>845.1336960000001</v>
      </c>
      <c r="R53" s="48">
        <f t="shared" si="14"/>
        <v>836.14291200000002</v>
      </c>
      <c r="S53" s="48">
        <f t="shared" si="14"/>
        <v>827.15212800000006</v>
      </c>
      <c r="T53" s="48">
        <f t="shared" si="14"/>
        <v>818.1613440000001</v>
      </c>
      <c r="U53" s="48">
        <f t="shared" si="14"/>
        <v>809.17056000000002</v>
      </c>
      <c r="V53" s="48">
        <f t="shared" si="14"/>
        <v>809.17056000000002</v>
      </c>
      <c r="W53" s="48">
        <f t="shared" si="14"/>
        <v>800.17977599999995</v>
      </c>
      <c r="X53" s="48">
        <f t="shared" si="14"/>
        <v>791.1889920000001</v>
      </c>
      <c r="Y53" s="48">
        <f t="shared" si="14"/>
        <v>782.19820800000014</v>
      </c>
      <c r="Z53" s="48">
        <f t="shared" si="14"/>
        <v>773.20742400000006</v>
      </c>
      <c r="AA53" s="48">
        <f t="shared" si="14"/>
        <v>764.2166400000001</v>
      </c>
      <c r="AB53" s="48">
        <f t="shared" si="14"/>
        <v>764.2166400000001</v>
      </c>
      <c r="AC53" s="48">
        <f t="shared" si="14"/>
        <v>755.22585600000002</v>
      </c>
      <c r="AD53" s="48">
        <f t="shared" si="14"/>
        <v>746.23507200000006</v>
      </c>
      <c r="AE53" s="48">
        <f t="shared" si="14"/>
        <v>746.23507200000006</v>
      </c>
      <c r="AF53" s="48">
        <f t="shared" si="14"/>
        <v>737.2442880000001</v>
      </c>
      <c r="AG53" s="48">
        <f t="shared" si="14"/>
        <v>728.25350400000002</v>
      </c>
      <c r="AH53" s="48">
        <f t="shared" si="14"/>
        <v>719.26272000000006</v>
      </c>
      <c r="AI53" s="48">
        <f t="shared" si="14"/>
        <v>719.26272000000006</v>
      </c>
      <c r="AJ53" s="48">
        <f>AJ51+AJ5</f>
        <v>-8170</v>
      </c>
    </row>
    <row r="54" spans="9:36" x14ac:dyDescent="0.25">
      <c r="I54" s="40"/>
      <c r="J54"/>
    </row>
    <row r="55" spans="9:36" x14ac:dyDescent="0.25">
      <c r="J55" t="s">
        <v>56</v>
      </c>
      <c r="K55" s="58">
        <f>IRR(K53:AI53)</f>
        <v>0.10341925640360605</v>
      </c>
    </row>
    <row r="56" spans="9:36" x14ac:dyDescent="0.25">
      <c r="I56" s="40"/>
      <c r="J56" s="40"/>
      <c r="K56" s="57"/>
      <c r="L56" s="40"/>
      <c r="M56" s="40"/>
    </row>
  </sheetData>
  <mergeCells count="2">
    <mergeCell ref="O1:Q1"/>
    <mergeCell ref="R1:R2"/>
  </mergeCells>
  <dataValidations count="2">
    <dataValidation type="list" allowBlank="1" showInputMessage="1" showErrorMessage="1" sqref="C7">
      <formula1>$T$2:$T$3</formula1>
    </dataValidation>
    <dataValidation type="list" allowBlank="1" showInputMessage="1" showErrorMessage="1" sqref="C4">
      <formula1>$H$2:$H$6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atbildes</vt:lpstr>
      <vt:lpstr>kalk MĢ</vt:lpstr>
    </vt:vector>
  </TitlesOfParts>
  <Company>Latvenergo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Laurinoviča</dc:creator>
  <cp:lastModifiedBy>Māra Keiša</cp:lastModifiedBy>
  <dcterms:created xsi:type="dcterms:W3CDTF">2022-01-19T10:51:29Z</dcterms:created>
  <dcterms:modified xsi:type="dcterms:W3CDTF">2022-02-04T09:13:30Z</dcterms:modified>
</cp:coreProperties>
</file>